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charts/chart2.xml" ContentType="application/vnd.openxmlformats-officedocument.drawingml.chart+xml"/>
  <Override PartName="/xl/drawings/drawing12.xml" ContentType="application/vnd.openxmlformats-officedocument.drawing+xml"/>
  <Override PartName="/xl/charts/chart3.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4.xml" ContentType="application/vnd.openxmlformats-officedocument.drawingml.chart+xml"/>
  <Override PartName="/xl/drawings/drawing15.xml" ContentType="application/vnd.openxmlformats-officedocument.drawing+xml"/>
  <Override PartName="/xl/charts/chart5.xml" ContentType="application/vnd.openxmlformats-officedocument.drawingml.chart+xml"/>
  <Override PartName="/xl/drawings/drawing16.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A0073863\Dropbox (PRICELESS SA)\aisha.moolla@wits.ac.za’s files\MPH\4. Analysis\Daft Models\"/>
    </mc:Choice>
  </mc:AlternateContent>
  <xr:revisionPtr revIDLastSave="0" documentId="13_ncr:1_{854D3993-1E71-45F6-8DC1-2126B35DBEB7}" xr6:coauthVersionLast="47" xr6:coauthVersionMax="47" xr10:uidLastSave="{00000000-0000-0000-0000-000000000000}"/>
  <bookViews>
    <workbookView xWindow="-108" yWindow="-108" windowWidth="23256" windowHeight="12456" tabRatio="856" firstSheet="19" activeTab="24" xr2:uid="{00000000-000D-0000-FFFF-FFFF00000000}"/>
  </bookViews>
  <sheets>
    <sheet name="Search terms" sheetId="2" state="hidden" r:id="rId1"/>
    <sheet name="Management protocol" sheetId="12" state="hidden" r:id="rId2"/>
    <sheet name="PSG tree figure" sheetId="9" state="hidden" r:id="rId3"/>
    <sheet name="Comparator tree figure" sheetId="10" state="hidden" r:id="rId4"/>
    <sheet name="Demographics" sheetId="25" r:id="rId5"/>
    <sheet name="Cost" sheetId="11" r:id="rId6"/>
    <sheet name="Utilities" sheetId="13" state="hidden" r:id="rId7"/>
    <sheet name="DALYs" sheetId="17" state="hidden" r:id="rId8"/>
    <sheet name="DALY - SB" sheetId="30" r:id="rId9"/>
    <sheet name="DALY - CLD" sheetId="29" r:id="rId10"/>
    <sheet name="DALY - motor impairement" sheetId="28" r:id="rId11"/>
    <sheet name="Base case probabilities" sheetId="26" r:id="rId12"/>
    <sheet name="(A) Grant and ANC coverage" sheetId="3" state="hidden" r:id="rId13"/>
    <sheet name="(B) Preterm" sheetId="1" state="hidden" r:id="rId14"/>
    <sheet name="(C) LBW" sheetId="4" state="hidden" r:id="rId15"/>
    <sheet name="(D) RDS, NEC, Sepsis" sheetId="6" state="hidden" r:id="rId16"/>
    <sheet name="DT1" sheetId="7" state="hidden" r:id="rId17"/>
    <sheet name="Parameters" sheetId="5" r:id="rId18"/>
    <sheet name="Analysis" sheetId="15" state="hidden" r:id="rId19"/>
    <sheet name="Decision tree" sheetId="27" r:id="rId20"/>
    <sheet name="Output" sheetId="16" r:id="rId21"/>
    <sheet name="Parameter Values" sheetId="31" r:id="rId22"/>
    <sheet name="Simulation" sheetId="35" r:id="rId23"/>
    <sheet name="inc CE plane" sheetId="36" r:id="rId24"/>
    <sheet name="CEA curve" sheetId="37" r:id="rId25"/>
    <sheet name="Tornado diagram" sheetId="32" r:id="rId26"/>
    <sheet name="WTP vs INMB" sheetId="33" r:id="rId27"/>
    <sheet name="Tornado diagram - INMB" sheetId="34" r:id="rId28"/>
  </sheets>
  <externalReferences>
    <externalReference r:id="rId29"/>
  </externalReferences>
  <definedNames>
    <definedName name="Adult_births">Demographics!$B$8</definedName>
    <definedName name="AGA_prem_2d_1">Parameters!$B$31</definedName>
    <definedName name="AGA_prem_2d_2">Parameters!$B$85</definedName>
    <definedName name="AGA_prem_2d_3">Parameters!$B$144</definedName>
    <definedName name="AGA_prem_2d_4">Parameters!$B$198</definedName>
    <definedName name="AGA_prem_2hypoglycaemia_1">Parameters!$B$47</definedName>
    <definedName name="AGA_prem_2hypoglycaemia_2">Parameters!$B$101</definedName>
    <definedName name="AGA_prem_2hypoglycaemia_3">Parameters!$B$160</definedName>
    <definedName name="AGA_prem_2hypoglycaemia_4">Parameters!$B$47</definedName>
    <definedName name="AGA_prem_2normoglycaemia_1">Parameters!$B$48</definedName>
    <definedName name="AGA_prem_2normoglycaemia_2">Parameters!$B$102</definedName>
    <definedName name="AGA_prem_2normoglycaemia_3">Parameters!$B$161</definedName>
    <definedName name="AGA_prem_2normoglycaemia_4">Parameters!$B$48</definedName>
    <definedName name="AGA_prem_2s_1">Parameters!$B$32</definedName>
    <definedName name="AGA_prem_2s_2">Parameters!$B$86</definedName>
    <definedName name="AGA_prem_2s_3">Parameters!$B$145</definedName>
    <definedName name="AGA_prem_2s_4">Parameters!$B$199</definedName>
    <definedName name="AGA_term_2d_1">Parameters!$B$35</definedName>
    <definedName name="AGA_term_2d_2">Parameters!$B$89</definedName>
    <definedName name="AGA_term_2d_3">Parameters!$B$148</definedName>
    <definedName name="AGA_term_2d_4">Parameters!$B$202</definedName>
    <definedName name="AGA_term_2hypoglycaemia_1">Parameters!$B$49</definedName>
    <definedName name="AGA_term_2hypoglycaemia_2">Parameters!$B$103</definedName>
    <definedName name="AGA_term_2hypoglycaemia_3">Parameters!$B$162</definedName>
    <definedName name="AGA_term_2hypoglycaemia_4">Parameters!$B$49</definedName>
    <definedName name="AGA_term_2normoglycaemia_1">Parameters!$B$50</definedName>
    <definedName name="AGA_term_2normoglycaemia_2">Parameters!$B$104</definedName>
    <definedName name="AGA_term_2normoglycaemia_3">Parameters!$B$163</definedName>
    <definedName name="AGA_term_2normoglycaemia_4">Parameters!$B$50</definedName>
    <definedName name="AGA_term_2s_1">Parameters!$B$36</definedName>
    <definedName name="AGA_term_2s_2">Parameters!$B$90</definedName>
    <definedName name="AGA_term_2s_3">Parameters!$B$149</definedName>
    <definedName name="AGA_term_2s_4">Parameters!$B$203</definedName>
    <definedName name="ANC_cost">Parameters!$B$241</definedName>
    <definedName name="ANC_first_visit">Demographics!$B$13</definedName>
    <definedName name="ANC_first_visit_coverage_rate">Demographics!$B$15</definedName>
    <definedName name="ANC_first_vist__increase">Parameters!#REF!</definedName>
    <definedName name="ANC2LB_1">Parameters!$B$10</definedName>
    <definedName name="ANC2LB_3">Parameters!$B$123</definedName>
    <definedName name="ANC2prem_1">Parameters!$B$9</definedName>
    <definedName name="ANC2prem_3">Parameters!#REF!</definedName>
    <definedName name="ANC2SB_1">Parameters!$B$9</definedName>
    <definedName name="ANC2SB_3">Parameters!$B$122</definedName>
    <definedName name="ANC2term_1">Parameters!$B$10</definedName>
    <definedName name="ANC2term_3">Parameters!#REF!</definedName>
    <definedName name="Annual_births">Parameters!#REF!</definedName>
    <definedName name="Arm_1">Parameters!$B$8</definedName>
    <definedName name="Arm_2">Parameters!$B$62</definedName>
    <definedName name="Arm_3">Parameters!$B$121</definedName>
    <definedName name="Arm_4">Parameters!$B$175</definedName>
    <definedName name="Average_life_expectancy_at_birth">Demographics!$B$11</definedName>
    <definedName name="c_1year">Parameters!$B$252</definedName>
    <definedName name="c_2years">Parameters!$B$253</definedName>
    <definedName name="c_ANC">Parameters!$B$241</definedName>
    <definedName name="c_clinic_fu">Parameters!$B$251</definedName>
    <definedName name="c_cog">Parameters!$B$249</definedName>
    <definedName name="c_CSG">Parameters!$B$240</definedName>
    <definedName name="c_grant">Parameters!$B$239</definedName>
    <definedName name="c_hosp_fu">Parameters!$B$250</definedName>
    <definedName name="c_hypo">Parameters!$B$247</definedName>
    <definedName name="c_LBW">Parameters!$B$243</definedName>
    <definedName name="c_lung">Parameters!$B$248</definedName>
    <definedName name="c_NICU_NBW">Parameters!$B$244</definedName>
    <definedName name="c_prem">Parameters!$B$242</definedName>
    <definedName name="c_RDS">Parameters!$B$246</definedName>
    <definedName name="c_SB">Parameters!$B$245</definedName>
    <definedName name="Children_receiving_CSG">Demographics!$B$12</definedName>
    <definedName name="ChronicResp_cost">Parameters!$B$248</definedName>
    <definedName name="Cognitive_impairement_cost">Parameters!$B$249</definedName>
    <definedName name="Comparator_probabilities">Parameters!$B$116</definedName>
    <definedName name="Complication_rate">Parameters!#REF!</definedName>
    <definedName name="cRatio">Simulation!$L$1</definedName>
    <definedName name="DR">Parameters!$B$271</definedName>
    <definedName name="dw_CLD">Parameters!$B$257</definedName>
    <definedName name="dw_motor">Parameters!$B$258</definedName>
    <definedName name="e_ANC">Parameters!$B$231</definedName>
    <definedName name="e_LBW">Parameters!$B$233</definedName>
    <definedName name="e_mortality">Parameters!$B$235</definedName>
    <definedName name="e_premterm_PSGANC">Parameters!#REF!</definedName>
    <definedName name="e_preterm">Parameters!$B$232</definedName>
    <definedName name="e_preterm_ANC">Parameters!#REF!</definedName>
    <definedName name="e_preterm_PSG">Parameters!$B$232</definedName>
    <definedName name="e_preterm_PSGANC">[1]Parameters!$B$93</definedName>
    <definedName name="e_SGA">Parameters!$B$234</definedName>
    <definedName name="Female_life_expectancy_at_birth">Demographics!$B$10</definedName>
    <definedName name="Female_population">Demographics!$B$5</definedName>
    <definedName name="follow_up__clinic__cost">Parameters!$B$251</definedName>
    <definedName name="follow_up__hosp__cost">Parameters!$B$250</definedName>
    <definedName name="G2ANC">Parameters!$B$5</definedName>
    <definedName name="G2noANC">Parameters!$B$6</definedName>
    <definedName name="Grant_cost">Parameters!$B$239</definedName>
    <definedName name="Grant_eligibility_rate">Parameters!#REF!</definedName>
    <definedName name="Hypo2CI_1">Parameters!$B$57</definedName>
    <definedName name="Hypo2CI_2">Parameters!$B$111</definedName>
    <definedName name="Hypo2CI_3">Parameters!$B$170</definedName>
    <definedName name="Hypo2CI_4">Parameters!$B$224</definedName>
    <definedName name="Hypo2cog_1">Parameters!$B$26</definedName>
    <definedName name="Hypo2cog_2">Parameters!#REF!</definedName>
    <definedName name="Hypo2cog_3">Parameters!#REF!</definedName>
    <definedName name="Hypo2cog_4">Parameters!#REF!</definedName>
    <definedName name="Hypo2noCI_1">Parameters!$B$58</definedName>
    <definedName name="Hypo2noCI_2">Parameters!$B$112</definedName>
    <definedName name="Hypo2noCI_3">Parameters!$B$171</definedName>
    <definedName name="Hypo2noCI_4">Parameters!$B$225</definedName>
    <definedName name="Hypo2norm_1">Parameters!$B$27</definedName>
    <definedName name="Hypo2norm_2">Parameters!#REF!</definedName>
    <definedName name="Hypo2norm_3">Parameters!#REF!</definedName>
    <definedName name="Hypo2norm_4">Parameters!#REF!</definedName>
    <definedName name="Hypoglycaemia">Parameters!#REF!</definedName>
    <definedName name="Hypoglycaemia_cost">Parameters!$B$247</definedName>
    <definedName name="LB2prem_1">Parameters!$B$12</definedName>
    <definedName name="LB2prem_2">Parameters!$B$66</definedName>
    <definedName name="LB2prem_3">Parameters!$B$125</definedName>
    <definedName name="LB2prem_4">Parameters!$B$179</definedName>
    <definedName name="LB2term_1">Parameters!$B$13</definedName>
    <definedName name="LB2term_2">Parameters!$B$67</definedName>
    <definedName name="LB2term_3">Parameters!$B$126</definedName>
    <definedName name="LB2term_4">Parameters!$B$180</definedName>
    <definedName name="LBW__reduction">Parameters!#REF!</definedName>
    <definedName name="LBW_cost">Parameters!$B$243</definedName>
    <definedName name="LBW_prem_2AGA_1">Parameters!$B$21</definedName>
    <definedName name="LBW_prem_2AGA_2">Parameters!$B$75</definedName>
    <definedName name="LBW_prem_2AGA_3">Parameters!$B$134</definedName>
    <definedName name="LBW_prem_2AGA_4">Parameters!$B$188</definedName>
    <definedName name="LBW_prem_2SGA_1">Parameters!$B$20</definedName>
    <definedName name="LBW_prem_2SGA_2">Parameters!$B$74</definedName>
    <definedName name="LBW_prem_2SGA_3">Parameters!$B$133</definedName>
    <definedName name="LBW_prem_2SGA_4">Parameters!$B$187</definedName>
    <definedName name="LBW_term_2AGA_1">Parameters!$B$25</definedName>
    <definedName name="LBW_term_2AGA_2">Parameters!$B$79</definedName>
    <definedName name="LBW_term_2AGA_3">Parameters!$B$138</definedName>
    <definedName name="LBW_term_2AGA_4">Parameters!$B$192</definedName>
    <definedName name="LBW_term_2SGA_1">Parameters!$B$24</definedName>
    <definedName name="LBW_term_2SGA_2">Parameters!$B$78</definedName>
    <definedName name="LBW_term_2SGA_3">Parameters!$B$137</definedName>
    <definedName name="LBW_term_2SGA_4">Parameters!$B$191</definedName>
    <definedName name="LBW2d_1">Parameters!$B$18</definedName>
    <definedName name="LBW2d_2">Parameters!$B$36</definedName>
    <definedName name="LBW2d_3">Parameters!#REF!</definedName>
    <definedName name="LBW2d_4">Parameters!#REF!</definedName>
    <definedName name="LBW2norm_1">Parameters!$B$17</definedName>
    <definedName name="LBW2norm_2">Parameters!$B$35</definedName>
    <definedName name="LBW2norm_3">Parameters!#REF!</definedName>
    <definedName name="LBW2norm_4">Parameters!#REF!</definedName>
    <definedName name="LBW2RDS_1">Parameters!$B$16</definedName>
    <definedName name="LBW2RDS_2">Parameters!$B$34</definedName>
    <definedName name="LBW2RDS_3">Parameters!#REF!</definedName>
    <definedName name="LBW2RDS_4">Parameters!#REF!</definedName>
    <definedName name="Male_life_expectancy_at_birth">Demographics!$B$9</definedName>
    <definedName name="NBW_prem_2AGA_1">Parameters!$B$23</definedName>
    <definedName name="NBW_prem_2AGA_2">Parameters!$B$77</definedName>
    <definedName name="NBW_prem_2AGA_3">Parameters!$B$136</definedName>
    <definedName name="NBW_prem_2AGA_4">Parameters!$B$190</definedName>
    <definedName name="NBW_prem_2SGA_1">Parameters!$B$22</definedName>
    <definedName name="NBW_prem_2SGA_2">Parameters!$B$76</definedName>
    <definedName name="NBW_prem_2SGA_3">Parameters!$B$135</definedName>
    <definedName name="NBW_prem_2SGA_4">Parameters!$B$189</definedName>
    <definedName name="NBW_term_2AGA_1">Parameters!$B$27</definedName>
    <definedName name="NBW_term_2AGA_2">Parameters!$B$81</definedName>
    <definedName name="NBW_term_2AGA_3">Parameters!$B$140</definedName>
    <definedName name="NBW_term_2AGA_4">Parameters!$B$194</definedName>
    <definedName name="NBW_term_2SGA_1">Parameters!$B$26</definedName>
    <definedName name="NBW_term_2SGA_2">Parameters!$B$80</definedName>
    <definedName name="NBW_term_2SGA_3">Parameters!$B$139</definedName>
    <definedName name="NBW_term_2SGA_4">Parameters!$B$193</definedName>
    <definedName name="NG2ANC">Parameters!#REF!</definedName>
    <definedName name="NG2noANC">Parameters!#REF!</definedName>
    <definedName name="No_ANC_rate">Demographics!$B$14</definedName>
    <definedName name="NoANC2LB_2">Parameters!$B$64</definedName>
    <definedName name="NoANC2LB_4">Parameters!$B$177</definedName>
    <definedName name="NoANC2prem_2">Parameters!$B$30</definedName>
    <definedName name="NoANC2prem_4">Parameters!#REF!</definedName>
    <definedName name="NoANC2SB_2">Parameters!$B$63</definedName>
    <definedName name="NoANC2SB_4">Parameters!$B$176</definedName>
    <definedName name="NoANC2term_2">Parameters!$B$31</definedName>
    <definedName name="NoANC2term_4">Parameters!#REF!</definedName>
    <definedName name="NoG2ANC">Parameters!$B$118</definedName>
    <definedName name="NoG2noANC">Parameters!$B$119</definedName>
    <definedName name="noHypo2CI_1">Parameters!$B$59</definedName>
    <definedName name="noHypo2CI_2">Parameters!$B$113</definedName>
    <definedName name="noHypo2CI_3">Parameters!$B$172</definedName>
    <definedName name="noHypo2CI_4">Parameters!$B$226</definedName>
    <definedName name="noHypo2noCI_1">Parameters!$B$60</definedName>
    <definedName name="noHypo2noCI_2">Parameters!$B$114</definedName>
    <definedName name="noHypo2noCI_3">Parameters!$B$173</definedName>
    <definedName name="noHypo2noCI_4">Parameters!$B$227</definedName>
    <definedName name="noRDS2CLD_1">Parameters!$B$54</definedName>
    <definedName name="noRDS2CLD_2">Parameters!$B$108</definedName>
    <definedName name="noRDS2CLD_3">Parameters!$B$167</definedName>
    <definedName name="noRDS2CLD_4">Parameters!$B$221</definedName>
    <definedName name="noRDS2noCLD_1">Parameters!$B$55</definedName>
    <definedName name="noRDS2noCLD_2">Parameters!$B$109</definedName>
    <definedName name="noRDS2noCLD_3">Parameters!$B$168</definedName>
    <definedName name="noRDS2noCLD_4">Parameters!$B$222</definedName>
    <definedName name="Population">Demographics!$B$4</definedName>
    <definedName name="Prem2LBW_1">Parameters!$B$15</definedName>
    <definedName name="Prem2LBW_2">Parameters!$B$69</definedName>
    <definedName name="Prem2LBW_3">Parameters!$B$128</definedName>
    <definedName name="Prem2LBW_4">Parameters!$B$182</definedName>
    <definedName name="Prem2NBW_1">Parameters!$B$16</definedName>
    <definedName name="Prem2NBW_2">Parameters!$B$70</definedName>
    <definedName name="Prem2NBW_3">Parameters!$B$129</definedName>
    <definedName name="Prem2NBW_4">Parameters!$B$183</definedName>
    <definedName name="Prem2norm_1">Parameters!$B$15</definedName>
    <definedName name="Prem2norm_2">Parameters!$B$33</definedName>
    <definedName name="Prem2norm_3">Parameters!#REF!</definedName>
    <definedName name="Prem2norm_4">Parameters!#REF!</definedName>
    <definedName name="Preterm__ANC_and_PSG">Parameters!#REF!</definedName>
    <definedName name="Preterm__reduction">Parameters!#REF!</definedName>
    <definedName name="Preterm_cost">Parameters!$B$242</definedName>
    <definedName name="Preterm_rate">Parameters!#REF!</definedName>
    <definedName name="Preterm_reduction_with_ANC">Parameters!#REF!</definedName>
    <definedName name="Rate_of_chronic_lung_disease">Parameters!#REF!</definedName>
    <definedName name="Rate_of_cognitive_impairement">Parameters!#REF!</definedName>
    <definedName name="Rate_of_LBW">Parameters!#REF!</definedName>
    <definedName name="Rate_of_LBW_death">Parameters!#REF!</definedName>
    <definedName name="Rate_of_prem_death">Parameters!#REF!</definedName>
    <definedName name="RDS_cost">Parameters!$B$246</definedName>
    <definedName name="RDS_death_rate">Parameters!#REF!</definedName>
    <definedName name="RDS_rate">Parameters!#REF!</definedName>
    <definedName name="RDS2CLD_1">Parameters!$B$52</definedName>
    <definedName name="RDS2CLD_2">Parameters!$B$106</definedName>
    <definedName name="RDS2CLD_3">Parameters!$B$165</definedName>
    <definedName name="RDS2CLD_4">Parameters!$B$219</definedName>
    <definedName name="RDS2lung_1">Parameters!$B$19</definedName>
    <definedName name="RDS2lung_2">Parameters!$B$37</definedName>
    <definedName name="RDS2lung_3">Parameters!#REF!</definedName>
    <definedName name="RDS2lung_4">Parameters!#REF!</definedName>
    <definedName name="RDS2noCLD_1">Parameters!$B$53</definedName>
    <definedName name="RDS2noCLD_2">Parameters!$B$107</definedName>
    <definedName name="RDS2noCLD_3">Parameters!$B$166</definedName>
    <definedName name="RDS2noCLD_4">Parameters!$B$220</definedName>
    <definedName name="RDS2norm_1">Parameters!$B$20</definedName>
    <definedName name="RDS2norm_2">Parameters!$B$38</definedName>
    <definedName name="RDS2norm_3">Parameters!#REF!</definedName>
    <definedName name="RDS2norm_4">Parameters!#REF!</definedName>
    <definedName name="S_prem_2noRDS_1">Parameters!$B$39</definedName>
    <definedName name="S_prem_2noRDS_2">Parameters!$B$93</definedName>
    <definedName name="S_prem_2noRDS_3">Parameters!$B$152</definedName>
    <definedName name="S_prem_2noRDS_4">Parameters!$B$206</definedName>
    <definedName name="S_prem_2RDS_1">Parameters!$B$38</definedName>
    <definedName name="S_prem_2RDS_2">Parameters!$B$92</definedName>
    <definedName name="S_prem_2RDS_3">Parameters!$B$151</definedName>
    <definedName name="S_prem_2RDS_4">Parameters!$B$205</definedName>
    <definedName name="S_term_2noRDS_1">Parameters!$B$41</definedName>
    <definedName name="S_term_2noRDS_2">Parameters!$B$95</definedName>
    <definedName name="S_term_2noRDS_3">Parameters!$B$154</definedName>
    <definedName name="S_term_2noRDS_4">Parameters!$B$208</definedName>
    <definedName name="S_term_2RDS_1">Parameters!$B$40</definedName>
    <definedName name="S_term_2RDS_2">Parameters!$B$94</definedName>
    <definedName name="S_term_2RDS_3">Parameters!$B$153</definedName>
    <definedName name="S_term_2RDS_4">Parameters!$B$207</definedName>
    <definedName name="SGA">Parameters!#REF!</definedName>
    <definedName name="SGA__reduction">Parameters!#REF!</definedName>
    <definedName name="SGA_death">Parameters!#REF!</definedName>
    <definedName name="SGA_prem_2d_1">Parameters!$B$29</definedName>
    <definedName name="SGA_prem_2d_2">Parameters!$B$83</definedName>
    <definedName name="SGA_prem_2d_3">Parameters!$B$142</definedName>
    <definedName name="SGA_prem_2d_4">Parameters!$B$196</definedName>
    <definedName name="SGA_prem_2hypoglycaemia_1">Parameters!$B$43</definedName>
    <definedName name="SGA_prem_2hypoglycaemia_2">Parameters!$B$97</definedName>
    <definedName name="SGA_prem_2hypoglycaemia_3">Parameters!$B$156</definedName>
    <definedName name="SGA_prem_2hypoglycaemia_4">Parameters!$B$210</definedName>
    <definedName name="SGA_prem_2normoglycaemia_1">Parameters!$B$44</definedName>
    <definedName name="SGA_prem_2normoglycaemia_2">Parameters!$B$98</definedName>
    <definedName name="SGA_prem_2normoglycaemia_3">Parameters!$B$157</definedName>
    <definedName name="SGA_prem_2normoglycaemia_4">Parameters!$B$211</definedName>
    <definedName name="SGA_prem_2s_1">Parameters!$B$30</definedName>
    <definedName name="SGA_prem_2s_2">Parameters!$B$84</definedName>
    <definedName name="SGA_prem_2s_3">Parameters!$B$143</definedName>
    <definedName name="SGA_prem_2s_4">Parameters!$B$197</definedName>
    <definedName name="SGA_term_2d_1">Parameters!$B$33</definedName>
    <definedName name="SGA_term_2d_2">Parameters!$B$87</definedName>
    <definedName name="SGA_term_2d_3">Parameters!$B$146</definedName>
    <definedName name="SGA_term_2d_4">Parameters!$B$200</definedName>
    <definedName name="SGA_term_2hypoglycaemia_1">Parameters!$B$45</definedName>
    <definedName name="SGA_term_2hypoglycaemia_2">Parameters!$B$99</definedName>
    <definedName name="SGA_term_2hypoglycaemia_3">Parameters!$B$158</definedName>
    <definedName name="SGA_term_2hypoglycaemia_4">Parameters!$B$212</definedName>
    <definedName name="SGA_term_2normoglycaemia_1">Parameters!$B$46</definedName>
    <definedName name="SGA_term_2normoglycaemia_2">Parameters!$B$100</definedName>
    <definedName name="SGA_term_2normoglycaemia_3">Parameters!$B$159</definedName>
    <definedName name="SGA_term_2normoglycaemia_4">Parameters!$B$213</definedName>
    <definedName name="SGA_term_2s_1">Parameters!$B$34</definedName>
    <definedName name="SGA_term_2s_2">Parameters!$B$88</definedName>
    <definedName name="SGA_term_2s_3">Parameters!$B$147</definedName>
    <definedName name="SGA_term_2s_4">Parameters!$B$201</definedName>
    <definedName name="SGA2hypo_1">Parameters!$B$24</definedName>
    <definedName name="SGA2hypo_2">Parameters!$B$42</definedName>
    <definedName name="SGA2hypo_3">Parameters!#REF!</definedName>
    <definedName name="SGA2hypo_4">Parameters!#REF!</definedName>
    <definedName name="SGA2norm_1">Parameters!$B$25</definedName>
    <definedName name="SGA2norm_2">Parameters!$B$43</definedName>
    <definedName name="SGA2norm_3">Parameters!#REF!</definedName>
    <definedName name="SGA2norm_4">Parameters!#REF!</definedName>
    <definedName name="South_African_births">Demographics!$B$18</definedName>
    <definedName name="Stillbirth_reductionn_with_ANC">Parameters!#REF!</definedName>
    <definedName name="Teen_births">Demographics!$B$7</definedName>
    <definedName name="Term_stillbirth">Parameters!#REF!</definedName>
    <definedName name="Term2LBW_1">Parameters!$B$17</definedName>
    <definedName name="Term2LBW_2">Parameters!$B$71</definedName>
    <definedName name="Term2LBW_3">Parameters!$B$130</definedName>
    <definedName name="Term2LBW_4">Parameters!$B$184</definedName>
    <definedName name="Term2NBW_1">Parameters!$B$18</definedName>
    <definedName name="Term2NBW_2">Parameters!$B$72</definedName>
    <definedName name="Term2NBW_3">Parameters!$B$131</definedName>
    <definedName name="Term2NBW_4">Parameters!$B$185</definedName>
    <definedName name="Term2norm_1">Parameters!$B$22</definedName>
    <definedName name="Term2norm_2">Parameters!$B$40</definedName>
    <definedName name="Term2norm_3">Parameters!#REF!</definedName>
    <definedName name="Term2norm_4">Parameters!#REF!</definedName>
    <definedName name="Term2sb_1">Parameters!$B$23</definedName>
    <definedName name="Term2sb_2">Parameters!$B$41</definedName>
    <definedName name="Term2sb_3">Parameters!#REF!</definedName>
    <definedName name="Term2sb_4">Parameters!#REF!</definedName>
    <definedName name="Term2SGA_1">Parameters!$B$21</definedName>
    <definedName name="Term2SGA_2">Parameters!$B$39</definedName>
    <definedName name="Term2SGA_3">Parameters!#REF!</definedName>
    <definedName name="Term2SGA_4">Parameters!#REF!</definedName>
    <definedName name="Threshold">Output!$C$12</definedName>
    <definedName name="Total_births">Demographics!$B$6</definedName>
    <definedName name="Total_pregnancies">Demographics!$B$16</definedName>
    <definedName name="u_ChronicResp">Parameters!$B$265</definedName>
    <definedName name="u_CongnitiveImpairement">Parameters!$B$266</definedName>
    <definedName name="u_Death">Parameters!$B$263</definedName>
    <definedName name="u_Healthy">Parameters!$B$264</definedName>
    <definedName name="u_Hypoglycaemia">Parameters!#REF!</definedName>
    <definedName name="u_parental">Parameters!$B$267</definedName>
    <definedName name="u_RDS">Parameters!#REF!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 i="35" l="1"/>
  <c r="R7" i="35"/>
  <c r="R8" i="35"/>
  <c r="R9" i="35"/>
  <c r="R10" i="35"/>
  <c r="R11" i="35"/>
  <c r="R12" i="35"/>
  <c r="R13" i="35"/>
  <c r="R14" i="35"/>
  <c r="R15" i="35"/>
  <c r="R16" i="35"/>
  <c r="R17" i="35"/>
  <c r="R18" i="35"/>
  <c r="R19" i="35"/>
  <c r="R20" i="35"/>
  <c r="R21" i="35"/>
  <c r="R22" i="35"/>
  <c r="R23" i="35"/>
  <c r="R24" i="35"/>
  <c r="R25" i="35"/>
  <c r="R26" i="35"/>
  <c r="R27" i="35"/>
  <c r="R28" i="35"/>
  <c r="R29" i="35"/>
  <c r="R30" i="35"/>
  <c r="R31" i="35"/>
  <c r="R32" i="35"/>
  <c r="R33" i="35"/>
  <c r="R34" i="35"/>
  <c r="R35" i="35"/>
  <c r="R36" i="35"/>
  <c r="R37" i="35"/>
  <c r="R38" i="35"/>
  <c r="R39" i="35"/>
  <c r="R40" i="35"/>
  <c r="R41" i="35"/>
  <c r="R42" i="35"/>
  <c r="R43" i="35"/>
  <c r="R44" i="35"/>
  <c r="R45" i="35"/>
  <c r="R46" i="35"/>
  <c r="R47" i="35"/>
  <c r="R48" i="35"/>
  <c r="R49" i="35"/>
  <c r="R50" i="35"/>
  <c r="R51" i="35"/>
  <c r="R52" i="35"/>
  <c r="R53" i="35"/>
  <c r="R54" i="35"/>
  <c r="R55" i="35"/>
  <c r="R56" i="35"/>
  <c r="R57" i="35"/>
  <c r="R58" i="35"/>
  <c r="R59" i="35"/>
  <c r="R60" i="35"/>
  <c r="R61" i="35"/>
  <c r="R62" i="35"/>
  <c r="R63" i="35"/>
  <c r="R64" i="35"/>
  <c r="R65" i="35"/>
  <c r="R66" i="35"/>
  <c r="R67" i="35"/>
  <c r="R68" i="35"/>
  <c r="R69" i="35"/>
  <c r="R70" i="35"/>
  <c r="R71" i="35"/>
  <c r="R72" i="35"/>
  <c r="R73" i="35"/>
  <c r="R74" i="35"/>
  <c r="R75" i="35"/>
  <c r="R76" i="35"/>
  <c r="R77" i="35"/>
  <c r="R78" i="35"/>
  <c r="R79" i="35"/>
  <c r="R80" i="35"/>
  <c r="R81" i="35"/>
  <c r="R82" i="35"/>
  <c r="R83" i="35"/>
  <c r="R84" i="35"/>
  <c r="R85" i="35"/>
  <c r="R86" i="35"/>
  <c r="R87" i="35"/>
  <c r="R88" i="35"/>
  <c r="R89" i="35"/>
  <c r="R90" i="35"/>
  <c r="R91" i="35"/>
  <c r="R92" i="35"/>
  <c r="R93" i="35"/>
  <c r="R94" i="35"/>
  <c r="R95" i="35"/>
  <c r="R96" i="35"/>
  <c r="R97" i="35"/>
  <c r="R98" i="35"/>
  <c r="R99" i="35"/>
  <c r="R100" i="35"/>
  <c r="R101" i="35"/>
  <c r="R102" i="35"/>
  <c r="R103" i="35"/>
  <c r="R104" i="35"/>
  <c r="R105" i="35"/>
  <c r="R106" i="35"/>
  <c r="R107" i="35"/>
  <c r="R108" i="35"/>
  <c r="R109" i="35"/>
  <c r="R110" i="35"/>
  <c r="R111" i="35"/>
  <c r="R112" i="35"/>
  <c r="R113" i="35"/>
  <c r="R114" i="35"/>
  <c r="R115" i="35"/>
  <c r="R116" i="35"/>
  <c r="R117" i="35"/>
  <c r="R118" i="35"/>
  <c r="R119" i="35"/>
  <c r="R120" i="35"/>
  <c r="R121" i="35"/>
  <c r="R122" i="35"/>
  <c r="R123" i="35"/>
  <c r="R124" i="35"/>
  <c r="R125" i="35"/>
  <c r="R126" i="35"/>
  <c r="R127" i="35"/>
  <c r="R128" i="35"/>
  <c r="R129" i="35"/>
  <c r="R130" i="35"/>
  <c r="R131" i="35"/>
  <c r="R132" i="35"/>
  <c r="R133" i="35"/>
  <c r="R134" i="35"/>
  <c r="R135" i="35"/>
  <c r="R136" i="35"/>
  <c r="R137" i="35"/>
  <c r="R138" i="35"/>
  <c r="R139" i="35"/>
  <c r="R140" i="35"/>
  <c r="R141" i="35"/>
  <c r="R142" i="35"/>
  <c r="R143" i="35"/>
  <c r="R144" i="35"/>
  <c r="R145" i="35"/>
  <c r="R146" i="35"/>
  <c r="R147" i="35"/>
  <c r="R148" i="35"/>
  <c r="R149" i="35"/>
  <c r="R150" i="35"/>
  <c r="R151" i="35"/>
  <c r="R152" i="35"/>
  <c r="R153" i="35"/>
  <c r="R154" i="35"/>
  <c r="R155" i="35"/>
  <c r="R156" i="35"/>
  <c r="R157" i="35"/>
  <c r="R158" i="35"/>
  <c r="R159" i="35"/>
  <c r="R160" i="35"/>
  <c r="R161" i="35"/>
  <c r="R162" i="35"/>
  <c r="R163" i="35"/>
  <c r="R164" i="35"/>
  <c r="R165" i="35"/>
  <c r="R166" i="35"/>
  <c r="R167" i="35"/>
  <c r="R168" i="35"/>
  <c r="R169" i="35"/>
  <c r="R170" i="35"/>
  <c r="R171" i="35"/>
  <c r="R172" i="35"/>
  <c r="R173" i="35"/>
  <c r="R174" i="35"/>
  <c r="R175" i="35"/>
  <c r="R176" i="35"/>
  <c r="R177" i="35"/>
  <c r="R178" i="35"/>
  <c r="R179" i="35"/>
  <c r="R180" i="35"/>
  <c r="R181" i="35"/>
  <c r="R182" i="35"/>
  <c r="R183" i="35"/>
  <c r="R184" i="35"/>
  <c r="R185" i="35"/>
  <c r="R186" i="35"/>
  <c r="R187" i="35"/>
  <c r="R188" i="35"/>
  <c r="R189" i="35"/>
  <c r="R190" i="35"/>
  <c r="R191" i="35"/>
  <c r="R192" i="35"/>
  <c r="R193" i="35"/>
  <c r="R194" i="35"/>
  <c r="R195" i="35"/>
  <c r="R196" i="35"/>
  <c r="R197" i="35"/>
  <c r="R198" i="35"/>
  <c r="R199" i="35"/>
  <c r="R200" i="35"/>
  <c r="R201" i="35"/>
  <c r="R202" i="35"/>
  <c r="R203" i="35"/>
  <c r="R204" i="35"/>
  <c r="R205" i="35"/>
  <c r="R206" i="35"/>
  <c r="R207" i="35"/>
  <c r="R208" i="35"/>
  <c r="R209" i="35"/>
  <c r="R210" i="35"/>
  <c r="R211" i="35"/>
  <c r="R212" i="35"/>
  <c r="R213" i="35"/>
  <c r="R214" i="35"/>
  <c r="R215" i="35"/>
  <c r="R216" i="35"/>
  <c r="R217" i="35"/>
  <c r="R218" i="35"/>
  <c r="R219" i="35"/>
  <c r="R220" i="35"/>
  <c r="R221" i="35"/>
  <c r="R222" i="35"/>
  <c r="R223" i="35"/>
  <c r="R224" i="35"/>
  <c r="R225" i="35"/>
  <c r="R226" i="35"/>
  <c r="R227" i="35"/>
  <c r="R228" i="35"/>
  <c r="R229" i="35"/>
  <c r="R230" i="35"/>
  <c r="R231" i="35"/>
  <c r="R232" i="35"/>
  <c r="R233" i="35"/>
  <c r="R234" i="35"/>
  <c r="R235" i="35"/>
  <c r="R236" i="35"/>
  <c r="R237" i="35"/>
  <c r="R238" i="35"/>
  <c r="R239" i="35"/>
  <c r="R240" i="35"/>
  <c r="R241" i="35"/>
  <c r="R242" i="35"/>
  <c r="R243" i="35"/>
  <c r="R244" i="35"/>
  <c r="R245" i="35"/>
  <c r="R246" i="35"/>
  <c r="R247" i="35"/>
  <c r="R248" i="35"/>
  <c r="R249" i="35"/>
  <c r="R250" i="35"/>
  <c r="R251" i="35"/>
  <c r="R252" i="35"/>
  <c r="R253" i="35"/>
  <c r="R254" i="35"/>
  <c r="R255" i="35"/>
  <c r="R256" i="35"/>
  <c r="R257" i="35"/>
  <c r="R258" i="35"/>
  <c r="R259" i="35"/>
  <c r="R260" i="35"/>
  <c r="R261" i="35"/>
  <c r="R262" i="35"/>
  <c r="R263" i="35"/>
  <c r="R264" i="35"/>
  <c r="R265" i="35"/>
  <c r="R266" i="35"/>
  <c r="R267" i="35"/>
  <c r="R268" i="35"/>
  <c r="R269" i="35"/>
  <c r="R270" i="35"/>
  <c r="R271" i="35"/>
  <c r="R272" i="35"/>
  <c r="R273" i="35"/>
  <c r="R274" i="35"/>
  <c r="R275" i="35"/>
  <c r="R276" i="35"/>
  <c r="R277" i="35"/>
  <c r="R278" i="35"/>
  <c r="R279" i="35"/>
  <c r="R280" i="35"/>
  <c r="R281" i="35"/>
  <c r="R282" i="35"/>
  <c r="R283" i="35"/>
  <c r="R284" i="35"/>
  <c r="R285" i="35"/>
  <c r="R286" i="35"/>
  <c r="R287" i="35"/>
  <c r="R288" i="35"/>
  <c r="R289" i="35"/>
  <c r="R290" i="35"/>
  <c r="R291" i="35"/>
  <c r="R292" i="35"/>
  <c r="R293" i="35"/>
  <c r="R294" i="35"/>
  <c r="R295" i="35"/>
  <c r="R296" i="35"/>
  <c r="R297" i="35"/>
  <c r="R298" i="35"/>
  <c r="R299" i="35"/>
  <c r="R300" i="35"/>
  <c r="R301" i="35"/>
  <c r="R302" i="35"/>
  <c r="R303" i="35"/>
  <c r="R304" i="35"/>
  <c r="R305" i="35"/>
  <c r="R306" i="35"/>
  <c r="R307" i="35"/>
  <c r="R308" i="35"/>
  <c r="R309" i="35"/>
  <c r="R310" i="35"/>
  <c r="R311" i="35"/>
  <c r="R312" i="35"/>
  <c r="R313" i="35"/>
  <c r="R314" i="35"/>
  <c r="R315" i="35"/>
  <c r="R316" i="35"/>
  <c r="R317" i="35"/>
  <c r="R318" i="35"/>
  <c r="R319" i="35"/>
  <c r="R320" i="35"/>
  <c r="R321" i="35"/>
  <c r="R322" i="35"/>
  <c r="R323" i="35"/>
  <c r="R324" i="35"/>
  <c r="R325" i="35"/>
  <c r="R326" i="35"/>
  <c r="R327" i="35"/>
  <c r="R328" i="35"/>
  <c r="R329" i="35"/>
  <c r="R330" i="35"/>
  <c r="R331" i="35"/>
  <c r="R332" i="35"/>
  <c r="R333" i="35"/>
  <c r="R334" i="35"/>
  <c r="R335" i="35"/>
  <c r="R336" i="35"/>
  <c r="R337" i="35"/>
  <c r="R338" i="35"/>
  <c r="R339" i="35"/>
  <c r="R340" i="35"/>
  <c r="R341" i="35"/>
  <c r="R342" i="35"/>
  <c r="R343" i="35"/>
  <c r="R344" i="35"/>
  <c r="R345" i="35"/>
  <c r="R346" i="35"/>
  <c r="R347" i="35"/>
  <c r="R348" i="35"/>
  <c r="R349" i="35"/>
  <c r="R350" i="35"/>
  <c r="R351" i="35"/>
  <c r="R352" i="35"/>
  <c r="R353" i="35"/>
  <c r="R354" i="35"/>
  <c r="R355" i="35"/>
  <c r="R356" i="35"/>
  <c r="R357" i="35"/>
  <c r="R358" i="35"/>
  <c r="R359" i="35"/>
  <c r="R360" i="35"/>
  <c r="R361" i="35"/>
  <c r="R362" i="35"/>
  <c r="R363" i="35"/>
  <c r="R364" i="35"/>
  <c r="R365" i="35"/>
  <c r="R366" i="35"/>
  <c r="R367" i="35"/>
  <c r="R368" i="35"/>
  <c r="R369" i="35"/>
  <c r="R370" i="35"/>
  <c r="R371" i="35"/>
  <c r="R372" i="35"/>
  <c r="R373" i="35"/>
  <c r="R374" i="35"/>
  <c r="R375" i="35"/>
  <c r="R376" i="35"/>
  <c r="R377" i="35"/>
  <c r="R378" i="35"/>
  <c r="R379" i="35"/>
  <c r="R380" i="35"/>
  <c r="R381" i="35"/>
  <c r="R382" i="35"/>
  <c r="R383" i="35"/>
  <c r="R384" i="35"/>
  <c r="R385" i="35"/>
  <c r="R386" i="35"/>
  <c r="R387" i="35"/>
  <c r="R388" i="35"/>
  <c r="R389" i="35"/>
  <c r="R390" i="35"/>
  <c r="R391" i="35"/>
  <c r="R392" i="35"/>
  <c r="R393" i="35"/>
  <c r="R394" i="35"/>
  <c r="R395" i="35"/>
  <c r="R396" i="35"/>
  <c r="R397" i="35"/>
  <c r="R398" i="35"/>
  <c r="R399" i="35"/>
  <c r="R400" i="35"/>
  <c r="R401" i="35"/>
  <c r="R402" i="35"/>
  <c r="R403" i="35"/>
  <c r="R404" i="35"/>
  <c r="R405" i="35"/>
  <c r="R406" i="35"/>
  <c r="R407" i="35"/>
  <c r="R408" i="35"/>
  <c r="R409" i="35"/>
  <c r="R410" i="35"/>
  <c r="R411" i="35"/>
  <c r="R412" i="35"/>
  <c r="R413" i="35"/>
  <c r="R414" i="35"/>
  <c r="R415" i="35"/>
  <c r="R416" i="35"/>
  <c r="R417" i="35"/>
  <c r="R418" i="35"/>
  <c r="R419" i="35"/>
  <c r="R420" i="35"/>
  <c r="R421" i="35"/>
  <c r="R422" i="35"/>
  <c r="R423" i="35"/>
  <c r="R424" i="35"/>
  <c r="R425" i="35"/>
  <c r="R426" i="35"/>
  <c r="R427" i="35"/>
  <c r="R428" i="35"/>
  <c r="R429" i="35"/>
  <c r="R430" i="35"/>
  <c r="R431" i="35"/>
  <c r="R432" i="35"/>
  <c r="R433" i="35"/>
  <c r="R434" i="35"/>
  <c r="R435" i="35"/>
  <c r="R436" i="35"/>
  <c r="R437" i="35"/>
  <c r="R438" i="35"/>
  <c r="R439" i="35"/>
  <c r="R440" i="35"/>
  <c r="R441" i="35"/>
  <c r="R442" i="35"/>
  <c r="R443" i="35"/>
  <c r="R444" i="35"/>
  <c r="R445" i="35"/>
  <c r="R446" i="35"/>
  <c r="R447" i="35"/>
  <c r="R448" i="35"/>
  <c r="R449" i="35"/>
  <c r="R450" i="35"/>
  <c r="R451" i="35"/>
  <c r="R452" i="35"/>
  <c r="R453" i="35"/>
  <c r="R454" i="35"/>
  <c r="R455" i="35"/>
  <c r="R456" i="35"/>
  <c r="R457" i="35"/>
  <c r="R458" i="35"/>
  <c r="R459" i="35"/>
  <c r="R460" i="35"/>
  <c r="R461" i="35"/>
  <c r="R462" i="35"/>
  <c r="R463" i="35"/>
  <c r="R464" i="35"/>
  <c r="R465" i="35"/>
  <c r="R466" i="35"/>
  <c r="R467" i="35"/>
  <c r="R468" i="35"/>
  <c r="R469" i="35"/>
  <c r="R470" i="35"/>
  <c r="R471" i="35"/>
  <c r="R472" i="35"/>
  <c r="R473" i="35"/>
  <c r="R474" i="35"/>
  <c r="R475" i="35"/>
  <c r="R476" i="35"/>
  <c r="R477" i="35"/>
  <c r="R478" i="35"/>
  <c r="R479" i="35"/>
  <c r="R480" i="35"/>
  <c r="R481" i="35"/>
  <c r="R482" i="35"/>
  <c r="R483" i="35"/>
  <c r="R484" i="35"/>
  <c r="R485" i="35"/>
  <c r="R486" i="35"/>
  <c r="R487" i="35"/>
  <c r="R488" i="35"/>
  <c r="R489" i="35"/>
  <c r="R490" i="35"/>
  <c r="R491" i="35"/>
  <c r="R492" i="35"/>
  <c r="R493" i="35"/>
  <c r="R494" i="35"/>
  <c r="R495" i="35"/>
  <c r="R496" i="35"/>
  <c r="R497" i="35"/>
  <c r="R498" i="35"/>
  <c r="R499" i="35"/>
  <c r="R500" i="35"/>
  <c r="R501" i="35"/>
  <c r="R502" i="35"/>
  <c r="R503" i="35"/>
  <c r="R504" i="35"/>
  <c r="R505" i="35"/>
  <c r="R506" i="35"/>
  <c r="R507" i="35"/>
  <c r="R508" i="35"/>
  <c r="R509" i="35"/>
  <c r="R510" i="35"/>
  <c r="R511" i="35"/>
  <c r="R512" i="35"/>
  <c r="R513" i="35"/>
  <c r="R514" i="35"/>
  <c r="R515" i="35"/>
  <c r="R516" i="35"/>
  <c r="R517" i="35"/>
  <c r="R518" i="35"/>
  <c r="R519" i="35"/>
  <c r="R520" i="35"/>
  <c r="R521" i="35"/>
  <c r="R522" i="35"/>
  <c r="R523" i="35"/>
  <c r="R524" i="35"/>
  <c r="R525" i="35"/>
  <c r="R526" i="35"/>
  <c r="R527" i="35"/>
  <c r="R528" i="35"/>
  <c r="R529" i="35"/>
  <c r="R530" i="35"/>
  <c r="R531" i="35"/>
  <c r="R532" i="35"/>
  <c r="R533" i="35"/>
  <c r="R534" i="35"/>
  <c r="R535" i="35"/>
  <c r="R536" i="35"/>
  <c r="R537" i="35"/>
  <c r="R538" i="35"/>
  <c r="R539" i="35"/>
  <c r="R540" i="35"/>
  <c r="R541" i="35"/>
  <c r="R542" i="35"/>
  <c r="R543" i="35"/>
  <c r="R544" i="35"/>
  <c r="R545" i="35"/>
  <c r="R546" i="35"/>
  <c r="R547" i="35"/>
  <c r="R548" i="35"/>
  <c r="R549" i="35"/>
  <c r="R550" i="35"/>
  <c r="R551" i="35"/>
  <c r="R552" i="35"/>
  <c r="R553" i="35"/>
  <c r="R554" i="35"/>
  <c r="R555" i="35"/>
  <c r="R556" i="35"/>
  <c r="R557" i="35"/>
  <c r="R558" i="35"/>
  <c r="R559" i="35"/>
  <c r="R560" i="35"/>
  <c r="R561" i="35"/>
  <c r="R562" i="35"/>
  <c r="R563" i="35"/>
  <c r="R564" i="35"/>
  <c r="R565" i="35"/>
  <c r="R566" i="35"/>
  <c r="R567" i="35"/>
  <c r="R568" i="35"/>
  <c r="R569" i="35"/>
  <c r="R570" i="35"/>
  <c r="R571" i="35"/>
  <c r="R572" i="35"/>
  <c r="R573" i="35"/>
  <c r="R574" i="35"/>
  <c r="R575" i="35"/>
  <c r="R576" i="35"/>
  <c r="R577" i="35"/>
  <c r="R578" i="35"/>
  <c r="R579" i="35"/>
  <c r="R580" i="35"/>
  <c r="R581" i="35"/>
  <c r="R582" i="35"/>
  <c r="R583" i="35"/>
  <c r="R584" i="35"/>
  <c r="R585" i="35"/>
  <c r="R586" i="35"/>
  <c r="R587" i="35"/>
  <c r="R588" i="35"/>
  <c r="R589" i="35"/>
  <c r="R590" i="35"/>
  <c r="R591" i="35"/>
  <c r="R592" i="35"/>
  <c r="R593" i="35"/>
  <c r="R594" i="35"/>
  <c r="R595" i="35"/>
  <c r="R596" i="35"/>
  <c r="R597" i="35"/>
  <c r="R598" i="35"/>
  <c r="R599" i="35"/>
  <c r="R600" i="35"/>
  <c r="R601" i="35"/>
  <c r="R602" i="35"/>
  <c r="R603" i="35"/>
  <c r="R604" i="35"/>
  <c r="R605" i="35"/>
  <c r="R606" i="35"/>
  <c r="R607" i="35"/>
  <c r="R608" i="35"/>
  <c r="R609" i="35"/>
  <c r="R610" i="35"/>
  <c r="R611" i="35"/>
  <c r="R612" i="35"/>
  <c r="R613" i="35"/>
  <c r="R614" i="35"/>
  <c r="R615" i="35"/>
  <c r="R616" i="35"/>
  <c r="R617" i="35"/>
  <c r="R618" i="35"/>
  <c r="R619" i="35"/>
  <c r="R620" i="35"/>
  <c r="R621" i="35"/>
  <c r="R622" i="35"/>
  <c r="R623" i="35"/>
  <c r="R624" i="35"/>
  <c r="R625" i="35"/>
  <c r="R626" i="35"/>
  <c r="R627" i="35"/>
  <c r="R628" i="35"/>
  <c r="R629" i="35"/>
  <c r="R630" i="35"/>
  <c r="R631" i="35"/>
  <c r="R632" i="35"/>
  <c r="R633" i="35"/>
  <c r="R634" i="35"/>
  <c r="R635" i="35"/>
  <c r="R636" i="35"/>
  <c r="R637" i="35"/>
  <c r="R638" i="35"/>
  <c r="R639" i="35"/>
  <c r="R640" i="35"/>
  <c r="R641" i="35"/>
  <c r="R642" i="35"/>
  <c r="R643" i="35"/>
  <c r="R644" i="35"/>
  <c r="R645" i="35"/>
  <c r="R646" i="35"/>
  <c r="R647" i="35"/>
  <c r="R648" i="35"/>
  <c r="R649" i="35"/>
  <c r="R650" i="35"/>
  <c r="R651" i="35"/>
  <c r="R652" i="35"/>
  <c r="R653" i="35"/>
  <c r="R654" i="35"/>
  <c r="R655" i="35"/>
  <c r="R656" i="35"/>
  <c r="R657" i="35"/>
  <c r="R658" i="35"/>
  <c r="R659" i="35"/>
  <c r="R660" i="35"/>
  <c r="R661" i="35"/>
  <c r="R662" i="35"/>
  <c r="R663" i="35"/>
  <c r="R664" i="35"/>
  <c r="R665" i="35"/>
  <c r="R666" i="35"/>
  <c r="R667" i="35"/>
  <c r="R668" i="35"/>
  <c r="R669" i="35"/>
  <c r="R670" i="35"/>
  <c r="R671" i="35"/>
  <c r="R672" i="35"/>
  <c r="R673" i="35"/>
  <c r="R674" i="35"/>
  <c r="R675" i="35"/>
  <c r="R676" i="35"/>
  <c r="R677" i="35"/>
  <c r="R678" i="35"/>
  <c r="R679" i="35"/>
  <c r="R680" i="35"/>
  <c r="R681" i="35"/>
  <c r="R682" i="35"/>
  <c r="R683" i="35"/>
  <c r="R684" i="35"/>
  <c r="R685" i="35"/>
  <c r="R686" i="35"/>
  <c r="R687" i="35"/>
  <c r="R688" i="35"/>
  <c r="R689" i="35"/>
  <c r="R690" i="35"/>
  <c r="R691" i="35"/>
  <c r="R692" i="35"/>
  <c r="R693" i="35"/>
  <c r="R694" i="35"/>
  <c r="R695" i="35"/>
  <c r="R696" i="35"/>
  <c r="R697" i="35"/>
  <c r="R698" i="35"/>
  <c r="R699" i="35"/>
  <c r="R700" i="35"/>
  <c r="R701" i="35"/>
  <c r="R702" i="35"/>
  <c r="R703" i="35"/>
  <c r="R704" i="35"/>
  <c r="R705" i="35"/>
  <c r="R706" i="35"/>
  <c r="R707" i="35"/>
  <c r="R708" i="35"/>
  <c r="R709" i="35"/>
  <c r="R710" i="35"/>
  <c r="R711" i="35"/>
  <c r="R712" i="35"/>
  <c r="R713" i="35"/>
  <c r="R714" i="35"/>
  <c r="R715" i="35"/>
  <c r="R716" i="35"/>
  <c r="R717" i="35"/>
  <c r="R718" i="35"/>
  <c r="R719" i="35"/>
  <c r="R720" i="35"/>
  <c r="R721" i="35"/>
  <c r="R722" i="35"/>
  <c r="R723" i="35"/>
  <c r="R724" i="35"/>
  <c r="R725" i="35"/>
  <c r="R726" i="35"/>
  <c r="R727" i="35"/>
  <c r="R728" i="35"/>
  <c r="R729" i="35"/>
  <c r="R730" i="35"/>
  <c r="R731" i="35"/>
  <c r="R732" i="35"/>
  <c r="R733" i="35"/>
  <c r="R734" i="35"/>
  <c r="R735" i="35"/>
  <c r="R736" i="35"/>
  <c r="R737" i="35"/>
  <c r="R738" i="35"/>
  <c r="R739" i="35"/>
  <c r="R740" i="35"/>
  <c r="R741" i="35"/>
  <c r="R742" i="35"/>
  <c r="R743" i="35"/>
  <c r="R744" i="35"/>
  <c r="R745" i="35"/>
  <c r="R746" i="35"/>
  <c r="R747" i="35"/>
  <c r="R748" i="35"/>
  <c r="R749" i="35"/>
  <c r="R750" i="35"/>
  <c r="R751" i="35"/>
  <c r="R752" i="35"/>
  <c r="R753" i="35"/>
  <c r="R754" i="35"/>
  <c r="R755" i="35"/>
  <c r="R756" i="35"/>
  <c r="R757" i="35"/>
  <c r="R758" i="35"/>
  <c r="R759" i="35"/>
  <c r="R760" i="35"/>
  <c r="R761" i="35"/>
  <c r="R762" i="35"/>
  <c r="R763" i="35"/>
  <c r="R764" i="35"/>
  <c r="R765" i="35"/>
  <c r="R766" i="35"/>
  <c r="R767" i="35"/>
  <c r="R768" i="35"/>
  <c r="R769" i="35"/>
  <c r="R770" i="35"/>
  <c r="R771" i="35"/>
  <c r="R772" i="35"/>
  <c r="R773" i="35"/>
  <c r="R774" i="35"/>
  <c r="R775" i="35"/>
  <c r="R776" i="35"/>
  <c r="R777" i="35"/>
  <c r="R778" i="35"/>
  <c r="R779" i="35"/>
  <c r="R780" i="35"/>
  <c r="R781" i="35"/>
  <c r="R782" i="35"/>
  <c r="R783" i="35"/>
  <c r="R784" i="35"/>
  <c r="R785" i="35"/>
  <c r="R786" i="35"/>
  <c r="R787" i="35"/>
  <c r="R788" i="35"/>
  <c r="R789" i="35"/>
  <c r="R790" i="35"/>
  <c r="R791" i="35"/>
  <c r="R792" i="35"/>
  <c r="R793" i="35"/>
  <c r="R794" i="35"/>
  <c r="R795" i="35"/>
  <c r="R796" i="35"/>
  <c r="R797" i="35"/>
  <c r="R798" i="35"/>
  <c r="R799" i="35"/>
  <c r="R800" i="35"/>
  <c r="R801" i="35"/>
  <c r="R802" i="35"/>
  <c r="R803" i="35"/>
  <c r="R804" i="35"/>
  <c r="R805" i="35"/>
  <c r="R806" i="35"/>
  <c r="R807" i="35"/>
  <c r="R808" i="35"/>
  <c r="R809" i="35"/>
  <c r="R810" i="35"/>
  <c r="R811" i="35"/>
  <c r="R812" i="35"/>
  <c r="R813" i="35"/>
  <c r="R814" i="35"/>
  <c r="R815" i="35"/>
  <c r="R816" i="35"/>
  <c r="R817" i="35"/>
  <c r="R818" i="35"/>
  <c r="R819" i="35"/>
  <c r="R820" i="35"/>
  <c r="R821" i="35"/>
  <c r="R822" i="35"/>
  <c r="R823" i="35"/>
  <c r="R824" i="35"/>
  <c r="R825" i="35"/>
  <c r="R826" i="35"/>
  <c r="R827" i="35"/>
  <c r="R828" i="35"/>
  <c r="R829" i="35"/>
  <c r="R830" i="35"/>
  <c r="R831" i="35"/>
  <c r="R832" i="35"/>
  <c r="R833" i="35"/>
  <c r="R834" i="35"/>
  <c r="R835" i="35"/>
  <c r="R836" i="35"/>
  <c r="R837" i="35"/>
  <c r="R838" i="35"/>
  <c r="R839" i="35"/>
  <c r="R840" i="35"/>
  <c r="R841" i="35"/>
  <c r="R842" i="35"/>
  <c r="R843" i="35"/>
  <c r="R844" i="35"/>
  <c r="R845" i="35"/>
  <c r="R846" i="35"/>
  <c r="R847" i="35"/>
  <c r="R848" i="35"/>
  <c r="R849" i="35"/>
  <c r="R850" i="35"/>
  <c r="R851" i="35"/>
  <c r="R852" i="35"/>
  <c r="R853" i="35"/>
  <c r="R854" i="35"/>
  <c r="R855" i="35"/>
  <c r="R856" i="35"/>
  <c r="R857" i="35"/>
  <c r="R858" i="35"/>
  <c r="R859" i="35"/>
  <c r="R860" i="35"/>
  <c r="R861" i="35"/>
  <c r="R862" i="35"/>
  <c r="R863" i="35"/>
  <c r="R864" i="35"/>
  <c r="R865" i="35"/>
  <c r="R866" i="35"/>
  <c r="R867" i="35"/>
  <c r="R868" i="35"/>
  <c r="R869" i="35"/>
  <c r="R870" i="35"/>
  <c r="R871" i="35"/>
  <c r="R872" i="35"/>
  <c r="R873" i="35"/>
  <c r="R874" i="35"/>
  <c r="R875" i="35"/>
  <c r="R876" i="35"/>
  <c r="R877" i="35"/>
  <c r="R878" i="35"/>
  <c r="R879" i="35"/>
  <c r="R880" i="35"/>
  <c r="R881" i="35"/>
  <c r="R882" i="35"/>
  <c r="R883" i="35"/>
  <c r="R884" i="35"/>
  <c r="R885" i="35"/>
  <c r="R886" i="35"/>
  <c r="R887" i="35"/>
  <c r="R888" i="35"/>
  <c r="R889" i="35"/>
  <c r="R890" i="35"/>
  <c r="R891" i="35"/>
  <c r="R892" i="35"/>
  <c r="R893" i="35"/>
  <c r="R894" i="35"/>
  <c r="R895" i="35"/>
  <c r="R896" i="35"/>
  <c r="R897" i="35"/>
  <c r="R898" i="35"/>
  <c r="R899" i="35"/>
  <c r="R900" i="35"/>
  <c r="R901" i="35"/>
  <c r="R902" i="35"/>
  <c r="R903" i="35"/>
  <c r="R904" i="35"/>
  <c r="R905" i="35"/>
  <c r="R906" i="35"/>
  <c r="R907" i="35"/>
  <c r="R908" i="35"/>
  <c r="R909" i="35"/>
  <c r="R910" i="35"/>
  <c r="R911" i="35"/>
  <c r="R912" i="35"/>
  <c r="R913" i="35"/>
  <c r="R914" i="35"/>
  <c r="R915" i="35"/>
  <c r="R916" i="35"/>
  <c r="R917" i="35"/>
  <c r="R918" i="35"/>
  <c r="R919" i="35"/>
  <c r="R920" i="35"/>
  <c r="R921" i="35"/>
  <c r="R922" i="35"/>
  <c r="R923" i="35"/>
  <c r="R924" i="35"/>
  <c r="R925" i="35"/>
  <c r="R926" i="35"/>
  <c r="R927" i="35"/>
  <c r="R928" i="35"/>
  <c r="R929" i="35"/>
  <c r="R930" i="35"/>
  <c r="R931" i="35"/>
  <c r="R932" i="35"/>
  <c r="R933" i="35"/>
  <c r="R934" i="35"/>
  <c r="R935" i="35"/>
  <c r="R936" i="35"/>
  <c r="R937" i="35"/>
  <c r="R938" i="35"/>
  <c r="R939" i="35"/>
  <c r="R940" i="35"/>
  <c r="R941" i="35"/>
  <c r="R942" i="35"/>
  <c r="R943" i="35"/>
  <c r="R944" i="35"/>
  <c r="R945" i="35"/>
  <c r="R946" i="35"/>
  <c r="R947" i="35"/>
  <c r="R948" i="35"/>
  <c r="R949" i="35"/>
  <c r="R950" i="35"/>
  <c r="R951" i="35"/>
  <c r="R952" i="35"/>
  <c r="R953" i="35"/>
  <c r="R954" i="35"/>
  <c r="R955" i="35"/>
  <c r="R956" i="35"/>
  <c r="R957" i="35"/>
  <c r="R958" i="35"/>
  <c r="R959" i="35"/>
  <c r="R960" i="35"/>
  <c r="R961" i="35"/>
  <c r="R962" i="35"/>
  <c r="R963" i="35"/>
  <c r="R964" i="35"/>
  <c r="R965" i="35"/>
  <c r="R966" i="35"/>
  <c r="R967" i="35"/>
  <c r="R968" i="35"/>
  <c r="R969" i="35"/>
  <c r="R970" i="35"/>
  <c r="R971" i="35"/>
  <c r="R972" i="35"/>
  <c r="R973" i="35"/>
  <c r="R974" i="35"/>
  <c r="R975" i="35"/>
  <c r="R976" i="35"/>
  <c r="R977" i="35"/>
  <c r="R978" i="35"/>
  <c r="R979" i="35"/>
  <c r="R980" i="35"/>
  <c r="R981" i="35"/>
  <c r="R982" i="35"/>
  <c r="R983" i="35"/>
  <c r="R984" i="35"/>
  <c r="R985" i="35"/>
  <c r="R986" i="35"/>
  <c r="R987" i="35"/>
  <c r="R988" i="35"/>
  <c r="R989" i="35"/>
  <c r="R990" i="35"/>
  <c r="R991" i="35"/>
  <c r="R992" i="35"/>
  <c r="R993" i="35"/>
  <c r="R994" i="35"/>
  <c r="R995" i="35"/>
  <c r="R996" i="35"/>
  <c r="R997" i="35"/>
  <c r="R998" i="35"/>
  <c r="R999" i="35"/>
  <c r="R1000" i="35"/>
  <c r="R1001" i="35"/>
  <c r="R1002" i="35"/>
  <c r="R1003" i="35"/>
  <c r="R1004" i="35"/>
  <c r="Q7" i="35"/>
  <c r="Q8" i="35"/>
  <c r="Q9" i="35"/>
  <c r="Q10" i="35"/>
  <c r="Q11" i="35"/>
  <c r="Q12" i="35"/>
  <c r="Q13" i="35"/>
  <c r="Q14" i="35"/>
  <c r="Q15" i="35"/>
  <c r="Q16" i="35"/>
  <c r="Q17" i="35"/>
  <c r="Q18" i="35"/>
  <c r="Q19" i="35"/>
  <c r="Q20" i="35"/>
  <c r="Q21" i="35"/>
  <c r="Q22" i="35"/>
  <c r="Q23" i="35"/>
  <c r="Q24" i="35"/>
  <c r="Q25" i="35"/>
  <c r="Q26" i="35"/>
  <c r="Q27" i="35"/>
  <c r="Q28" i="35"/>
  <c r="Q29" i="35"/>
  <c r="Q30" i="35"/>
  <c r="Q31" i="35"/>
  <c r="Q32" i="35"/>
  <c r="Q33" i="35"/>
  <c r="Q34" i="35"/>
  <c r="Q35" i="35"/>
  <c r="Q36" i="35"/>
  <c r="Q37" i="35"/>
  <c r="Q38" i="35"/>
  <c r="Q39" i="35"/>
  <c r="Q40" i="35"/>
  <c r="Q41" i="35"/>
  <c r="Q42" i="35"/>
  <c r="Q43" i="35"/>
  <c r="Q44" i="35"/>
  <c r="Q45" i="35"/>
  <c r="Q46" i="35"/>
  <c r="Q47" i="35"/>
  <c r="Q48" i="35"/>
  <c r="Q49" i="35"/>
  <c r="Q50" i="35"/>
  <c r="Q51" i="35"/>
  <c r="Q52" i="35"/>
  <c r="Q53" i="35"/>
  <c r="Q54" i="35"/>
  <c r="Q55" i="35"/>
  <c r="Q56" i="35"/>
  <c r="Q57" i="35"/>
  <c r="Q58" i="35"/>
  <c r="Q59" i="35"/>
  <c r="Q60" i="35"/>
  <c r="Q61" i="35"/>
  <c r="Q62" i="35"/>
  <c r="Q63" i="35"/>
  <c r="Q64" i="35"/>
  <c r="Q65" i="35"/>
  <c r="Q66" i="35"/>
  <c r="Q67" i="35"/>
  <c r="Q68" i="35"/>
  <c r="Q69" i="35"/>
  <c r="Q70" i="35"/>
  <c r="Q71" i="35"/>
  <c r="Q72" i="35"/>
  <c r="Q73" i="35"/>
  <c r="Q74" i="35"/>
  <c r="Q75" i="35"/>
  <c r="Q76" i="35"/>
  <c r="Q77" i="35"/>
  <c r="Q78" i="35"/>
  <c r="Q79" i="35"/>
  <c r="Q80" i="35"/>
  <c r="Q81" i="35"/>
  <c r="Q82" i="35"/>
  <c r="Q83" i="35"/>
  <c r="Q84" i="35"/>
  <c r="Q85" i="35"/>
  <c r="Q86" i="35"/>
  <c r="Q87" i="35"/>
  <c r="Q88" i="35"/>
  <c r="Q89" i="35"/>
  <c r="Q90" i="35"/>
  <c r="Q91" i="35"/>
  <c r="Q92" i="35"/>
  <c r="Q93" i="35"/>
  <c r="Q94" i="35"/>
  <c r="Q95" i="35"/>
  <c r="Q96" i="35"/>
  <c r="Q97" i="35"/>
  <c r="Q98" i="35"/>
  <c r="Q99" i="35"/>
  <c r="Q100" i="35"/>
  <c r="Q101" i="35"/>
  <c r="Q102" i="35"/>
  <c r="Q103" i="35"/>
  <c r="Q104" i="35"/>
  <c r="Q105" i="35"/>
  <c r="Q106" i="35"/>
  <c r="Q107" i="35"/>
  <c r="Q108" i="35"/>
  <c r="Q109" i="35"/>
  <c r="Q110" i="35"/>
  <c r="Q111" i="35"/>
  <c r="Q112" i="35"/>
  <c r="Q113" i="35"/>
  <c r="Q114" i="35"/>
  <c r="Q115" i="35"/>
  <c r="Q116" i="35"/>
  <c r="Q117" i="35"/>
  <c r="Q118" i="35"/>
  <c r="Q119" i="35"/>
  <c r="Q120" i="35"/>
  <c r="Q121" i="35"/>
  <c r="Q122" i="35"/>
  <c r="Q123" i="35"/>
  <c r="Q124" i="35"/>
  <c r="Q125" i="35"/>
  <c r="Q126" i="35"/>
  <c r="Q127" i="35"/>
  <c r="Q128" i="35"/>
  <c r="Q129" i="35"/>
  <c r="Q130" i="35"/>
  <c r="Q131" i="35"/>
  <c r="Q132" i="35"/>
  <c r="Q133" i="35"/>
  <c r="Q134" i="35"/>
  <c r="Q135" i="35"/>
  <c r="Q136" i="35"/>
  <c r="Q137" i="35"/>
  <c r="Q138" i="35"/>
  <c r="Q139" i="35"/>
  <c r="Q140" i="35"/>
  <c r="Q141" i="35"/>
  <c r="Q142" i="35"/>
  <c r="Q143" i="35"/>
  <c r="Q144" i="35"/>
  <c r="Q145" i="35"/>
  <c r="Q146" i="35"/>
  <c r="Q147" i="35"/>
  <c r="Q148" i="35"/>
  <c r="Q149" i="35"/>
  <c r="Q150" i="35"/>
  <c r="Q151" i="35"/>
  <c r="Q152" i="35"/>
  <c r="Q153" i="35"/>
  <c r="Q154" i="35"/>
  <c r="Q155" i="35"/>
  <c r="Q156" i="35"/>
  <c r="Q157" i="35"/>
  <c r="Q158" i="35"/>
  <c r="Q159" i="35"/>
  <c r="Q160" i="35"/>
  <c r="Q161" i="35"/>
  <c r="Q162" i="35"/>
  <c r="Q163" i="35"/>
  <c r="Q164" i="35"/>
  <c r="Q165" i="35"/>
  <c r="Q166" i="35"/>
  <c r="Q167" i="35"/>
  <c r="Q168" i="35"/>
  <c r="Q169" i="35"/>
  <c r="Q170" i="35"/>
  <c r="Q171" i="35"/>
  <c r="Q172" i="35"/>
  <c r="Q173" i="35"/>
  <c r="Q174" i="35"/>
  <c r="Q175" i="35"/>
  <c r="Q176" i="35"/>
  <c r="Q177" i="35"/>
  <c r="Q178" i="35"/>
  <c r="Q179" i="35"/>
  <c r="Q180" i="35"/>
  <c r="Q181" i="35"/>
  <c r="Q182" i="35"/>
  <c r="Q183" i="35"/>
  <c r="Q184" i="35"/>
  <c r="Q185" i="35"/>
  <c r="Q186" i="35"/>
  <c r="Q187" i="35"/>
  <c r="Q188" i="35"/>
  <c r="Q189" i="35"/>
  <c r="Q190" i="35"/>
  <c r="Q191" i="35"/>
  <c r="Q192" i="35"/>
  <c r="Q193" i="35"/>
  <c r="Q194" i="35"/>
  <c r="Q195" i="35"/>
  <c r="Q196" i="35"/>
  <c r="Q197" i="35"/>
  <c r="Q198" i="35"/>
  <c r="Q199" i="35"/>
  <c r="Q200" i="35"/>
  <c r="Q201" i="35"/>
  <c r="Q202" i="35"/>
  <c r="Q203" i="35"/>
  <c r="Q204" i="35"/>
  <c r="Q205" i="35"/>
  <c r="Q206" i="35"/>
  <c r="Q207" i="35"/>
  <c r="Q208" i="35"/>
  <c r="Q209" i="35"/>
  <c r="Q210" i="35"/>
  <c r="Q211" i="35"/>
  <c r="Q212" i="35"/>
  <c r="Q213" i="35"/>
  <c r="Q214" i="35"/>
  <c r="Q215" i="35"/>
  <c r="Q216" i="35"/>
  <c r="Q217" i="35"/>
  <c r="Q218" i="35"/>
  <c r="Q219" i="35"/>
  <c r="Q220" i="35"/>
  <c r="Q221" i="35"/>
  <c r="Q222" i="35"/>
  <c r="Q223" i="35"/>
  <c r="Q224" i="35"/>
  <c r="Q225" i="35"/>
  <c r="Q226" i="35"/>
  <c r="Q227" i="35"/>
  <c r="Q228" i="35"/>
  <c r="Q229" i="35"/>
  <c r="Q230" i="35"/>
  <c r="Q231" i="35"/>
  <c r="Q232" i="35"/>
  <c r="Q233" i="35"/>
  <c r="Q234" i="35"/>
  <c r="Q235" i="35"/>
  <c r="Q236" i="35"/>
  <c r="Q237" i="35"/>
  <c r="Q238" i="35"/>
  <c r="Q239" i="35"/>
  <c r="Q240" i="35"/>
  <c r="Q241" i="35"/>
  <c r="Q242" i="35"/>
  <c r="Q243" i="35"/>
  <c r="Q244" i="35"/>
  <c r="Q245" i="35"/>
  <c r="Q246" i="35"/>
  <c r="Q247" i="35"/>
  <c r="Q248" i="35"/>
  <c r="Q249" i="35"/>
  <c r="Q250" i="35"/>
  <c r="Q251" i="35"/>
  <c r="Q252" i="35"/>
  <c r="Q253" i="35"/>
  <c r="Q254" i="35"/>
  <c r="Q255" i="35"/>
  <c r="Q256" i="35"/>
  <c r="Q257" i="35"/>
  <c r="Q258" i="35"/>
  <c r="Q259" i="35"/>
  <c r="Q260" i="35"/>
  <c r="Q261" i="35"/>
  <c r="Q262" i="35"/>
  <c r="Q263" i="35"/>
  <c r="Q264" i="35"/>
  <c r="Q265" i="35"/>
  <c r="Q266" i="35"/>
  <c r="Q267" i="35"/>
  <c r="Q268" i="35"/>
  <c r="Q269" i="35"/>
  <c r="Q270" i="35"/>
  <c r="Q271" i="35"/>
  <c r="Q272" i="35"/>
  <c r="Q273" i="35"/>
  <c r="Q274" i="35"/>
  <c r="Q275" i="35"/>
  <c r="Q276" i="35"/>
  <c r="Q277" i="35"/>
  <c r="Q278" i="35"/>
  <c r="Q279" i="35"/>
  <c r="Q280" i="35"/>
  <c r="Q281" i="35"/>
  <c r="Q282" i="35"/>
  <c r="Q283" i="35"/>
  <c r="Q284" i="35"/>
  <c r="Q285" i="35"/>
  <c r="Q286" i="35"/>
  <c r="Q287" i="35"/>
  <c r="Q288" i="35"/>
  <c r="Q289" i="35"/>
  <c r="Q290" i="35"/>
  <c r="Q291" i="35"/>
  <c r="Q292" i="35"/>
  <c r="Q293" i="35"/>
  <c r="Q294" i="35"/>
  <c r="Q295" i="35"/>
  <c r="Q296" i="35"/>
  <c r="Q297" i="35"/>
  <c r="Q298" i="35"/>
  <c r="Q299" i="35"/>
  <c r="Q300" i="35"/>
  <c r="Q301" i="35"/>
  <c r="Q302" i="35"/>
  <c r="Q303" i="35"/>
  <c r="Q304" i="35"/>
  <c r="Q305" i="35"/>
  <c r="Q306" i="35"/>
  <c r="Q307" i="35"/>
  <c r="Q308" i="35"/>
  <c r="Q309" i="35"/>
  <c r="Q310" i="35"/>
  <c r="Q311" i="35"/>
  <c r="Q312" i="35"/>
  <c r="Q313" i="35"/>
  <c r="Q314" i="35"/>
  <c r="Q315" i="35"/>
  <c r="Q316" i="35"/>
  <c r="Q317" i="35"/>
  <c r="Q318" i="35"/>
  <c r="Q319" i="35"/>
  <c r="Q320" i="35"/>
  <c r="Q321" i="35"/>
  <c r="Q322" i="35"/>
  <c r="Q323" i="35"/>
  <c r="Q324" i="35"/>
  <c r="Q325" i="35"/>
  <c r="Q326" i="35"/>
  <c r="Q327" i="35"/>
  <c r="Q328" i="35"/>
  <c r="Q329" i="35"/>
  <c r="Q330" i="35"/>
  <c r="Q331" i="35"/>
  <c r="Q332" i="35"/>
  <c r="Q333" i="35"/>
  <c r="Q334" i="35"/>
  <c r="Q335" i="35"/>
  <c r="Q336" i="35"/>
  <c r="Q337" i="35"/>
  <c r="Q338" i="35"/>
  <c r="Q339" i="35"/>
  <c r="Q340" i="35"/>
  <c r="Q341" i="35"/>
  <c r="Q342" i="35"/>
  <c r="Q343" i="35"/>
  <c r="Q344" i="35"/>
  <c r="Q345" i="35"/>
  <c r="Q346" i="35"/>
  <c r="Q347" i="35"/>
  <c r="Q348" i="35"/>
  <c r="Q349" i="35"/>
  <c r="Q350" i="35"/>
  <c r="Q351" i="35"/>
  <c r="Q352" i="35"/>
  <c r="Q353" i="35"/>
  <c r="Q354" i="35"/>
  <c r="Q355" i="35"/>
  <c r="Q356" i="35"/>
  <c r="Q357" i="35"/>
  <c r="Q358" i="35"/>
  <c r="Q359" i="35"/>
  <c r="Q360" i="35"/>
  <c r="Q361" i="35"/>
  <c r="Q362" i="35"/>
  <c r="Q363" i="35"/>
  <c r="Q364" i="35"/>
  <c r="Q365" i="35"/>
  <c r="Q366" i="35"/>
  <c r="Q367" i="35"/>
  <c r="Q368" i="35"/>
  <c r="Q369" i="35"/>
  <c r="Q370" i="35"/>
  <c r="Q371" i="35"/>
  <c r="Q372" i="35"/>
  <c r="Q373" i="35"/>
  <c r="Q374" i="35"/>
  <c r="Q375" i="35"/>
  <c r="Q376" i="35"/>
  <c r="Q377" i="35"/>
  <c r="Q378" i="35"/>
  <c r="Q379" i="35"/>
  <c r="Q380" i="35"/>
  <c r="Q381" i="35"/>
  <c r="Q382" i="35"/>
  <c r="Q383" i="35"/>
  <c r="Q384" i="35"/>
  <c r="Q385" i="35"/>
  <c r="Q386" i="35"/>
  <c r="Q387" i="35"/>
  <c r="Q388" i="35"/>
  <c r="Q389" i="35"/>
  <c r="Q390" i="35"/>
  <c r="Q391" i="35"/>
  <c r="Q392" i="35"/>
  <c r="Q393" i="35"/>
  <c r="Q394" i="35"/>
  <c r="Q395" i="35"/>
  <c r="Q396" i="35"/>
  <c r="Q397" i="35"/>
  <c r="Q398" i="35"/>
  <c r="Q399" i="35"/>
  <c r="Q400" i="35"/>
  <c r="Q401" i="35"/>
  <c r="Q402" i="35"/>
  <c r="Q403" i="35"/>
  <c r="Q404" i="35"/>
  <c r="Q405" i="35"/>
  <c r="Q406" i="35"/>
  <c r="Q407" i="35"/>
  <c r="Q408" i="35"/>
  <c r="Q409" i="35"/>
  <c r="Q410" i="35"/>
  <c r="Q411" i="35"/>
  <c r="Q412" i="35"/>
  <c r="Q413" i="35"/>
  <c r="Q414" i="35"/>
  <c r="Q415" i="35"/>
  <c r="Q416" i="35"/>
  <c r="Q417" i="35"/>
  <c r="Q418" i="35"/>
  <c r="Q419" i="35"/>
  <c r="Q420" i="35"/>
  <c r="Q421" i="35"/>
  <c r="Q422" i="35"/>
  <c r="Q423" i="35"/>
  <c r="Q424" i="35"/>
  <c r="Q425" i="35"/>
  <c r="Q426" i="35"/>
  <c r="Q427" i="35"/>
  <c r="Q428" i="35"/>
  <c r="Q429" i="35"/>
  <c r="Q430" i="35"/>
  <c r="Q431" i="35"/>
  <c r="Q432" i="35"/>
  <c r="Q433" i="35"/>
  <c r="Q434" i="35"/>
  <c r="Q435" i="35"/>
  <c r="Q436" i="35"/>
  <c r="Q437" i="35"/>
  <c r="Q438" i="35"/>
  <c r="Q439" i="35"/>
  <c r="Q440" i="35"/>
  <c r="Q441" i="35"/>
  <c r="Q442" i="35"/>
  <c r="Q443" i="35"/>
  <c r="Q444" i="35"/>
  <c r="Q445" i="35"/>
  <c r="Q446" i="35"/>
  <c r="Q447" i="35"/>
  <c r="Q448" i="35"/>
  <c r="Q449" i="35"/>
  <c r="Q450" i="35"/>
  <c r="Q451" i="35"/>
  <c r="Q452" i="35"/>
  <c r="Q453" i="35"/>
  <c r="Q454" i="35"/>
  <c r="Q455" i="35"/>
  <c r="Q456" i="35"/>
  <c r="Q457" i="35"/>
  <c r="Q458" i="35"/>
  <c r="Q459" i="35"/>
  <c r="Q460" i="35"/>
  <c r="Q461" i="35"/>
  <c r="Q462" i="35"/>
  <c r="Q463" i="35"/>
  <c r="Q464" i="35"/>
  <c r="Q465" i="35"/>
  <c r="Q466" i="35"/>
  <c r="Q467" i="35"/>
  <c r="Q468" i="35"/>
  <c r="Q469" i="35"/>
  <c r="Q470" i="35"/>
  <c r="Q471" i="35"/>
  <c r="Q472" i="35"/>
  <c r="Q473" i="35"/>
  <c r="Q474" i="35"/>
  <c r="Q475" i="35"/>
  <c r="Q476" i="35"/>
  <c r="Q477" i="35"/>
  <c r="Q478" i="35"/>
  <c r="Q479" i="35"/>
  <c r="Q480" i="35"/>
  <c r="Q481" i="35"/>
  <c r="Q482" i="35"/>
  <c r="Q483" i="35"/>
  <c r="Q484" i="35"/>
  <c r="Q485" i="35"/>
  <c r="Q486" i="35"/>
  <c r="Q487" i="35"/>
  <c r="Q488" i="35"/>
  <c r="Q489" i="35"/>
  <c r="Q490" i="35"/>
  <c r="Q491" i="35"/>
  <c r="Q492" i="35"/>
  <c r="Q493" i="35"/>
  <c r="Q494" i="35"/>
  <c r="Q495" i="35"/>
  <c r="Q496" i="35"/>
  <c r="Q497" i="35"/>
  <c r="Q498" i="35"/>
  <c r="Q499" i="35"/>
  <c r="Q500" i="35"/>
  <c r="Q501" i="35"/>
  <c r="Q502" i="35"/>
  <c r="Q503" i="35"/>
  <c r="Q504" i="35"/>
  <c r="Q505" i="35"/>
  <c r="Q506" i="35"/>
  <c r="Q507" i="35"/>
  <c r="Q508" i="35"/>
  <c r="Q509" i="35"/>
  <c r="Q510" i="35"/>
  <c r="Q511" i="35"/>
  <c r="Q512" i="35"/>
  <c r="Q513" i="35"/>
  <c r="Q514" i="35"/>
  <c r="Q515" i="35"/>
  <c r="Q516" i="35"/>
  <c r="Q517" i="35"/>
  <c r="Q518" i="35"/>
  <c r="Q519" i="35"/>
  <c r="Q520" i="35"/>
  <c r="Q521" i="35"/>
  <c r="Q522" i="35"/>
  <c r="Q523" i="35"/>
  <c r="Q524" i="35"/>
  <c r="Q525" i="35"/>
  <c r="Q526" i="35"/>
  <c r="Q527" i="35"/>
  <c r="Q528" i="35"/>
  <c r="Q529" i="35"/>
  <c r="Q530" i="35"/>
  <c r="Q531" i="35"/>
  <c r="Q532" i="35"/>
  <c r="Q533" i="35"/>
  <c r="Q534" i="35"/>
  <c r="Q535" i="35"/>
  <c r="Q536" i="35"/>
  <c r="Q537" i="35"/>
  <c r="Q538" i="35"/>
  <c r="Q539" i="35"/>
  <c r="Q540" i="35"/>
  <c r="Q541" i="35"/>
  <c r="Q542" i="35"/>
  <c r="Q543" i="35"/>
  <c r="Q544" i="35"/>
  <c r="Q545" i="35"/>
  <c r="Q546" i="35"/>
  <c r="Q547" i="35"/>
  <c r="Q548" i="35"/>
  <c r="Q549" i="35"/>
  <c r="Q550" i="35"/>
  <c r="Q551" i="35"/>
  <c r="Q552" i="35"/>
  <c r="Q553" i="35"/>
  <c r="Q554" i="35"/>
  <c r="Q555" i="35"/>
  <c r="Q556" i="35"/>
  <c r="Q557" i="35"/>
  <c r="Q558" i="35"/>
  <c r="Q559" i="35"/>
  <c r="Q560" i="35"/>
  <c r="Q561" i="35"/>
  <c r="Q562" i="35"/>
  <c r="Q563" i="35"/>
  <c r="Q564" i="35"/>
  <c r="Q565" i="35"/>
  <c r="Q566" i="35"/>
  <c r="Q567" i="35"/>
  <c r="Q568" i="35"/>
  <c r="Q569" i="35"/>
  <c r="Q570" i="35"/>
  <c r="Q571" i="35"/>
  <c r="Q572" i="35"/>
  <c r="Q573" i="35"/>
  <c r="Q574" i="35"/>
  <c r="Q575" i="35"/>
  <c r="Q576" i="35"/>
  <c r="Q577" i="35"/>
  <c r="Q578" i="35"/>
  <c r="Q579" i="35"/>
  <c r="Q580" i="35"/>
  <c r="Q581" i="35"/>
  <c r="Q582" i="35"/>
  <c r="Q583" i="35"/>
  <c r="Q584" i="35"/>
  <c r="Q585" i="35"/>
  <c r="Q586" i="35"/>
  <c r="Q587" i="35"/>
  <c r="Q588" i="35"/>
  <c r="Q589" i="35"/>
  <c r="Q590" i="35"/>
  <c r="Q591" i="35"/>
  <c r="Q592" i="35"/>
  <c r="Q593" i="35"/>
  <c r="Q594" i="35"/>
  <c r="Q595" i="35"/>
  <c r="Q596" i="35"/>
  <c r="Q597" i="35"/>
  <c r="Q598" i="35"/>
  <c r="Q599" i="35"/>
  <c r="Q600" i="35"/>
  <c r="Q601" i="35"/>
  <c r="Q602" i="35"/>
  <c r="Q603" i="35"/>
  <c r="Q604" i="35"/>
  <c r="Q605" i="35"/>
  <c r="Q606" i="35"/>
  <c r="Q607" i="35"/>
  <c r="Q608" i="35"/>
  <c r="Q609" i="35"/>
  <c r="Q610" i="35"/>
  <c r="Q611" i="35"/>
  <c r="Q612" i="35"/>
  <c r="Q613" i="35"/>
  <c r="Q614" i="35"/>
  <c r="Q615" i="35"/>
  <c r="Q616" i="35"/>
  <c r="Q617" i="35"/>
  <c r="Q618" i="35"/>
  <c r="Q619" i="35"/>
  <c r="Q620" i="35"/>
  <c r="Q621" i="35"/>
  <c r="Q622" i="35"/>
  <c r="Q623" i="35"/>
  <c r="Q624" i="35"/>
  <c r="Q625" i="35"/>
  <c r="Q626" i="35"/>
  <c r="Q627" i="35"/>
  <c r="Q628" i="35"/>
  <c r="Q629" i="35"/>
  <c r="Q630" i="35"/>
  <c r="Q631" i="35"/>
  <c r="Q632" i="35"/>
  <c r="Q633" i="35"/>
  <c r="Q634" i="35"/>
  <c r="Q635" i="35"/>
  <c r="Q636" i="35"/>
  <c r="Q637" i="35"/>
  <c r="Q638" i="35"/>
  <c r="Q639" i="35"/>
  <c r="Q640" i="35"/>
  <c r="Q641" i="35"/>
  <c r="Q642" i="35"/>
  <c r="Q643" i="35"/>
  <c r="Q644" i="35"/>
  <c r="Q645" i="35"/>
  <c r="Q646" i="35"/>
  <c r="Q647" i="35"/>
  <c r="Q648" i="35"/>
  <c r="Q649" i="35"/>
  <c r="Q650" i="35"/>
  <c r="Q651" i="35"/>
  <c r="Q652" i="35"/>
  <c r="Q653" i="35"/>
  <c r="Q654" i="35"/>
  <c r="Q655" i="35"/>
  <c r="Q656" i="35"/>
  <c r="Q657" i="35"/>
  <c r="Q658" i="35"/>
  <c r="Q659" i="35"/>
  <c r="Q660" i="35"/>
  <c r="Q661" i="35"/>
  <c r="Q662" i="35"/>
  <c r="Q663" i="35"/>
  <c r="Q664" i="35"/>
  <c r="Q665" i="35"/>
  <c r="Q666" i="35"/>
  <c r="Q667" i="35"/>
  <c r="Q668" i="35"/>
  <c r="Q669" i="35"/>
  <c r="Q670" i="35"/>
  <c r="Q671" i="35"/>
  <c r="Q672" i="35"/>
  <c r="Q673" i="35"/>
  <c r="Q674" i="35"/>
  <c r="Q675" i="35"/>
  <c r="Q676" i="35"/>
  <c r="Q677" i="35"/>
  <c r="Q678" i="35"/>
  <c r="Q679" i="35"/>
  <c r="Q680" i="35"/>
  <c r="Q681" i="35"/>
  <c r="Q682" i="35"/>
  <c r="Q683" i="35"/>
  <c r="Q684" i="35"/>
  <c r="Q685" i="35"/>
  <c r="Q686" i="35"/>
  <c r="Q687" i="35"/>
  <c r="Q688" i="35"/>
  <c r="Q689" i="35"/>
  <c r="Q690" i="35"/>
  <c r="Q691" i="35"/>
  <c r="Q692" i="35"/>
  <c r="Q693" i="35"/>
  <c r="Q694" i="35"/>
  <c r="Q695" i="35"/>
  <c r="Q696" i="35"/>
  <c r="Q697" i="35"/>
  <c r="Q698" i="35"/>
  <c r="Q699" i="35"/>
  <c r="Q700" i="35"/>
  <c r="Q701" i="35"/>
  <c r="Q702" i="35"/>
  <c r="Q703" i="35"/>
  <c r="Q704" i="35"/>
  <c r="Q705" i="35"/>
  <c r="Q706" i="35"/>
  <c r="Q707" i="35"/>
  <c r="Q708" i="35"/>
  <c r="Q709" i="35"/>
  <c r="Q710" i="35"/>
  <c r="Q711" i="35"/>
  <c r="Q712" i="35"/>
  <c r="Q713" i="35"/>
  <c r="Q714" i="35"/>
  <c r="Q715" i="35"/>
  <c r="Q716" i="35"/>
  <c r="Q717" i="35"/>
  <c r="Q718" i="35"/>
  <c r="Q719" i="35"/>
  <c r="Q720" i="35"/>
  <c r="Q721" i="35"/>
  <c r="Q722" i="35"/>
  <c r="Q723" i="35"/>
  <c r="Q724" i="35"/>
  <c r="Q725" i="35"/>
  <c r="Q726" i="35"/>
  <c r="Q727" i="35"/>
  <c r="Q728" i="35"/>
  <c r="Q729" i="35"/>
  <c r="Q730" i="35"/>
  <c r="Q731" i="35"/>
  <c r="Q732" i="35"/>
  <c r="Q733" i="35"/>
  <c r="Q734" i="35"/>
  <c r="Q735" i="35"/>
  <c r="Q736" i="35"/>
  <c r="Q737" i="35"/>
  <c r="Q738" i="35"/>
  <c r="Q739" i="35"/>
  <c r="Q740" i="35"/>
  <c r="Q741" i="35"/>
  <c r="Q742" i="35"/>
  <c r="Q743" i="35"/>
  <c r="Q744" i="35"/>
  <c r="Q745" i="35"/>
  <c r="Q746" i="35"/>
  <c r="Q747" i="35"/>
  <c r="Q748" i="35"/>
  <c r="Q749" i="35"/>
  <c r="Q750" i="35"/>
  <c r="Q751" i="35"/>
  <c r="Q752" i="35"/>
  <c r="Q753" i="35"/>
  <c r="Q754" i="35"/>
  <c r="Q755" i="35"/>
  <c r="Q756" i="35"/>
  <c r="Q757" i="35"/>
  <c r="Q758" i="35"/>
  <c r="Q759" i="35"/>
  <c r="Q760" i="35"/>
  <c r="Q761" i="35"/>
  <c r="Q762" i="35"/>
  <c r="Q763" i="35"/>
  <c r="Q764" i="35"/>
  <c r="Q765" i="35"/>
  <c r="Q766" i="35"/>
  <c r="Q767" i="35"/>
  <c r="Q768" i="35"/>
  <c r="Q769" i="35"/>
  <c r="Q770" i="35"/>
  <c r="Q771" i="35"/>
  <c r="Q772" i="35"/>
  <c r="Q773" i="35"/>
  <c r="Q774" i="35"/>
  <c r="Q775" i="35"/>
  <c r="Q776" i="35"/>
  <c r="Q777" i="35"/>
  <c r="Q778" i="35"/>
  <c r="Q779" i="35"/>
  <c r="Q780" i="35"/>
  <c r="Q781" i="35"/>
  <c r="Q782" i="35"/>
  <c r="Q783" i="35"/>
  <c r="Q784" i="35"/>
  <c r="Q785" i="35"/>
  <c r="Q786" i="35"/>
  <c r="Q787" i="35"/>
  <c r="Q788" i="35"/>
  <c r="Q789" i="35"/>
  <c r="Q790" i="35"/>
  <c r="Q791" i="35"/>
  <c r="Q792" i="35"/>
  <c r="Q793" i="35"/>
  <c r="Q794" i="35"/>
  <c r="Q795" i="35"/>
  <c r="Q796" i="35"/>
  <c r="Q797" i="35"/>
  <c r="Q798" i="35"/>
  <c r="Q799" i="35"/>
  <c r="Q800" i="35"/>
  <c r="Q801" i="35"/>
  <c r="Q802" i="35"/>
  <c r="Q803" i="35"/>
  <c r="Q804" i="35"/>
  <c r="Q805" i="35"/>
  <c r="Q806" i="35"/>
  <c r="Q807" i="35"/>
  <c r="Q808" i="35"/>
  <c r="Q809" i="35"/>
  <c r="Q810" i="35"/>
  <c r="Q811" i="35"/>
  <c r="Q812" i="35"/>
  <c r="Q813" i="35"/>
  <c r="Q814" i="35"/>
  <c r="Q815" i="35"/>
  <c r="Q816" i="35"/>
  <c r="Q817" i="35"/>
  <c r="Q818" i="35"/>
  <c r="Q819" i="35"/>
  <c r="Q820" i="35"/>
  <c r="Q821" i="35"/>
  <c r="Q822" i="35"/>
  <c r="Q823" i="35"/>
  <c r="Q824" i="35"/>
  <c r="Q825" i="35"/>
  <c r="Q826" i="35"/>
  <c r="Q827" i="35"/>
  <c r="Q828" i="35"/>
  <c r="Q829" i="35"/>
  <c r="Q830" i="35"/>
  <c r="Q831" i="35"/>
  <c r="Q832" i="35"/>
  <c r="Q833" i="35"/>
  <c r="Q834" i="35"/>
  <c r="Q835" i="35"/>
  <c r="Q836" i="35"/>
  <c r="Q837" i="35"/>
  <c r="Q838" i="35"/>
  <c r="Q839" i="35"/>
  <c r="Q840" i="35"/>
  <c r="Q841" i="35"/>
  <c r="Q842" i="35"/>
  <c r="Q843" i="35"/>
  <c r="Q844" i="35"/>
  <c r="Q845" i="35"/>
  <c r="Q846" i="35"/>
  <c r="Q847" i="35"/>
  <c r="Q848" i="35"/>
  <c r="Q849" i="35"/>
  <c r="Q850" i="35"/>
  <c r="Q851" i="35"/>
  <c r="Q852" i="35"/>
  <c r="Q853" i="35"/>
  <c r="Q854" i="35"/>
  <c r="Q855" i="35"/>
  <c r="Q856" i="35"/>
  <c r="Q857" i="35"/>
  <c r="Q858" i="35"/>
  <c r="Q859" i="35"/>
  <c r="Q860" i="35"/>
  <c r="Q861" i="35"/>
  <c r="Q862" i="35"/>
  <c r="Q863" i="35"/>
  <c r="Q864" i="35"/>
  <c r="Q865" i="35"/>
  <c r="Q866" i="35"/>
  <c r="Q867" i="35"/>
  <c r="Q868" i="35"/>
  <c r="Q869" i="35"/>
  <c r="Q870" i="35"/>
  <c r="Q871" i="35"/>
  <c r="Q872" i="35"/>
  <c r="Q873" i="35"/>
  <c r="Q874" i="35"/>
  <c r="Q875" i="35"/>
  <c r="Q876" i="35"/>
  <c r="Q877" i="35"/>
  <c r="Q878" i="35"/>
  <c r="Q879" i="35"/>
  <c r="Q880" i="35"/>
  <c r="Q881" i="35"/>
  <c r="Q882" i="35"/>
  <c r="Q883" i="35"/>
  <c r="Q884" i="35"/>
  <c r="Q885" i="35"/>
  <c r="Q886" i="35"/>
  <c r="Q887" i="35"/>
  <c r="Q888" i="35"/>
  <c r="Q889" i="35"/>
  <c r="Q890" i="35"/>
  <c r="Q891" i="35"/>
  <c r="Q892" i="35"/>
  <c r="Q893" i="35"/>
  <c r="Q894" i="35"/>
  <c r="Q895" i="35"/>
  <c r="Q896" i="35"/>
  <c r="Q897" i="35"/>
  <c r="Q898" i="35"/>
  <c r="Q899" i="35"/>
  <c r="Q900" i="35"/>
  <c r="Q901" i="35"/>
  <c r="Q902" i="35"/>
  <c r="Q903" i="35"/>
  <c r="Q904" i="35"/>
  <c r="Q905" i="35"/>
  <c r="Q906" i="35"/>
  <c r="Q907" i="35"/>
  <c r="Q908" i="35"/>
  <c r="Q909" i="35"/>
  <c r="Q910" i="35"/>
  <c r="Q911" i="35"/>
  <c r="Q912" i="35"/>
  <c r="Q913" i="35"/>
  <c r="Q914" i="35"/>
  <c r="Q915" i="35"/>
  <c r="Q916" i="35"/>
  <c r="Q917" i="35"/>
  <c r="Q918" i="35"/>
  <c r="Q919" i="35"/>
  <c r="Q920" i="35"/>
  <c r="Q921" i="35"/>
  <c r="Q922" i="35"/>
  <c r="Q923" i="35"/>
  <c r="Q924" i="35"/>
  <c r="Q925" i="35"/>
  <c r="Q926" i="35"/>
  <c r="Q927" i="35"/>
  <c r="Q928" i="35"/>
  <c r="Q929" i="35"/>
  <c r="Q930" i="35"/>
  <c r="Q931" i="35"/>
  <c r="Q932" i="35"/>
  <c r="Q933" i="35"/>
  <c r="Q934" i="35"/>
  <c r="Q935" i="35"/>
  <c r="Q936" i="35"/>
  <c r="Q937" i="35"/>
  <c r="Q938" i="35"/>
  <c r="Q939" i="35"/>
  <c r="Q940" i="35"/>
  <c r="Q941" i="35"/>
  <c r="Q942" i="35"/>
  <c r="Q943" i="35"/>
  <c r="Q944" i="35"/>
  <c r="Q945" i="35"/>
  <c r="Q946" i="35"/>
  <c r="Q947" i="35"/>
  <c r="Q948" i="35"/>
  <c r="Q949" i="35"/>
  <c r="Q950" i="35"/>
  <c r="Q951" i="35"/>
  <c r="Q952" i="35"/>
  <c r="Q953" i="35"/>
  <c r="Q954" i="35"/>
  <c r="Q955" i="35"/>
  <c r="Q956" i="35"/>
  <c r="Q957" i="35"/>
  <c r="Q958" i="35"/>
  <c r="Q959" i="35"/>
  <c r="Q960" i="35"/>
  <c r="Q961" i="35"/>
  <c r="Q962" i="35"/>
  <c r="Q963" i="35"/>
  <c r="Q964" i="35"/>
  <c r="Q965" i="35"/>
  <c r="Q966" i="35"/>
  <c r="Q967" i="35"/>
  <c r="Q968" i="35"/>
  <c r="Q969" i="35"/>
  <c r="Q970" i="35"/>
  <c r="Q971" i="35"/>
  <c r="Q972" i="35"/>
  <c r="Q973" i="35"/>
  <c r="Q974" i="35"/>
  <c r="Q975" i="35"/>
  <c r="Q976" i="35"/>
  <c r="Q977" i="35"/>
  <c r="Q978" i="35"/>
  <c r="Q979" i="35"/>
  <c r="Q980" i="35"/>
  <c r="Q981" i="35"/>
  <c r="Q982" i="35"/>
  <c r="Q983" i="35"/>
  <c r="Q984" i="35"/>
  <c r="Q985" i="35"/>
  <c r="Q986" i="35"/>
  <c r="Q987" i="35"/>
  <c r="Q988" i="35"/>
  <c r="Q989" i="35"/>
  <c r="Q990" i="35"/>
  <c r="Q991" i="35"/>
  <c r="Q992" i="35"/>
  <c r="Q993" i="35"/>
  <c r="Q994" i="35"/>
  <c r="Q995" i="35"/>
  <c r="Q996" i="35"/>
  <c r="Q997" i="35"/>
  <c r="Q998" i="35"/>
  <c r="Q999" i="35"/>
  <c r="Q1000" i="35"/>
  <c r="Q1001" i="35"/>
  <c r="Q1002" i="35"/>
  <c r="Q1003" i="35"/>
  <c r="Q1004" i="35"/>
  <c r="Q1005" i="35"/>
  <c r="Q6" i="35"/>
  <c r="Q4" i="35" l="1"/>
  <c r="C10" i="31"/>
  <c r="C39" i="31"/>
  <c r="C1009" i="35" l="1"/>
  <c r="D1009" i="35" l="1"/>
  <c r="E1009" i="35"/>
  <c r="F1009" i="35"/>
  <c r="G1009" i="35"/>
  <c r="C1008" i="35"/>
  <c r="D1008" i="35"/>
  <c r="E1008" i="35"/>
  <c r="F1008" i="35"/>
  <c r="G1008" i="35"/>
  <c r="I1009" i="35"/>
  <c r="I1008" i="35"/>
  <c r="H1009" i="35" l="1"/>
  <c r="H1007" i="35"/>
  <c r="H1008" i="35"/>
  <c r="O1008" i="35" l="1"/>
  <c r="O1010" i="35" s="1"/>
  <c r="O1007" i="35"/>
  <c r="O1009" i="35" s="1"/>
  <c r="D16" i="31" l="1"/>
  <c r="C1007" i="35" l="1"/>
  <c r="D1007" i="35"/>
  <c r="E1007" i="35"/>
  <c r="F1007" i="35"/>
  <c r="G1007" i="35"/>
  <c r="I1007" i="35"/>
  <c r="E27" i="31" l="1"/>
  <c r="J27" i="31" s="1"/>
  <c r="H27" i="31" s="1"/>
  <c r="F26" i="31"/>
  <c r="E26" i="31"/>
  <c r="F25" i="31"/>
  <c r="E25" i="31"/>
  <c r="F38" i="31"/>
  <c r="E38" i="31"/>
  <c r="F37" i="31"/>
  <c r="J37" i="31" s="1"/>
  <c r="H37" i="31" s="1"/>
  <c r="E37" i="31"/>
  <c r="F36" i="31"/>
  <c r="J36" i="31" s="1"/>
  <c r="H36" i="31" s="1"/>
  <c r="I36" i="31" s="1"/>
  <c r="K36" i="31" s="1"/>
  <c r="C36" i="31" s="1"/>
  <c r="E36" i="31"/>
  <c r="F35" i="31"/>
  <c r="E35" i="31"/>
  <c r="F34" i="31"/>
  <c r="E34" i="31"/>
  <c r="J34" i="31" s="1"/>
  <c r="H34" i="31" s="1"/>
  <c r="I34" i="31" s="1"/>
  <c r="K34" i="31" s="1"/>
  <c r="C34" i="31" s="1"/>
  <c r="F33" i="31"/>
  <c r="J33" i="31" s="1"/>
  <c r="H33" i="31" s="1"/>
  <c r="E33" i="31"/>
  <c r="F32" i="31"/>
  <c r="E32" i="31"/>
  <c r="F31" i="31"/>
  <c r="E31" i="31"/>
  <c r="F30" i="31"/>
  <c r="J30" i="31" s="1"/>
  <c r="H30" i="31" s="1"/>
  <c r="I30" i="31" s="1"/>
  <c r="K30" i="31" s="1"/>
  <c r="C30" i="31" s="1"/>
  <c r="E30" i="31"/>
  <c r="F29" i="31"/>
  <c r="E29" i="31"/>
  <c r="F124" i="31" s="1"/>
  <c r="E28" i="31"/>
  <c r="J28" i="31" s="1"/>
  <c r="H28" i="31" s="1"/>
  <c r="I28" i="31" s="1"/>
  <c r="K28" i="31" s="1"/>
  <c r="C28" i="31" s="1"/>
  <c r="F28" i="31"/>
  <c r="E24" i="31"/>
  <c r="J24" i="31" s="1"/>
  <c r="H24" i="31" s="1"/>
  <c r="I24" i="31" s="1"/>
  <c r="K24" i="31" s="1"/>
  <c r="C24" i="31" s="1"/>
  <c r="E23" i="31"/>
  <c r="J23" i="31" s="1"/>
  <c r="H23" i="31" s="1"/>
  <c r="E22" i="31"/>
  <c r="J22" i="31" s="1"/>
  <c r="H22" i="31" s="1"/>
  <c r="I22" i="31" s="1"/>
  <c r="K22" i="31" s="1"/>
  <c r="C22" i="31" s="1"/>
  <c r="E20" i="31"/>
  <c r="J20" i="31" s="1"/>
  <c r="H20" i="31" s="1"/>
  <c r="I20" i="31" s="1"/>
  <c r="K20" i="31" s="1"/>
  <c r="C20" i="31" s="1"/>
  <c r="E21" i="31"/>
  <c r="J21" i="31" s="1"/>
  <c r="H21" i="31" s="1"/>
  <c r="J19" i="31"/>
  <c r="J26" i="31"/>
  <c r="H26" i="31" s="1"/>
  <c r="I26" i="31" s="1"/>
  <c r="K26" i="31" s="1"/>
  <c r="C26" i="31" s="1"/>
  <c r="H19" i="31"/>
  <c r="J18" i="31"/>
  <c r="H18" i="31" s="1"/>
  <c r="J17" i="31"/>
  <c r="H17" i="31" s="1"/>
  <c r="K39" i="31"/>
  <c r="K10" i="31"/>
  <c r="H11" i="31"/>
  <c r="H13" i="31"/>
  <c r="J13" i="31"/>
  <c r="H14" i="31"/>
  <c r="J14" i="31"/>
  <c r="H15" i="31"/>
  <c r="J12" i="31"/>
  <c r="H12" i="31"/>
  <c r="B34" i="34"/>
  <c r="B35" i="34"/>
  <c r="B36" i="34"/>
  <c r="B37" i="34"/>
  <c r="B38" i="34"/>
  <c r="B39" i="34"/>
  <c r="B40" i="34"/>
  <c r="B41" i="34"/>
  <c r="B42" i="34"/>
  <c r="B43" i="34"/>
  <c r="B44" i="34"/>
  <c r="B45" i="34"/>
  <c r="B34" i="32"/>
  <c r="B35" i="32"/>
  <c r="B36" i="32"/>
  <c r="B37" i="32"/>
  <c r="B38" i="32"/>
  <c r="B39" i="32"/>
  <c r="B40" i="32"/>
  <c r="B41" i="32"/>
  <c r="B42" i="32"/>
  <c r="B43" i="32"/>
  <c r="B44" i="32"/>
  <c r="B45" i="32"/>
  <c r="BF123" i="31"/>
  <c r="BB123" i="31"/>
  <c r="AX123" i="31"/>
  <c r="AT123" i="31"/>
  <c r="AX89" i="31"/>
  <c r="AT89" i="31"/>
  <c r="AP89" i="31"/>
  <c r="AL89" i="31"/>
  <c r="AX55" i="31"/>
  <c r="AT55" i="31"/>
  <c r="AP55" i="31"/>
  <c r="B240" i="5"/>
  <c r="AL55" i="31"/>
  <c r="F50" i="31"/>
  <c r="E199" i="31" s="1"/>
  <c r="E50" i="31"/>
  <c r="BF124" i="31" s="1"/>
  <c r="F49" i="31"/>
  <c r="E198" i="31" s="1"/>
  <c r="E49" i="31"/>
  <c r="BB124" i="31" s="1"/>
  <c r="F48" i="31"/>
  <c r="E197" i="31" s="1"/>
  <c r="E48" i="31"/>
  <c r="AX124" i="31" s="1"/>
  <c r="F47" i="31"/>
  <c r="E196" i="31" s="1"/>
  <c r="E47" i="31"/>
  <c r="AT124" i="31" s="1"/>
  <c r="F46" i="31"/>
  <c r="E195" i="31" s="1"/>
  <c r="E46" i="31"/>
  <c r="AX90" i="31" s="1"/>
  <c r="F45" i="31"/>
  <c r="E194" i="31" s="1"/>
  <c r="E45" i="31"/>
  <c r="C194" i="31" s="1"/>
  <c r="F44" i="31"/>
  <c r="E193" i="31" s="1"/>
  <c r="E44" i="31"/>
  <c r="C193" i="31" s="1"/>
  <c r="F43" i="31"/>
  <c r="E192" i="31" s="1"/>
  <c r="E43" i="31"/>
  <c r="AL90" i="31" s="1"/>
  <c r="F42" i="31"/>
  <c r="E191" i="31" s="1"/>
  <c r="E42" i="31"/>
  <c r="AX56" i="31" s="1"/>
  <c r="F41" i="31"/>
  <c r="E190" i="31" s="1"/>
  <c r="E41" i="31"/>
  <c r="AT56" i="31" s="1"/>
  <c r="F40" i="31"/>
  <c r="E189" i="31" s="1"/>
  <c r="E40" i="31"/>
  <c r="AP56" i="31" s="1"/>
  <c r="F39" i="31"/>
  <c r="E188" i="31" s="1"/>
  <c r="E39" i="31"/>
  <c r="AL56" i="31" s="1"/>
  <c r="K13" i="31" l="1"/>
  <c r="C13" i="31" s="1"/>
  <c r="J32" i="31"/>
  <c r="H32" i="31" s="1"/>
  <c r="I32" i="31" s="1"/>
  <c r="K32" i="31" s="1"/>
  <c r="C32" i="31" s="1"/>
  <c r="K14" i="31"/>
  <c r="C14" i="31" s="1"/>
  <c r="J38" i="31"/>
  <c r="H38" i="31" s="1"/>
  <c r="I38" i="31" s="1"/>
  <c r="K38" i="31" s="1"/>
  <c r="C38" i="31" s="1"/>
  <c r="K12" i="31"/>
  <c r="C12" i="31" s="1"/>
  <c r="J41" i="31"/>
  <c r="I41" i="31" s="1"/>
  <c r="J25" i="31"/>
  <c r="H25" i="31" s="1"/>
  <c r="I25" i="31" s="1"/>
  <c r="K25" i="31" s="1"/>
  <c r="C25" i="31" s="1"/>
  <c r="I18" i="31"/>
  <c r="K18" i="31" s="1"/>
  <c r="C18" i="31" s="1"/>
  <c r="J49" i="31"/>
  <c r="I49" i="31" s="1"/>
  <c r="J45" i="31"/>
  <c r="I45" i="31" s="1"/>
  <c r="J29" i="31"/>
  <c r="H29" i="31" s="1"/>
  <c r="I29" i="31" s="1"/>
  <c r="K29" i="31" s="1"/>
  <c r="C29" i="31" s="1"/>
  <c r="J31" i="31"/>
  <c r="H31" i="31" s="1"/>
  <c r="I31" i="31" s="1"/>
  <c r="K31" i="31" s="1"/>
  <c r="C31" i="31" s="1"/>
  <c r="J35" i="31"/>
  <c r="H35" i="31" s="1"/>
  <c r="I35" i="31" s="1"/>
  <c r="K35" i="31" s="1"/>
  <c r="C35" i="31" s="1"/>
  <c r="I37" i="31"/>
  <c r="K37" i="31" s="1"/>
  <c r="C37" i="31" s="1"/>
  <c r="I33" i="31"/>
  <c r="K33" i="31" s="1"/>
  <c r="C33" i="31" s="1"/>
  <c r="I27" i="31"/>
  <c r="K27" i="31" s="1"/>
  <c r="C27" i="31" s="1"/>
  <c r="I23" i="31"/>
  <c r="K23" i="31" s="1"/>
  <c r="C23" i="31" s="1"/>
  <c r="I21" i="31"/>
  <c r="K21" i="31" s="1"/>
  <c r="C21" i="31" s="1"/>
  <c r="I19" i="31"/>
  <c r="K19" i="31" s="1"/>
  <c r="C19" i="31" s="1"/>
  <c r="I17" i="31"/>
  <c r="K17" i="31" s="1"/>
  <c r="C17" i="31" s="1"/>
  <c r="J48" i="31"/>
  <c r="I48" i="31" s="1"/>
  <c r="J44" i="31"/>
  <c r="I44" i="31" s="1"/>
  <c r="J40" i="31"/>
  <c r="I40" i="31" s="1"/>
  <c r="J47" i="31"/>
  <c r="I47" i="31" s="1"/>
  <c r="J43" i="31"/>
  <c r="I43" i="31" s="1"/>
  <c r="J50" i="31"/>
  <c r="I50" i="31" s="1"/>
  <c r="J46" i="31"/>
  <c r="I46" i="31" s="1"/>
  <c r="J42" i="31"/>
  <c r="I42" i="31" s="1"/>
  <c r="H45" i="31"/>
  <c r="K45" i="31" s="1"/>
  <c r="C45" i="31" s="1"/>
  <c r="C199" i="31"/>
  <c r="C197" i="31"/>
  <c r="C191" i="31"/>
  <c r="C189" i="31"/>
  <c r="C198" i="31"/>
  <c r="C190" i="31"/>
  <c r="C196" i="31"/>
  <c r="G50" i="31"/>
  <c r="BF125" i="31" s="1"/>
  <c r="BF126" i="31" s="1"/>
  <c r="BF127" i="31" s="1"/>
  <c r="BF128" i="31" s="1"/>
  <c r="BF129" i="31" s="1"/>
  <c r="BF130" i="31" s="1"/>
  <c r="BF131" i="31" s="1"/>
  <c r="BF132" i="31" s="1"/>
  <c r="BF133" i="31" s="1"/>
  <c r="BF134" i="31" s="1"/>
  <c r="BF135" i="31" s="1"/>
  <c r="BF136" i="31" s="1"/>
  <c r="BF137" i="31" s="1"/>
  <c r="BF138" i="31" s="1"/>
  <c r="C195" i="31"/>
  <c r="G43" i="31"/>
  <c r="AL91" i="31" s="1"/>
  <c r="AL92" i="31" s="1"/>
  <c r="AL93" i="31" s="1"/>
  <c r="AL94" i="31" s="1"/>
  <c r="AL95" i="31" s="1"/>
  <c r="AL96" i="31" s="1"/>
  <c r="AL97" i="31" s="1"/>
  <c r="AL98" i="31" s="1"/>
  <c r="AL99" i="31" s="1"/>
  <c r="AL100" i="31" s="1"/>
  <c r="AL101" i="31" s="1"/>
  <c r="AL102" i="31" s="1"/>
  <c r="AL103" i="31" s="1"/>
  <c r="AL104" i="31" s="1"/>
  <c r="AT90" i="31"/>
  <c r="G44" i="31"/>
  <c r="C188" i="31"/>
  <c r="C192" i="31"/>
  <c r="G47" i="31"/>
  <c r="AT125" i="31" s="1"/>
  <c r="AT126" i="31" s="1"/>
  <c r="AT127" i="31" s="1"/>
  <c r="AT128" i="31" s="1"/>
  <c r="AT129" i="31" s="1"/>
  <c r="AT130" i="31" s="1"/>
  <c r="AT131" i="31" s="1"/>
  <c r="AT132" i="31" s="1"/>
  <c r="AT133" i="31" s="1"/>
  <c r="AT134" i="31" s="1"/>
  <c r="AT135" i="31" s="1"/>
  <c r="AT136" i="31" s="1"/>
  <c r="AT137" i="31" s="1"/>
  <c r="AT138" i="31" s="1"/>
  <c r="AT139" i="31" s="1"/>
  <c r="AT140" i="31" s="1"/>
  <c r="AT141" i="31" s="1"/>
  <c r="AT142" i="31" s="1"/>
  <c r="AT143" i="31" s="1"/>
  <c r="AT144" i="31" s="1"/>
  <c r="AT145" i="31" s="1"/>
  <c r="AT146" i="31" s="1"/>
  <c r="AT147" i="31" s="1"/>
  <c r="AT148" i="31" s="1"/>
  <c r="AT149" i="31" s="1"/>
  <c r="AT150" i="31" s="1"/>
  <c r="AT151" i="31" s="1"/>
  <c r="AT152" i="31" s="1"/>
  <c r="AT153" i="31" s="1"/>
  <c r="AT154" i="31" s="1"/>
  <c r="G41" i="31"/>
  <c r="AT57" i="31" s="1"/>
  <c r="AT58" i="31" s="1"/>
  <c r="AT59" i="31" s="1"/>
  <c r="AT60" i="31" s="1"/>
  <c r="AT61" i="31" s="1"/>
  <c r="AT62" i="31" s="1"/>
  <c r="AT63" i="31" s="1"/>
  <c r="AT64" i="31" s="1"/>
  <c r="AT65" i="31" s="1"/>
  <c r="AT66" i="31" s="1"/>
  <c r="AT67" i="31" s="1"/>
  <c r="AT68" i="31" s="1"/>
  <c r="AT69" i="31" s="1"/>
  <c r="AT70" i="31" s="1"/>
  <c r="AT71" i="31" s="1"/>
  <c r="AT72" i="31" s="1"/>
  <c r="AT73" i="31" s="1"/>
  <c r="AT74" i="31" s="1"/>
  <c r="AT75" i="31" s="1"/>
  <c r="AT76" i="31" s="1"/>
  <c r="AT77" i="31" s="1"/>
  <c r="AT78" i="31" s="1"/>
  <c r="AT79" i="31" s="1"/>
  <c r="AT80" i="31" s="1"/>
  <c r="AT81" i="31" s="1"/>
  <c r="AT82" i="31" s="1"/>
  <c r="AT83" i="31" s="1"/>
  <c r="AT84" i="31" s="1"/>
  <c r="AT85" i="31" s="1"/>
  <c r="AT86" i="31" s="1"/>
  <c r="G48" i="31"/>
  <c r="AX125" i="31" s="1"/>
  <c r="AX126" i="31" s="1"/>
  <c r="AX127" i="31" s="1"/>
  <c r="AX128" i="31" s="1"/>
  <c r="AX129" i="31" s="1"/>
  <c r="AX130" i="31" s="1"/>
  <c r="AX131" i="31" s="1"/>
  <c r="AX132" i="31" s="1"/>
  <c r="AX133" i="31" s="1"/>
  <c r="AX134" i="31" s="1"/>
  <c r="AX135" i="31" s="1"/>
  <c r="AX136" i="31" s="1"/>
  <c r="AX137" i="31" s="1"/>
  <c r="AX138" i="31" s="1"/>
  <c r="AP90" i="31"/>
  <c r="G39" i="31"/>
  <c r="AL57" i="31" s="1"/>
  <c r="AL58" i="31" s="1"/>
  <c r="AL59" i="31" s="1"/>
  <c r="AL60" i="31" s="1"/>
  <c r="AL61" i="31" s="1"/>
  <c r="AL62" i="31" s="1"/>
  <c r="AL63" i="31" s="1"/>
  <c r="AL64" i="31" s="1"/>
  <c r="AL65" i="31" s="1"/>
  <c r="AL66" i="31" s="1"/>
  <c r="AL67" i="31" s="1"/>
  <c r="AL68" i="31" s="1"/>
  <c r="AL69" i="31" s="1"/>
  <c r="AL70" i="31" s="1"/>
  <c r="G45" i="31"/>
  <c r="G42" i="31"/>
  <c r="AX57" i="31" s="1"/>
  <c r="AX58" i="31" s="1"/>
  <c r="AX59" i="31" s="1"/>
  <c r="AX60" i="31" s="1"/>
  <c r="AX61" i="31" s="1"/>
  <c r="AX62" i="31" s="1"/>
  <c r="AX63" i="31" s="1"/>
  <c r="AX64" i="31" s="1"/>
  <c r="AX65" i="31" s="1"/>
  <c r="AX66" i="31" s="1"/>
  <c r="AX67" i="31" s="1"/>
  <c r="AX68" i="31" s="1"/>
  <c r="AX69" i="31" s="1"/>
  <c r="AX70" i="31" s="1"/>
  <c r="AX71" i="31" s="1"/>
  <c r="AX72" i="31" s="1"/>
  <c r="AX73" i="31" s="1"/>
  <c r="AX74" i="31" s="1"/>
  <c r="AX75" i="31" s="1"/>
  <c r="AX76" i="31" s="1"/>
  <c r="AX77" i="31" s="1"/>
  <c r="AX78" i="31" s="1"/>
  <c r="AX79" i="31" s="1"/>
  <c r="AX80" i="31" s="1"/>
  <c r="AX81" i="31" s="1"/>
  <c r="AX82" i="31" s="1"/>
  <c r="AX83" i="31" s="1"/>
  <c r="AX84" i="31" s="1"/>
  <c r="AX85" i="31" s="1"/>
  <c r="AX86" i="31" s="1"/>
  <c r="G46" i="31"/>
  <c r="AX91" i="31" s="1"/>
  <c r="AX92" i="31" s="1"/>
  <c r="AX93" i="31" s="1"/>
  <c r="AX94" i="31" s="1"/>
  <c r="AX95" i="31" s="1"/>
  <c r="AX96" i="31" s="1"/>
  <c r="AX97" i="31" s="1"/>
  <c r="AX98" i="31" s="1"/>
  <c r="AX99" i="31" s="1"/>
  <c r="AX100" i="31" s="1"/>
  <c r="AX101" i="31" s="1"/>
  <c r="AX102" i="31" s="1"/>
  <c r="AX103" i="31" s="1"/>
  <c r="AX104" i="31" s="1"/>
  <c r="G49" i="31"/>
  <c r="BB125" i="31" s="1"/>
  <c r="BB126" i="31" s="1"/>
  <c r="BB127" i="31" s="1"/>
  <c r="BB128" i="31" s="1"/>
  <c r="BB129" i="31" s="1"/>
  <c r="BB130" i="31" s="1"/>
  <c r="BB131" i="31" s="1"/>
  <c r="BB132" i="31" s="1"/>
  <c r="BB133" i="31" s="1"/>
  <c r="BB134" i="31" s="1"/>
  <c r="BB135" i="31" s="1"/>
  <c r="BB136" i="31" s="1"/>
  <c r="BB137" i="31" s="1"/>
  <c r="BB138" i="31" s="1"/>
  <c r="BB139" i="31" s="1"/>
  <c r="BB140" i="31" s="1"/>
  <c r="BB141" i="31" s="1"/>
  <c r="BB142" i="31" s="1"/>
  <c r="BB143" i="31" s="1"/>
  <c r="BB144" i="31" s="1"/>
  <c r="BB145" i="31" s="1"/>
  <c r="BB146" i="31" s="1"/>
  <c r="BB147" i="31" s="1"/>
  <c r="BB148" i="31" s="1"/>
  <c r="BB149" i="31" s="1"/>
  <c r="BB150" i="31" s="1"/>
  <c r="BB151" i="31" s="1"/>
  <c r="BB152" i="31" s="1"/>
  <c r="BB153" i="31" s="1"/>
  <c r="BB154" i="31" s="1"/>
  <c r="G40" i="31"/>
  <c r="AP57" i="31" s="1"/>
  <c r="AP58" i="31" s="1"/>
  <c r="AP59" i="31" s="1"/>
  <c r="AP60" i="31" s="1"/>
  <c r="AP61" i="31" s="1"/>
  <c r="AP62" i="31" s="1"/>
  <c r="AP63" i="31" s="1"/>
  <c r="AP64" i="31" s="1"/>
  <c r="AP65" i="31" s="1"/>
  <c r="AP66" i="31" s="1"/>
  <c r="AP67" i="31" s="1"/>
  <c r="AP68" i="31" s="1"/>
  <c r="AP69" i="31" s="1"/>
  <c r="AP70" i="31" s="1"/>
  <c r="C10" i="33"/>
  <c r="E15" i="31"/>
  <c r="E11" i="31"/>
  <c r="E10" i="31"/>
  <c r="E16" i="31"/>
  <c r="C12" i="16"/>
  <c r="C4" i="33"/>
  <c r="AH55" i="31"/>
  <c r="AD55" i="31"/>
  <c r="Z55" i="31"/>
  <c r="V55" i="31"/>
  <c r="R55" i="31"/>
  <c r="N55" i="31"/>
  <c r="J55" i="31"/>
  <c r="B55" i="31"/>
  <c r="F55" i="31"/>
  <c r="B33" i="34"/>
  <c r="B32" i="34"/>
  <c r="B31" i="34"/>
  <c r="B30" i="34"/>
  <c r="B29" i="34"/>
  <c r="B28" i="34"/>
  <c r="B27" i="34"/>
  <c r="B26" i="34"/>
  <c r="B25" i="34"/>
  <c r="B24" i="34"/>
  <c r="B23" i="34"/>
  <c r="B22" i="34"/>
  <c r="B21" i="34"/>
  <c r="B20" i="34"/>
  <c r="B19" i="34"/>
  <c r="B18" i="34"/>
  <c r="B17" i="34"/>
  <c r="B16" i="34"/>
  <c r="B15" i="34"/>
  <c r="B14" i="34"/>
  <c r="B13" i="34"/>
  <c r="B12" i="34"/>
  <c r="B11" i="34"/>
  <c r="B10" i="34"/>
  <c r="B9" i="34"/>
  <c r="B8" i="34"/>
  <c r="B7" i="34"/>
  <c r="B6" i="34"/>
  <c r="F16" i="31"/>
  <c r="F15" i="31"/>
  <c r="F11" i="31"/>
  <c r="J11" i="31" s="1"/>
  <c r="K11" i="31" s="1"/>
  <c r="C11" i="31" s="1"/>
  <c r="F10" i="31"/>
  <c r="Z90" i="31"/>
  <c r="B10" i="26"/>
  <c r="B9" i="26" s="1"/>
  <c r="H40" i="31" l="1"/>
  <c r="K40" i="31" s="1"/>
  <c r="C40" i="31" s="1"/>
  <c r="B241" i="5" s="1"/>
  <c r="H48" i="31"/>
  <c r="K48" i="31" s="1"/>
  <c r="C48" i="31" s="1"/>
  <c r="B249" i="5" s="1"/>
  <c r="J15" i="31"/>
  <c r="K15" i="31" s="1"/>
  <c r="C15" i="31" s="1"/>
  <c r="H41" i="31"/>
  <c r="K41" i="31" s="1"/>
  <c r="C41" i="31" s="1"/>
  <c r="B242" i="5" s="1"/>
  <c r="H44" i="31"/>
  <c r="K44" i="31" s="1"/>
  <c r="C44" i="31" s="1"/>
  <c r="B245" i="5" s="1"/>
  <c r="B258" i="5"/>
  <c r="B95" i="26"/>
  <c r="G77" i="26"/>
  <c r="B257" i="5"/>
  <c r="B246" i="5"/>
  <c r="H50" i="31"/>
  <c r="K50" i="31" s="1"/>
  <c r="C50" i="31" s="1"/>
  <c r="H47" i="31"/>
  <c r="K47" i="31" s="1"/>
  <c r="C47" i="31" s="1"/>
  <c r="H49" i="31"/>
  <c r="K49" i="31" s="1"/>
  <c r="C49" i="31" s="1"/>
  <c r="H46" i="31"/>
  <c r="K46" i="31" s="1"/>
  <c r="C46" i="31" s="1"/>
  <c r="G199" i="31"/>
  <c r="C45" i="34" s="1"/>
  <c r="H43" i="31"/>
  <c r="K43" i="31" s="1"/>
  <c r="H42" i="31"/>
  <c r="K42" i="31" s="1"/>
  <c r="G197" i="31"/>
  <c r="C43" i="34" s="1"/>
  <c r="H196" i="31"/>
  <c r="D42" i="34" s="1"/>
  <c r="AT91" i="31"/>
  <c r="AT92" i="31" s="1"/>
  <c r="AT93" i="31" s="1"/>
  <c r="AT94" i="31" s="1"/>
  <c r="AT95" i="31" s="1"/>
  <c r="AT96" i="31" s="1"/>
  <c r="AT97" i="31" s="1"/>
  <c r="AT98" i="31" s="1"/>
  <c r="AT99" i="31" s="1"/>
  <c r="AT100" i="31" s="1"/>
  <c r="AT101" i="31" s="1"/>
  <c r="AT102" i="31" s="1"/>
  <c r="AT103" i="31" s="1"/>
  <c r="AT104" i="31" s="1"/>
  <c r="AT105" i="31" s="1"/>
  <c r="AT106" i="31" s="1"/>
  <c r="AT107" i="31" s="1"/>
  <c r="AT108" i="31" s="1"/>
  <c r="AT109" i="31" s="1"/>
  <c r="AT110" i="31" s="1"/>
  <c r="AT111" i="31" s="1"/>
  <c r="AT112" i="31" s="1"/>
  <c r="AT113" i="31" s="1"/>
  <c r="AT114" i="31" s="1"/>
  <c r="AT115" i="31" s="1"/>
  <c r="AT116" i="31" s="1"/>
  <c r="AT117" i="31" s="1"/>
  <c r="AT118" i="31" s="1"/>
  <c r="AT119" i="31" s="1"/>
  <c r="AT120" i="31" s="1"/>
  <c r="G195" i="31"/>
  <c r="C41" i="34" s="1"/>
  <c r="AL105" i="31"/>
  <c r="AL106" i="31" s="1"/>
  <c r="AL107" i="31" s="1"/>
  <c r="AL108" i="31" s="1"/>
  <c r="AL109" i="31" s="1"/>
  <c r="AL110" i="31" s="1"/>
  <c r="AL111" i="31" s="1"/>
  <c r="AL112" i="31" s="1"/>
  <c r="AL113" i="31" s="1"/>
  <c r="AL114" i="31" s="1"/>
  <c r="AL115" i="31" s="1"/>
  <c r="AL116" i="31" s="1"/>
  <c r="AL117" i="31" s="1"/>
  <c r="AL118" i="31" s="1"/>
  <c r="AL119" i="31" s="1"/>
  <c r="AL120" i="31" s="1"/>
  <c r="G190" i="31"/>
  <c r="C36" i="34" s="1"/>
  <c r="D198" i="31"/>
  <c r="C44" i="32" s="1"/>
  <c r="G198" i="31"/>
  <c r="C44" i="34" s="1"/>
  <c r="H190" i="31"/>
  <c r="D36" i="34" s="1"/>
  <c r="F198" i="31"/>
  <c r="D44" i="32" s="1"/>
  <c r="F196" i="31"/>
  <c r="D42" i="32" s="1"/>
  <c r="F191" i="31"/>
  <c r="D37" i="32" s="1"/>
  <c r="AP71" i="31"/>
  <c r="AP72" i="31" s="1"/>
  <c r="AP73" i="31" s="1"/>
  <c r="AP74" i="31" s="1"/>
  <c r="AP75" i="31" s="1"/>
  <c r="AP76" i="31" s="1"/>
  <c r="AP77" i="31" s="1"/>
  <c r="AP78" i="31" s="1"/>
  <c r="AP79" i="31" s="1"/>
  <c r="AP80" i="31" s="1"/>
  <c r="AP81" i="31" s="1"/>
  <c r="AP82" i="31" s="1"/>
  <c r="AP83" i="31" s="1"/>
  <c r="AP84" i="31" s="1"/>
  <c r="AP85" i="31" s="1"/>
  <c r="AP86" i="31" s="1"/>
  <c r="G188" i="31"/>
  <c r="C34" i="34" s="1"/>
  <c r="G189" i="31"/>
  <c r="C35" i="34" s="1"/>
  <c r="F190" i="31"/>
  <c r="D36" i="32" s="1"/>
  <c r="H198" i="31"/>
  <c r="D44" i="34" s="1"/>
  <c r="AX105" i="31"/>
  <c r="AX106" i="31" s="1"/>
  <c r="AX107" i="31" s="1"/>
  <c r="AX108" i="31" s="1"/>
  <c r="AX109" i="31" s="1"/>
  <c r="AX110" i="31" s="1"/>
  <c r="AX111" i="31" s="1"/>
  <c r="AX112" i="31" s="1"/>
  <c r="AX113" i="31" s="1"/>
  <c r="AX114" i="31" s="1"/>
  <c r="AX115" i="31" s="1"/>
  <c r="AX116" i="31" s="1"/>
  <c r="AX117" i="31" s="1"/>
  <c r="AX118" i="31" s="1"/>
  <c r="AX119" i="31" s="1"/>
  <c r="AX120" i="31" s="1"/>
  <c r="G192" i="31"/>
  <c r="C38" i="34" s="1"/>
  <c r="D196" i="31"/>
  <c r="C42" i="32" s="1"/>
  <c r="G196" i="31"/>
  <c r="C42" i="34" s="1"/>
  <c r="G191" i="31"/>
  <c r="C37" i="34" s="1"/>
  <c r="G194" i="31"/>
  <c r="C40" i="34" s="1"/>
  <c r="H191" i="31"/>
  <c r="D37" i="34" s="1"/>
  <c r="AX139" i="31"/>
  <c r="AX140" i="31" s="1"/>
  <c r="AX141" i="31" s="1"/>
  <c r="AX142" i="31" s="1"/>
  <c r="AX143" i="31" s="1"/>
  <c r="AX144" i="31" s="1"/>
  <c r="AX145" i="31" s="1"/>
  <c r="AX146" i="31" s="1"/>
  <c r="AX147" i="31" s="1"/>
  <c r="AX148" i="31" s="1"/>
  <c r="AX149" i="31" s="1"/>
  <c r="AX150" i="31" s="1"/>
  <c r="AX151" i="31" s="1"/>
  <c r="AX152" i="31" s="1"/>
  <c r="AX153" i="31" s="1"/>
  <c r="AX154" i="31" s="1"/>
  <c r="D197" i="31"/>
  <c r="C43" i="32" s="1"/>
  <c r="BF139" i="31"/>
  <c r="BF140" i="31" s="1"/>
  <c r="BF141" i="31" s="1"/>
  <c r="BF142" i="31" s="1"/>
  <c r="BF143" i="31" s="1"/>
  <c r="BF144" i="31" s="1"/>
  <c r="BF145" i="31" s="1"/>
  <c r="BF146" i="31" s="1"/>
  <c r="BF147" i="31" s="1"/>
  <c r="BF148" i="31" s="1"/>
  <c r="BF149" i="31" s="1"/>
  <c r="BF150" i="31" s="1"/>
  <c r="BF151" i="31" s="1"/>
  <c r="BF152" i="31" s="1"/>
  <c r="BF153" i="31" s="1"/>
  <c r="BF154" i="31" s="1"/>
  <c r="D199" i="31"/>
  <c r="C45" i="32" s="1"/>
  <c r="D190" i="31"/>
  <c r="C36" i="32" s="1"/>
  <c r="D191" i="31"/>
  <c r="C37" i="32" s="1"/>
  <c r="D195" i="31"/>
  <c r="C41" i="32" s="1"/>
  <c r="D189" i="31"/>
  <c r="C35" i="32" s="1"/>
  <c r="D192" i="31"/>
  <c r="C38" i="32" s="1"/>
  <c r="AP91" i="31"/>
  <c r="AP92" i="31" s="1"/>
  <c r="AP93" i="31" s="1"/>
  <c r="AP94" i="31" s="1"/>
  <c r="AP95" i="31" s="1"/>
  <c r="AP96" i="31" s="1"/>
  <c r="AP97" i="31" s="1"/>
  <c r="AP98" i="31" s="1"/>
  <c r="AP99" i="31" s="1"/>
  <c r="AP100" i="31" s="1"/>
  <c r="AP101" i="31" s="1"/>
  <c r="AP102" i="31" s="1"/>
  <c r="AP103" i="31" s="1"/>
  <c r="AP104" i="31" s="1"/>
  <c r="AL71" i="31"/>
  <c r="AL72" i="31" s="1"/>
  <c r="AL73" i="31" s="1"/>
  <c r="AL74" i="31" s="1"/>
  <c r="AL75" i="31" s="1"/>
  <c r="AL76" i="31" s="1"/>
  <c r="AL77" i="31" s="1"/>
  <c r="AL78" i="31" s="1"/>
  <c r="AL79" i="31" s="1"/>
  <c r="AL80" i="31" s="1"/>
  <c r="AL81" i="31" s="1"/>
  <c r="AL82" i="31" s="1"/>
  <c r="AL83" i="31" s="1"/>
  <c r="AL84" i="31" s="1"/>
  <c r="AL85" i="31" s="1"/>
  <c r="AL86" i="31" s="1"/>
  <c r="D188" i="31"/>
  <c r="C34" i="32" s="1"/>
  <c r="G103" i="26"/>
  <c r="B103" i="26"/>
  <c r="B99" i="26"/>
  <c r="G91" i="26"/>
  <c r="B91" i="26"/>
  <c r="B81" i="26"/>
  <c r="G74" i="26"/>
  <c r="B77" i="26"/>
  <c r="B74" i="26"/>
  <c r="G60" i="26"/>
  <c r="G59" i="26" s="1"/>
  <c r="B55" i="26"/>
  <c r="B56" i="26" s="1"/>
  <c r="G43" i="26"/>
  <c r="G44" i="26" s="1"/>
  <c r="B43" i="26"/>
  <c r="B44" i="26" s="1"/>
  <c r="G27" i="26"/>
  <c r="B27" i="26"/>
  <c r="G10" i="26"/>
  <c r="H194" i="31" l="1"/>
  <c r="D40" i="34" s="1"/>
  <c r="E40" i="34" s="1"/>
  <c r="N1008" i="35"/>
  <c r="N1007" i="35"/>
  <c r="B248" i="5"/>
  <c r="B247" i="5"/>
  <c r="B250" i="5"/>
  <c r="B251" i="5"/>
  <c r="D194" i="31"/>
  <c r="C40" i="32" s="1"/>
  <c r="E42" i="34"/>
  <c r="H195" i="31"/>
  <c r="D41" i="34" s="1"/>
  <c r="E41" i="34" s="1"/>
  <c r="F194" i="31"/>
  <c r="D40" i="32" s="1"/>
  <c r="F192" i="31"/>
  <c r="D38" i="32" s="1"/>
  <c r="E38" i="32" s="1"/>
  <c r="E42" i="32"/>
  <c r="E36" i="34"/>
  <c r="F189" i="31"/>
  <c r="D35" i="32" s="1"/>
  <c r="E35" i="32" s="1"/>
  <c r="H192" i="31"/>
  <c r="D38" i="34" s="1"/>
  <c r="E38" i="34" s="1"/>
  <c r="F195" i="31"/>
  <c r="D41" i="32" s="1"/>
  <c r="E41" i="32" s="1"/>
  <c r="E37" i="32"/>
  <c r="G193" i="31"/>
  <c r="C39" i="34" s="1"/>
  <c r="E36" i="32"/>
  <c r="H197" i="31"/>
  <c r="D43" i="34" s="1"/>
  <c r="E43" i="34" s="1"/>
  <c r="F199" i="31"/>
  <c r="D45" i="32" s="1"/>
  <c r="E45" i="32" s="1"/>
  <c r="E44" i="32"/>
  <c r="H199" i="31"/>
  <c r="D45" i="34" s="1"/>
  <c r="E45" i="34" s="1"/>
  <c r="E37" i="34"/>
  <c r="F197" i="31"/>
  <c r="D43" i="32" s="1"/>
  <c r="E43" i="32" s="1"/>
  <c r="E44" i="34"/>
  <c r="H189" i="31"/>
  <c r="D35" i="34" s="1"/>
  <c r="E35" i="34" s="1"/>
  <c r="H188" i="31"/>
  <c r="D34" i="34" s="1"/>
  <c r="E34" i="34" s="1"/>
  <c r="F188" i="31"/>
  <c r="D34" i="32" s="1"/>
  <c r="E34" i="32" s="1"/>
  <c r="AP105" i="31"/>
  <c r="AP106" i="31" s="1"/>
  <c r="AP107" i="31" s="1"/>
  <c r="AP108" i="31" s="1"/>
  <c r="AP109" i="31" s="1"/>
  <c r="AP110" i="31" s="1"/>
  <c r="AP111" i="31" s="1"/>
  <c r="AP112" i="31" s="1"/>
  <c r="AP113" i="31" s="1"/>
  <c r="AP114" i="31" s="1"/>
  <c r="AP115" i="31" s="1"/>
  <c r="AP116" i="31" s="1"/>
  <c r="AP117" i="31" s="1"/>
  <c r="AP118" i="31" s="1"/>
  <c r="AP119" i="31" s="1"/>
  <c r="AP120" i="31" s="1"/>
  <c r="D193" i="31"/>
  <c r="C39" i="32" s="1"/>
  <c r="B5" i="26"/>
  <c r="U5" i="35" l="1"/>
  <c r="R4" i="35"/>
  <c r="V5" i="35" s="1"/>
  <c r="E40" i="32"/>
  <c r="H193" i="31"/>
  <c r="D39" i="34" s="1"/>
  <c r="E39" i="34" s="1"/>
  <c r="F193" i="31"/>
  <c r="D39" i="32" s="1"/>
  <c r="E39" i="32" s="1"/>
  <c r="B235" i="5"/>
  <c r="B234" i="5"/>
  <c r="B233" i="5"/>
  <c r="B232" i="5"/>
  <c r="B231" i="5"/>
  <c r="B239" i="5"/>
  <c r="C34" i="33"/>
  <c r="C33" i="33"/>
  <c r="C32" i="33"/>
  <c r="C31" i="33"/>
  <c r="C30" i="33"/>
  <c r="C29" i="33"/>
  <c r="C28" i="33"/>
  <c r="C27" i="33"/>
  <c r="C26" i="33"/>
  <c r="C25" i="33"/>
  <c r="C24" i="33"/>
  <c r="C23" i="33"/>
  <c r="C22" i="33"/>
  <c r="C21" i="33"/>
  <c r="C20" i="33"/>
  <c r="C19" i="33"/>
  <c r="C18" i="33"/>
  <c r="C17" i="33"/>
  <c r="C16" i="33"/>
  <c r="C15" i="33"/>
  <c r="C14" i="33"/>
  <c r="C13" i="33"/>
  <c r="C12" i="33"/>
  <c r="C11" i="33"/>
  <c r="C9" i="33"/>
  <c r="C8" i="33"/>
  <c r="C7" i="33"/>
  <c r="C6" i="33"/>
  <c r="C5" i="33"/>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C187" i="31"/>
  <c r="C186" i="31"/>
  <c r="C185" i="31"/>
  <c r="C184" i="31"/>
  <c r="E183" i="31"/>
  <c r="C183" i="31"/>
  <c r="C182" i="31"/>
  <c r="E181" i="31"/>
  <c r="C181" i="31"/>
  <c r="C180" i="31"/>
  <c r="C179" i="31"/>
  <c r="C178" i="31"/>
  <c r="C177" i="31"/>
  <c r="E176" i="31"/>
  <c r="C175" i="31"/>
  <c r="C174" i="31"/>
  <c r="E173" i="31"/>
  <c r="E172" i="31"/>
  <c r="E171" i="31"/>
  <c r="E170" i="31"/>
  <c r="E169" i="31"/>
  <c r="E168" i="31"/>
  <c r="C168" i="31"/>
  <c r="E167" i="31"/>
  <c r="C167" i="31"/>
  <c r="E166" i="31"/>
  <c r="C166" i="31"/>
  <c r="E164" i="31"/>
  <c r="C164" i="31"/>
  <c r="E163" i="31"/>
  <c r="C163" i="31"/>
  <c r="E162" i="31"/>
  <c r="C162" i="31"/>
  <c r="AP124" i="31"/>
  <c r="AL124" i="31"/>
  <c r="AH124" i="31"/>
  <c r="AD124" i="31"/>
  <c r="Z124" i="31"/>
  <c r="V124" i="31"/>
  <c r="R124" i="31"/>
  <c r="N124" i="31"/>
  <c r="J124" i="31"/>
  <c r="B124" i="31"/>
  <c r="AP123" i="31"/>
  <c r="AL123" i="31"/>
  <c r="AH123" i="31"/>
  <c r="AD123" i="31"/>
  <c r="Z123" i="31"/>
  <c r="V123" i="31"/>
  <c r="R123" i="31"/>
  <c r="N123" i="31"/>
  <c r="J123" i="31"/>
  <c r="F123" i="31"/>
  <c r="B123" i="31"/>
  <c r="AD90" i="31"/>
  <c r="B90" i="31"/>
  <c r="AH89" i="31"/>
  <c r="AD89" i="31"/>
  <c r="Z89" i="31"/>
  <c r="V89" i="31"/>
  <c r="R89" i="31"/>
  <c r="N89" i="31"/>
  <c r="J89" i="31"/>
  <c r="F89" i="31"/>
  <c r="AH56" i="31"/>
  <c r="AD56" i="31"/>
  <c r="R56" i="31"/>
  <c r="C208" i="31" s="1"/>
  <c r="N56" i="31"/>
  <c r="C207" i="31" s="1"/>
  <c r="J56" i="31"/>
  <c r="C206" i="31" s="1"/>
  <c r="E187" i="31"/>
  <c r="E186" i="31"/>
  <c r="E184" i="31"/>
  <c r="G34" i="31"/>
  <c r="E182" i="31"/>
  <c r="G32" i="31"/>
  <c r="G30" i="31"/>
  <c r="E178" i="31"/>
  <c r="E177" i="31"/>
  <c r="AH90" i="31"/>
  <c r="G26" i="31"/>
  <c r="E174" i="31"/>
  <c r="G24" i="31"/>
  <c r="N90" i="31"/>
  <c r="G21" i="31"/>
  <c r="F90" i="31"/>
  <c r="G19" i="31"/>
  <c r="G18" i="31"/>
  <c r="G17" i="31"/>
  <c r="Z56" i="31"/>
  <c r="E165" i="31"/>
  <c r="C165" i="31"/>
  <c r="G14" i="31"/>
  <c r="G13" i="31"/>
  <c r="N57" i="31" s="1"/>
  <c r="N58" i="31" s="1"/>
  <c r="N59" i="31" s="1"/>
  <c r="N60" i="31" s="1"/>
  <c r="N61" i="31" s="1"/>
  <c r="N62" i="31" s="1"/>
  <c r="N63" i="31" s="1"/>
  <c r="N64" i="31" s="1"/>
  <c r="N65" i="31" s="1"/>
  <c r="N66" i="31" s="1"/>
  <c r="N67" i="31" s="1"/>
  <c r="N68" i="31" s="1"/>
  <c r="N69" i="31" s="1"/>
  <c r="N70" i="31" s="1"/>
  <c r="G12" i="31"/>
  <c r="E161" i="31"/>
  <c r="AD91" i="31" l="1"/>
  <c r="AD92" i="31" s="1"/>
  <c r="AD93" i="31" s="1"/>
  <c r="AD94" i="31" s="1"/>
  <c r="AD95" i="31" s="1"/>
  <c r="AD96" i="31" s="1"/>
  <c r="AD97" i="31" s="1"/>
  <c r="AD98" i="31" s="1"/>
  <c r="AD99" i="31" s="1"/>
  <c r="AD100" i="31" s="1"/>
  <c r="AD101" i="31" s="1"/>
  <c r="AD102" i="31" s="1"/>
  <c r="AD103" i="31" s="1"/>
  <c r="AD104" i="31" s="1"/>
  <c r="G175" i="31" s="1"/>
  <c r="C21" i="34" s="1"/>
  <c r="AD57" i="31"/>
  <c r="AD58" i="31" s="1"/>
  <c r="AD59" i="31" s="1"/>
  <c r="AD60" i="31" s="1"/>
  <c r="AD61" i="31" s="1"/>
  <c r="AD62" i="31" s="1"/>
  <c r="AD63" i="31" s="1"/>
  <c r="AD64" i="31" s="1"/>
  <c r="AD65" i="31" s="1"/>
  <c r="AD66" i="31" s="1"/>
  <c r="AD67" i="31" s="1"/>
  <c r="AD68" i="31" s="1"/>
  <c r="AD69" i="31" s="1"/>
  <c r="AD70" i="31" s="1"/>
  <c r="D166" i="31" s="1"/>
  <c r="C12" i="32" s="1"/>
  <c r="AH57" i="31"/>
  <c r="AH58" i="31" s="1"/>
  <c r="AH59" i="31" s="1"/>
  <c r="AH60" i="31" s="1"/>
  <c r="AH61" i="31" s="1"/>
  <c r="AH62" i="31" s="1"/>
  <c r="AH63" i="31" s="1"/>
  <c r="AH64" i="31" s="1"/>
  <c r="AH65" i="31" s="1"/>
  <c r="AH66" i="31" s="1"/>
  <c r="AH67" i="31" s="1"/>
  <c r="AH68" i="31" s="1"/>
  <c r="AH69" i="31" s="1"/>
  <c r="AH70" i="31" s="1"/>
  <c r="AH71" i="31" s="1"/>
  <c r="AH72" i="31" s="1"/>
  <c r="AH73" i="31" s="1"/>
  <c r="AH74" i="31" s="1"/>
  <c r="AH75" i="31" s="1"/>
  <c r="AH76" i="31" s="1"/>
  <c r="AH77" i="31" s="1"/>
  <c r="AH78" i="31" s="1"/>
  <c r="AH79" i="31" s="1"/>
  <c r="AH80" i="31" s="1"/>
  <c r="AH81" i="31" s="1"/>
  <c r="AH82" i="31" s="1"/>
  <c r="AH83" i="31" s="1"/>
  <c r="AH84" i="31" s="1"/>
  <c r="AH85" i="31" s="1"/>
  <c r="AH86" i="31" s="1"/>
  <c r="D163" i="31"/>
  <c r="C9" i="32" s="1"/>
  <c r="G163" i="31"/>
  <c r="C9" i="34" s="1"/>
  <c r="J57" i="31"/>
  <c r="J58" i="31" s="1"/>
  <c r="J59" i="31" s="1"/>
  <c r="J60" i="31" s="1"/>
  <c r="J61" i="31" s="1"/>
  <c r="J62" i="31" s="1"/>
  <c r="J63" i="31" s="1"/>
  <c r="J64" i="31" s="1"/>
  <c r="J65" i="31" s="1"/>
  <c r="J66" i="31" s="1"/>
  <c r="J67" i="31" s="1"/>
  <c r="J68" i="31" s="1"/>
  <c r="J69" i="31" s="1"/>
  <c r="J70" i="31" s="1"/>
  <c r="D206" i="31" s="1"/>
  <c r="G11" i="31"/>
  <c r="J125" i="31"/>
  <c r="J126" i="31" s="1"/>
  <c r="J127" i="31" s="1"/>
  <c r="J128" i="31" s="1"/>
  <c r="J129" i="31" s="1"/>
  <c r="J130" i="31" s="1"/>
  <c r="J131" i="31" s="1"/>
  <c r="J132" i="31" s="1"/>
  <c r="J133" i="31" s="1"/>
  <c r="J134" i="31" s="1"/>
  <c r="J135" i="31" s="1"/>
  <c r="J136" i="31" s="1"/>
  <c r="J137" i="31" s="1"/>
  <c r="J138" i="31" s="1"/>
  <c r="J139" i="31" s="1"/>
  <c r="J140" i="31" s="1"/>
  <c r="J141" i="31" s="1"/>
  <c r="J142" i="31" s="1"/>
  <c r="J143" i="31" s="1"/>
  <c r="J144" i="31" s="1"/>
  <c r="J145" i="31" s="1"/>
  <c r="J146" i="31" s="1"/>
  <c r="J147" i="31" s="1"/>
  <c r="J148" i="31" s="1"/>
  <c r="J149" i="31" s="1"/>
  <c r="J150" i="31" s="1"/>
  <c r="J151" i="31" s="1"/>
  <c r="J152" i="31" s="1"/>
  <c r="J153" i="31" s="1"/>
  <c r="J154" i="31" s="1"/>
  <c r="G37" i="31"/>
  <c r="AL125" i="31" s="1"/>
  <c r="AL126" i="31" s="1"/>
  <c r="AL127" i="31" s="1"/>
  <c r="AL128" i="31" s="1"/>
  <c r="AL129" i="31" s="1"/>
  <c r="AL130" i="31" s="1"/>
  <c r="AL131" i="31" s="1"/>
  <c r="AL132" i="31" s="1"/>
  <c r="AL133" i="31" s="1"/>
  <c r="AL134" i="31" s="1"/>
  <c r="AL135" i="31" s="1"/>
  <c r="AL136" i="31" s="1"/>
  <c r="AL137" i="31" s="1"/>
  <c r="AL138" i="31" s="1"/>
  <c r="G186" i="31" s="1"/>
  <c r="C32" i="34" s="1"/>
  <c r="G33" i="31"/>
  <c r="V125" i="31" s="1"/>
  <c r="V126" i="31" s="1"/>
  <c r="V127" i="31" s="1"/>
  <c r="V128" i="31" s="1"/>
  <c r="V129" i="31" s="1"/>
  <c r="V130" i="31" s="1"/>
  <c r="V131" i="31" s="1"/>
  <c r="V132" i="31" s="1"/>
  <c r="V133" i="31" s="1"/>
  <c r="V134" i="31" s="1"/>
  <c r="V135" i="31" s="1"/>
  <c r="V136" i="31" s="1"/>
  <c r="V137" i="31" s="1"/>
  <c r="V138" i="31" s="1"/>
  <c r="G182" i="31" s="1"/>
  <c r="C28" i="34" s="1"/>
  <c r="E179" i="31"/>
  <c r="G29" i="31"/>
  <c r="F125" i="31" s="1"/>
  <c r="F126" i="31" s="1"/>
  <c r="F127" i="31" s="1"/>
  <c r="F128" i="31" s="1"/>
  <c r="F129" i="31" s="1"/>
  <c r="F130" i="31" s="1"/>
  <c r="F131" i="31" s="1"/>
  <c r="F132" i="31" s="1"/>
  <c r="F133" i="31" s="1"/>
  <c r="F134" i="31" s="1"/>
  <c r="F135" i="31" s="1"/>
  <c r="F136" i="31" s="1"/>
  <c r="F137" i="31" s="1"/>
  <c r="F138" i="31" s="1"/>
  <c r="G178" i="31" s="1"/>
  <c r="C24" i="34" s="1"/>
  <c r="G28" i="31"/>
  <c r="B125" i="31" s="1"/>
  <c r="B126" i="31" s="1"/>
  <c r="B127" i="31" s="1"/>
  <c r="B128" i="31" s="1"/>
  <c r="B129" i="31" s="1"/>
  <c r="B130" i="31" s="1"/>
  <c r="B131" i="31" s="1"/>
  <c r="B132" i="31" s="1"/>
  <c r="B133" i="31" s="1"/>
  <c r="B134" i="31" s="1"/>
  <c r="B135" i="31" s="1"/>
  <c r="B136" i="31" s="1"/>
  <c r="B137" i="31" s="1"/>
  <c r="B138" i="31" s="1"/>
  <c r="B139" i="31" s="1"/>
  <c r="B140" i="31" s="1"/>
  <c r="B141" i="31" s="1"/>
  <c r="B142" i="31" s="1"/>
  <c r="B143" i="31" s="1"/>
  <c r="B144" i="31" s="1"/>
  <c r="B145" i="31" s="1"/>
  <c r="B146" i="31" s="1"/>
  <c r="B147" i="31" s="1"/>
  <c r="B148" i="31" s="1"/>
  <c r="B149" i="31" s="1"/>
  <c r="B150" i="31" s="1"/>
  <c r="B151" i="31" s="1"/>
  <c r="B152" i="31" s="1"/>
  <c r="B153" i="31" s="1"/>
  <c r="B154" i="31" s="1"/>
  <c r="E175" i="31"/>
  <c r="G25" i="31"/>
  <c r="Z91" i="31" s="1"/>
  <c r="Z92" i="31" s="1"/>
  <c r="Z93" i="31" s="1"/>
  <c r="Z94" i="31" s="1"/>
  <c r="Z95" i="31" s="1"/>
  <c r="Z96" i="31" s="1"/>
  <c r="Z97" i="31" s="1"/>
  <c r="Z98" i="31" s="1"/>
  <c r="Z99" i="31" s="1"/>
  <c r="Z100" i="31" s="1"/>
  <c r="Z101" i="31" s="1"/>
  <c r="Z102" i="31" s="1"/>
  <c r="Z103" i="31" s="1"/>
  <c r="Z104" i="31" s="1"/>
  <c r="Z105" i="31" s="1"/>
  <c r="Z106" i="31" s="1"/>
  <c r="Z107" i="31" s="1"/>
  <c r="Z108" i="31" s="1"/>
  <c r="Z109" i="31" s="1"/>
  <c r="Z110" i="31" s="1"/>
  <c r="Z111" i="31" s="1"/>
  <c r="Z112" i="31" s="1"/>
  <c r="Z113" i="31" s="1"/>
  <c r="Z114" i="31" s="1"/>
  <c r="Z115" i="31" s="1"/>
  <c r="Z116" i="31" s="1"/>
  <c r="Z117" i="31" s="1"/>
  <c r="Z118" i="31" s="1"/>
  <c r="Z119" i="31" s="1"/>
  <c r="Z120" i="31" s="1"/>
  <c r="C173" i="31"/>
  <c r="V90" i="31"/>
  <c r="V91" i="31" s="1"/>
  <c r="V92" i="31" s="1"/>
  <c r="V93" i="31" s="1"/>
  <c r="V94" i="31" s="1"/>
  <c r="V95" i="31" s="1"/>
  <c r="V96" i="31" s="1"/>
  <c r="V97" i="31" s="1"/>
  <c r="V98" i="31" s="1"/>
  <c r="V99" i="31" s="1"/>
  <c r="V100" i="31" s="1"/>
  <c r="V101" i="31" s="1"/>
  <c r="V102" i="31" s="1"/>
  <c r="V103" i="31" s="1"/>
  <c r="V104" i="31" s="1"/>
  <c r="C169" i="31"/>
  <c r="G20" i="31"/>
  <c r="G16" i="31"/>
  <c r="Z57" i="31" s="1"/>
  <c r="V56" i="31"/>
  <c r="G15" i="31"/>
  <c r="N71" i="31"/>
  <c r="N72" i="31" s="1"/>
  <c r="N73" i="31" s="1"/>
  <c r="N74" i="31" s="1"/>
  <c r="N75" i="31" s="1"/>
  <c r="N76" i="31" s="1"/>
  <c r="N77" i="31" s="1"/>
  <c r="N78" i="31" s="1"/>
  <c r="N79" i="31" s="1"/>
  <c r="N80" i="31" s="1"/>
  <c r="N81" i="31" s="1"/>
  <c r="N82" i="31" s="1"/>
  <c r="N83" i="31" s="1"/>
  <c r="N84" i="31" s="1"/>
  <c r="N85" i="31" s="1"/>
  <c r="N86" i="31" s="1"/>
  <c r="E207" i="31" s="1"/>
  <c r="AD71" i="31"/>
  <c r="AD72" i="31" s="1"/>
  <c r="AD73" i="31" s="1"/>
  <c r="AD74" i="31" s="1"/>
  <c r="AD75" i="31" s="1"/>
  <c r="AD76" i="31" s="1"/>
  <c r="AD77" i="31" s="1"/>
  <c r="AD78" i="31" s="1"/>
  <c r="AD79" i="31" s="1"/>
  <c r="AD80" i="31" s="1"/>
  <c r="AD81" i="31" s="1"/>
  <c r="AD82" i="31" s="1"/>
  <c r="AD83" i="31" s="1"/>
  <c r="AD84" i="31" s="1"/>
  <c r="AD85" i="31" s="1"/>
  <c r="AD86" i="31" s="1"/>
  <c r="J71" i="31"/>
  <c r="J72" i="31" s="1"/>
  <c r="J73" i="31" s="1"/>
  <c r="J74" i="31" s="1"/>
  <c r="J75" i="31" s="1"/>
  <c r="J76" i="31" s="1"/>
  <c r="J77" i="31" s="1"/>
  <c r="J78" i="31" s="1"/>
  <c r="J79" i="31" s="1"/>
  <c r="J80" i="31" s="1"/>
  <c r="J81" i="31" s="1"/>
  <c r="J82" i="31" s="1"/>
  <c r="J83" i="31" s="1"/>
  <c r="J84" i="31" s="1"/>
  <c r="J85" i="31" s="1"/>
  <c r="J86" i="31" s="1"/>
  <c r="E206" i="31" s="1"/>
  <c r="D207" i="31"/>
  <c r="B4" i="33"/>
  <c r="C176" i="31"/>
  <c r="G27" i="31"/>
  <c r="AH91" i="31" s="1"/>
  <c r="AH92" i="31" s="1"/>
  <c r="AH93" i="31" s="1"/>
  <c r="AH94" i="31" s="1"/>
  <c r="AH95" i="31" s="1"/>
  <c r="AH96" i="31" s="1"/>
  <c r="AH97" i="31" s="1"/>
  <c r="AH98" i="31" s="1"/>
  <c r="AH99" i="31" s="1"/>
  <c r="AH100" i="31" s="1"/>
  <c r="AH101" i="31" s="1"/>
  <c r="AH102" i="31" s="1"/>
  <c r="AH103" i="31" s="1"/>
  <c r="G38" i="31"/>
  <c r="AP125" i="31" s="1"/>
  <c r="AP126" i="31" s="1"/>
  <c r="AP127" i="31" s="1"/>
  <c r="AP128" i="31" s="1"/>
  <c r="AP129" i="31" s="1"/>
  <c r="AP130" i="31" s="1"/>
  <c r="AP131" i="31" s="1"/>
  <c r="AP132" i="31" s="1"/>
  <c r="AP133" i="31" s="1"/>
  <c r="AP134" i="31" s="1"/>
  <c r="AP135" i="31" s="1"/>
  <c r="AP136" i="31" s="1"/>
  <c r="AP137" i="31" s="1"/>
  <c r="AP138" i="31" s="1"/>
  <c r="G187" i="31" s="1"/>
  <c r="C33" i="34" s="1"/>
  <c r="C172" i="31"/>
  <c r="R90" i="31"/>
  <c r="G23" i="31"/>
  <c r="C170" i="31"/>
  <c r="J90" i="31"/>
  <c r="J91" i="31" s="1"/>
  <c r="J92" i="31" s="1"/>
  <c r="J93" i="31" s="1"/>
  <c r="J94" i="31" s="1"/>
  <c r="J95" i="31" s="1"/>
  <c r="J96" i="31" s="1"/>
  <c r="J97" i="31" s="1"/>
  <c r="J98" i="31" s="1"/>
  <c r="J99" i="31" s="1"/>
  <c r="J100" i="31" s="1"/>
  <c r="J101" i="31" s="1"/>
  <c r="J102" i="31" s="1"/>
  <c r="J103" i="31" s="1"/>
  <c r="J104" i="31" s="1"/>
  <c r="Z125" i="31"/>
  <c r="Z126" i="31" s="1"/>
  <c r="Z127" i="31" s="1"/>
  <c r="Z128" i="31" s="1"/>
  <c r="Z129" i="31" s="1"/>
  <c r="Z130" i="31" s="1"/>
  <c r="Z131" i="31" s="1"/>
  <c r="Z132" i="31" s="1"/>
  <c r="Z133" i="31" s="1"/>
  <c r="Z134" i="31" s="1"/>
  <c r="Z135" i="31" s="1"/>
  <c r="Z136" i="31" s="1"/>
  <c r="Z137" i="31" s="1"/>
  <c r="Z138" i="31" s="1"/>
  <c r="D183" i="31" s="1"/>
  <c r="C161" i="31"/>
  <c r="F56" i="31"/>
  <c r="E180" i="31"/>
  <c r="G31" i="31"/>
  <c r="N125" i="31" s="1"/>
  <c r="N126" i="31" s="1"/>
  <c r="N127" i="31" s="1"/>
  <c r="N128" i="31" s="1"/>
  <c r="N129" i="31" s="1"/>
  <c r="N130" i="31" s="1"/>
  <c r="N131" i="31" s="1"/>
  <c r="N132" i="31" s="1"/>
  <c r="N133" i="31" s="1"/>
  <c r="N134" i="31" s="1"/>
  <c r="N135" i="31" s="1"/>
  <c r="N136" i="31" s="1"/>
  <c r="N137" i="31" s="1"/>
  <c r="N138" i="31" s="1"/>
  <c r="D180" i="31" s="1"/>
  <c r="E185" i="31"/>
  <c r="G36" i="31"/>
  <c r="AH125" i="31" s="1"/>
  <c r="AH126" i="31" s="1"/>
  <c r="AH127" i="31" s="1"/>
  <c r="AH128" i="31" s="1"/>
  <c r="AH129" i="31" s="1"/>
  <c r="AH130" i="31" s="1"/>
  <c r="AH131" i="31" s="1"/>
  <c r="AH132" i="31" s="1"/>
  <c r="AH133" i="31" s="1"/>
  <c r="AH134" i="31" s="1"/>
  <c r="AH135" i="31" s="1"/>
  <c r="AH136" i="31" s="1"/>
  <c r="AH137" i="31" s="1"/>
  <c r="AH138" i="31" s="1"/>
  <c r="D185" i="31" s="1"/>
  <c r="R57" i="31"/>
  <c r="R58" i="31" s="1"/>
  <c r="R59" i="31" s="1"/>
  <c r="R60" i="31" s="1"/>
  <c r="R61" i="31" s="1"/>
  <c r="R62" i="31" s="1"/>
  <c r="R63" i="31" s="1"/>
  <c r="R64" i="31" s="1"/>
  <c r="R65" i="31" s="1"/>
  <c r="R66" i="31" s="1"/>
  <c r="R67" i="31" s="1"/>
  <c r="R68" i="31" s="1"/>
  <c r="R69" i="31" s="1"/>
  <c r="R70" i="31" s="1"/>
  <c r="G164" i="31" s="1"/>
  <c r="C10" i="34" s="1"/>
  <c r="B91" i="31"/>
  <c r="B92" i="31" s="1"/>
  <c r="B93" i="31" s="1"/>
  <c r="B94" i="31" s="1"/>
  <c r="B95" i="31" s="1"/>
  <c r="B96" i="31" s="1"/>
  <c r="B97" i="31" s="1"/>
  <c r="B98" i="31" s="1"/>
  <c r="B99" i="31" s="1"/>
  <c r="B100" i="31" s="1"/>
  <c r="B101" i="31" s="1"/>
  <c r="B102" i="31" s="1"/>
  <c r="B103" i="31" s="1"/>
  <c r="B104" i="31" s="1"/>
  <c r="D168" i="31" s="1"/>
  <c r="G22" i="31"/>
  <c r="G35" i="31"/>
  <c r="AD125" i="31" s="1"/>
  <c r="AD126" i="31" s="1"/>
  <c r="AD127" i="31" s="1"/>
  <c r="AD128" i="31" s="1"/>
  <c r="AD129" i="31" s="1"/>
  <c r="AD130" i="31" s="1"/>
  <c r="AD131" i="31" s="1"/>
  <c r="AD132" i="31" s="1"/>
  <c r="AD133" i="31" s="1"/>
  <c r="AD134" i="31" s="1"/>
  <c r="AD135" i="31" s="1"/>
  <c r="AD136" i="31" s="1"/>
  <c r="AD137" i="31" s="1"/>
  <c r="AD138" i="31" s="1"/>
  <c r="D184" i="31" s="1"/>
  <c r="C171" i="31"/>
  <c r="R125" i="31"/>
  <c r="R126" i="31" s="1"/>
  <c r="R127" i="31" s="1"/>
  <c r="R128" i="31" s="1"/>
  <c r="R129" i="31" s="1"/>
  <c r="R130" i="31" s="1"/>
  <c r="R131" i="31" s="1"/>
  <c r="R132" i="31" s="1"/>
  <c r="R133" i="31" s="1"/>
  <c r="R134" i="31" s="1"/>
  <c r="R135" i="31" s="1"/>
  <c r="R136" i="31" s="1"/>
  <c r="R137" i="31" s="1"/>
  <c r="R138" i="31" s="1"/>
  <c r="D181" i="31" s="1"/>
  <c r="D175" i="31" l="1"/>
  <c r="C21" i="32" s="1"/>
  <c r="AD105" i="31"/>
  <c r="AD106" i="31" s="1"/>
  <c r="AD107" i="31" s="1"/>
  <c r="AD108" i="31" s="1"/>
  <c r="AD109" i="31" s="1"/>
  <c r="AD110" i="31" s="1"/>
  <c r="AD111" i="31" s="1"/>
  <c r="AD112" i="31" s="1"/>
  <c r="AD113" i="31" s="1"/>
  <c r="AD114" i="31" s="1"/>
  <c r="AD115" i="31" s="1"/>
  <c r="AD116" i="31" s="1"/>
  <c r="AD117" i="31" s="1"/>
  <c r="AD118" i="31" s="1"/>
  <c r="AD119" i="31" s="1"/>
  <c r="AD120" i="31" s="1"/>
  <c r="G183" i="31"/>
  <c r="C29" i="34" s="1"/>
  <c r="D178" i="31"/>
  <c r="C24" i="32" s="1"/>
  <c r="H174" i="31"/>
  <c r="D20" i="34" s="1"/>
  <c r="D182" i="31"/>
  <c r="C28" i="32" s="1"/>
  <c r="G185" i="31"/>
  <c r="C31" i="34" s="1"/>
  <c r="G166" i="31"/>
  <c r="C12" i="34" s="1"/>
  <c r="F207" i="31"/>
  <c r="D186" i="31"/>
  <c r="C32" i="32" s="1"/>
  <c r="D174" i="31"/>
  <c r="F177" i="31"/>
  <c r="G168" i="31"/>
  <c r="C14" i="34" s="1"/>
  <c r="F162" i="31"/>
  <c r="D8" i="32" s="1"/>
  <c r="G184" i="31"/>
  <c r="C30" i="34" s="1"/>
  <c r="H177" i="31"/>
  <c r="D23" i="34" s="1"/>
  <c r="D162" i="31"/>
  <c r="C8" i="32" s="1"/>
  <c r="H162" i="31"/>
  <c r="D8" i="34" s="1"/>
  <c r="G162" i="31"/>
  <c r="C8" i="34" s="1"/>
  <c r="H175" i="31"/>
  <c r="D21" i="34" s="1"/>
  <c r="E21" i="34" s="1"/>
  <c r="F175" i="31"/>
  <c r="G180" i="31"/>
  <c r="C26" i="34" s="1"/>
  <c r="D177" i="31"/>
  <c r="C23" i="32" s="1"/>
  <c r="D179" i="31"/>
  <c r="C25" i="32" s="1"/>
  <c r="G181" i="31"/>
  <c r="C27" i="34" s="1"/>
  <c r="F91" i="31"/>
  <c r="F92" i="31" s="1"/>
  <c r="F93" i="31" s="1"/>
  <c r="F94" i="31" s="1"/>
  <c r="F95" i="31" s="1"/>
  <c r="F96" i="31" s="1"/>
  <c r="F97" i="31" s="1"/>
  <c r="F98" i="31" s="1"/>
  <c r="F99" i="31" s="1"/>
  <c r="F100" i="31" s="1"/>
  <c r="F101" i="31" s="1"/>
  <c r="F102" i="31" s="1"/>
  <c r="F103" i="31" s="1"/>
  <c r="F104" i="31" s="1"/>
  <c r="D169" i="31" s="1"/>
  <c r="F179" i="31"/>
  <c r="H179" i="31"/>
  <c r="D25" i="34" s="1"/>
  <c r="G177" i="31"/>
  <c r="C23" i="34" s="1"/>
  <c r="F174" i="31"/>
  <c r="G179" i="31"/>
  <c r="C25" i="34" s="1"/>
  <c r="G174" i="31"/>
  <c r="C20" i="34" s="1"/>
  <c r="N91" i="31"/>
  <c r="N92" i="31" s="1"/>
  <c r="N93" i="31" s="1"/>
  <c r="N94" i="31" s="1"/>
  <c r="N95" i="31" s="1"/>
  <c r="N96" i="31" s="1"/>
  <c r="N97" i="31" s="1"/>
  <c r="N98" i="31" s="1"/>
  <c r="N99" i="31" s="1"/>
  <c r="N100" i="31" s="1"/>
  <c r="N101" i="31" s="1"/>
  <c r="N102" i="31" s="1"/>
  <c r="N103" i="31" s="1"/>
  <c r="N104" i="31" s="1"/>
  <c r="G171" i="31" s="1"/>
  <c r="C17" i="34" s="1"/>
  <c r="H166" i="31"/>
  <c r="D12" i="34" s="1"/>
  <c r="D164" i="31"/>
  <c r="F163" i="31"/>
  <c r="D9" i="32" s="1"/>
  <c r="E9" i="32" s="1"/>
  <c r="D187" i="31"/>
  <c r="C33" i="32" s="1"/>
  <c r="H167" i="31"/>
  <c r="D13" i="34" s="1"/>
  <c r="G167" i="31"/>
  <c r="C13" i="34" s="1"/>
  <c r="F206" i="31"/>
  <c r="D176" i="31"/>
  <c r="G176" i="31"/>
  <c r="C22" i="34" s="1"/>
  <c r="F166" i="31"/>
  <c r="D12" i="32" s="1"/>
  <c r="E12" i="32" s="1"/>
  <c r="H163" i="31"/>
  <c r="D9" i="34" s="1"/>
  <c r="E9" i="34" s="1"/>
  <c r="F167" i="31"/>
  <c r="D13" i="32" s="1"/>
  <c r="D167" i="31"/>
  <c r="C13" i="32" s="1"/>
  <c r="D173" i="31"/>
  <c r="G170" i="31"/>
  <c r="C16" i="34" s="1"/>
  <c r="D170" i="31"/>
  <c r="G173" i="31"/>
  <c r="C19" i="34" s="1"/>
  <c r="J105" i="31"/>
  <c r="J106" i="31" s="1"/>
  <c r="J107" i="31" s="1"/>
  <c r="J108" i="31" s="1"/>
  <c r="J109" i="31" s="1"/>
  <c r="J110" i="31" s="1"/>
  <c r="J111" i="31" s="1"/>
  <c r="J112" i="31" s="1"/>
  <c r="J113" i="31" s="1"/>
  <c r="J114" i="31" s="1"/>
  <c r="J115" i="31" s="1"/>
  <c r="J116" i="31" s="1"/>
  <c r="J117" i="31" s="1"/>
  <c r="J118" i="31" s="1"/>
  <c r="J119" i="31" s="1"/>
  <c r="J120" i="31" s="1"/>
  <c r="AH104" i="31"/>
  <c r="AH105" i="31" s="1"/>
  <c r="AH106" i="31" s="1"/>
  <c r="AH107" i="31" s="1"/>
  <c r="AH108" i="31" s="1"/>
  <c r="AH109" i="31" s="1"/>
  <c r="AH110" i="31" s="1"/>
  <c r="AH111" i="31" s="1"/>
  <c r="AH112" i="31" s="1"/>
  <c r="AH113" i="31" s="1"/>
  <c r="AH114" i="31" s="1"/>
  <c r="AH115" i="31" s="1"/>
  <c r="AH116" i="31" s="1"/>
  <c r="AH117" i="31" s="1"/>
  <c r="AH118" i="31" s="1"/>
  <c r="AH119" i="31" s="1"/>
  <c r="AH120" i="31" s="1"/>
  <c r="F139" i="31"/>
  <c r="F140" i="31" s="1"/>
  <c r="F141" i="31" s="1"/>
  <c r="F142" i="31" s="1"/>
  <c r="F143" i="31" s="1"/>
  <c r="F144" i="31" s="1"/>
  <c r="F145" i="31" s="1"/>
  <c r="F146" i="31" s="1"/>
  <c r="F147" i="31" s="1"/>
  <c r="F148" i="31" s="1"/>
  <c r="F149" i="31" s="1"/>
  <c r="F150" i="31" s="1"/>
  <c r="F151" i="31" s="1"/>
  <c r="F152" i="31" s="1"/>
  <c r="F153" i="31" s="1"/>
  <c r="F154" i="31" s="1"/>
  <c r="V57" i="31"/>
  <c r="V58" i="31" s="1"/>
  <c r="V59" i="31" s="1"/>
  <c r="V60" i="31" s="1"/>
  <c r="V61" i="31" s="1"/>
  <c r="V62" i="31" s="1"/>
  <c r="V63" i="31" s="1"/>
  <c r="V64" i="31" s="1"/>
  <c r="V65" i="31" s="1"/>
  <c r="V66" i="31" s="1"/>
  <c r="V67" i="31" s="1"/>
  <c r="V68" i="31" s="1"/>
  <c r="V69" i="31" s="1"/>
  <c r="V70" i="31" s="1"/>
  <c r="D165" i="31" s="1"/>
  <c r="C209" i="31"/>
  <c r="R91" i="31"/>
  <c r="R92" i="31" s="1"/>
  <c r="R93" i="31" s="1"/>
  <c r="R94" i="31" s="1"/>
  <c r="R95" i="31" s="1"/>
  <c r="R96" i="31" s="1"/>
  <c r="R97" i="31" s="1"/>
  <c r="R98" i="31" s="1"/>
  <c r="R99" i="31" s="1"/>
  <c r="R100" i="31" s="1"/>
  <c r="R101" i="31" s="1"/>
  <c r="R102" i="31" s="1"/>
  <c r="R103" i="31" s="1"/>
  <c r="R104" i="31" s="1"/>
  <c r="D172" i="31" s="1"/>
  <c r="AP139" i="31"/>
  <c r="AP140" i="31" s="1"/>
  <c r="AP141" i="31" s="1"/>
  <c r="AP142" i="31" s="1"/>
  <c r="AP143" i="31" s="1"/>
  <c r="AP144" i="31" s="1"/>
  <c r="AP145" i="31" s="1"/>
  <c r="AP146" i="31" s="1"/>
  <c r="AP147" i="31" s="1"/>
  <c r="AP148" i="31" s="1"/>
  <c r="AP149" i="31" s="1"/>
  <c r="AP150" i="31" s="1"/>
  <c r="AP151" i="31" s="1"/>
  <c r="AP152" i="31" s="1"/>
  <c r="AP153" i="31" s="1"/>
  <c r="AP154" i="31" s="1"/>
  <c r="V139" i="31"/>
  <c r="V140" i="31" s="1"/>
  <c r="V141" i="31" s="1"/>
  <c r="V142" i="31" s="1"/>
  <c r="V143" i="31" s="1"/>
  <c r="V144" i="31" s="1"/>
  <c r="V145" i="31" s="1"/>
  <c r="V146" i="31" s="1"/>
  <c r="B105" i="31"/>
  <c r="B106" i="31" s="1"/>
  <c r="B107" i="31" s="1"/>
  <c r="B108" i="31" s="1"/>
  <c r="B109" i="31" s="1"/>
  <c r="B110" i="31" s="1"/>
  <c r="B111" i="31" s="1"/>
  <c r="B112" i="31" s="1"/>
  <c r="C14" i="32"/>
  <c r="B5" i="33"/>
  <c r="Z58" i="31"/>
  <c r="C27" i="32"/>
  <c r="R139" i="31"/>
  <c r="R140" i="31" s="1"/>
  <c r="R141" i="31" s="1"/>
  <c r="R142" i="31" s="1"/>
  <c r="R143" i="31" s="1"/>
  <c r="R144" i="31" s="1"/>
  <c r="R145" i="31" s="1"/>
  <c r="R146" i="31" s="1"/>
  <c r="AL139" i="31"/>
  <c r="AL140" i="31" s="1"/>
  <c r="AL141" i="31" s="1"/>
  <c r="AL142" i="31" s="1"/>
  <c r="AL143" i="31" s="1"/>
  <c r="AL144" i="31" s="1"/>
  <c r="AL145" i="31" s="1"/>
  <c r="AL146" i="31" s="1"/>
  <c r="AD139" i="31"/>
  <c r="AD140" i="31" s="1"/>
  <c r="AD141" i="31" s="1"/>
  <c r="AD142" i="31" s="1"/>
  <c r="AD143" i="31" s="1"/>
  <c r="AD144" i="31" s="1"/>
  <c r="AD145" i="31" s="1"/>
  <c r="AD146" i="31" s="1"/>
  <c r="C30" i="32"/>
  <c r="N139" i="31"/>
  <c r="N140" i="31" s="1"/>
  <c r="N141" i="31" s="1"/>
  <c r="N142" i="31" s="1"/>
  <c r="N143" i="31" s="1"/>
  <c r="N144" i="31" s="1"/>
  <c r="N145" i="31" s="1"/>
  <c r="N146" i="31" s="1"/>
  <c r="N147" i="31" s="1"/>
  <c r="N148" i="31" s="1"/>
  <c r="N149" i="31" s="1"/>
  <c r="N150" i="31" s="1"/>
  <c r="N151" i="31" s="1"/>
  <c r="N152" i="31" s="1"/>
  <c r="N153" i="31" s="1"/>
  <c r="N154" i="31" s="1"/>
  <c r="C26" i="32"/>
  <c r="C205" i="31"/>
  <c r="F57" i="31"/>
  <c r="F58" i="31" s="1"/>
  <c r="F59" i="31" s="1"/>
  <c r="F60" i="31" s="1"/>
  <c r="F61" i="31" s="1"/>
  <c r="F62" i="31" s="1"/>
  <c r="F63" i="31" s="1"/>
  <c r="F64" i="31" s="1"/>
  <c r="F65" i="31" s="1"/>
  <c r="F66" i="31" s="1"/>
  <c r="F67" i="31" s="1"/>
  <c r="F68" i="31" s="1"/>
  <c r="F69" i="31" s="1"/>
  <c r="F70" i="31" s="1"/>
  <c r="G161" i="31" s="1"/>
  <c r="C7" i="34" s="1"/>
  <c r="D208" i="31"/>
  <c r="R71" i="31"/>
  <c r="R72" i="31" s="1"/>
  <c r="R73" i="31" s="1"/>
  <c r="R74" i="31" s="1"/>
  <c r="R75" i="31" s="1"/>
  <c r="R76" i="31" s="1"/>
  <c r="R77" i="31" s="1"/>
  <c r="R78" i="31" s="1"/>
  <c r="V105" i="31"/>
  <c r="V106" i="31" s="1"/>
  <c r="V107" i="31" s="1"/>
  <c r="V108" i="31" s="1"/>
  <c r="V109" i="31" s="1"/>
  <c r="V110" i="31" s="1"/>
  <c r="V111" i="31" s="1"/>
  <c r="V112" i="31" s="1"/>
  <c r="V113" i="31" s="1"/>
  <c r="V114" i="31" s="1"/>
  <c r="V115" i="31" s="1"/>
  <c r="V116" i="31" s="1"/>
  <c r="V117" i="31" s="1"/>
  <c r="V118" i="31" s="1"/>
  <c r="V119" i="31" s="1"/>
  <c r="V120" i="31" s="1"/>
  <c r="AH139" i="31"/>
  <c r="AH140" i="31" s="1"/>
  <c r="AH141" i="31" s="1"/>
  <c r="AH142" i="31" s="1"/>
  <c r="AH143" i="31" s="1"/>
  <c r="AH144" i="31" s="1"/>
  <c r="AH145" i="31" s="1"/>
  <c r="AH146" i="31" s="1"/>
  <c r="AH147" i="31" s="1"/>
  <c r="AH148" i="31" s="1"/>
  <c r="AH149" i="31" s="1"/>
  <c r="AH150" i="31" s="1"/>
  <c r="AH151" i="31" s="1"/>
  <c r="AH152" i="31" s="1"/>
  <c r="AH153" i="31" s="1"/>
  <c r="AH154" i="31" s="1"/>
  <c r="C31" i="32"/>
  <c r="Z139" i="31"/>
  <c r="Z140" i="31" s="1"/>
  <c r="Z141" i="31" s="1"/>
  <c r="Z142" i="31" s="1"/>
  <c r="Z143" i="31" s="1"/>
  <c r="Z144" i="31" s="1"/>
  <c r="Z145" i="31" s="1"/>
  <c r="Z146" i="31" s="1"/>
  <c r="C29" i="32"/>
  <c r="F105" i="31" l="1"/>
  <c r="F106" i="31" s="1"/>
  <c r="F107" i="31" s="1"/>
  <c r="F108" i="31" s="1"/>
  <c r="F109" i="31" s="1"/>
  <c r="F110" i="31" s="1"/>
  <c r="F111" i="31" s="1"/>
  <c r="F112" i="31" s="1"/>
  <c r="F113" i="31" s="1"/>
  <c r="F114" i="31" s="1"/>
  <c r="F115" i="31" s="1"/>
  <c r="F116" i="31" s="1"/>
  <c r="F117" i="31" s="1"/>
  <c r="F118" i="31" s="1"/>
  <c r="F119" i="31" s="1"/>
  <c r="F120" i="31" s="1"/>
  <c r="G169" i="31"/>
  <c r="C15" i="34" s="1"/>
  <c r="E12" i="34"/>
  <c r="E20" i="34"/>
  <c r="D171" i="31"/>
  <c r="C17" i="32" s="1"/>
  <c r="N105" i="31"/>
  <c r="N106" i="31" s="1"/>
  <c r="N107" i="31" s="1"/>
  <c r="N108" i="31" s="1"/>
  <c r="N109" i="31" s="1"/>
  <c r="N110" i="31" s="1"/>
  <c r="N111" i="31" s="1"/>
  <c r="N112" i="31" s="1"/>
  <c r="N113" i="31" s="1"/>
  <c r="N114" i="31" s="1"/>
  <c r="N115" i="31" s="1"/>
  <c r="N116" i="31" s="1"/>
  <c r="N117" i="31" s="1"/>
  <c r="N118" i="31" s="1"/>
  <c r="N119" i="31" s="1"/>
  <c r="N120" i="31" s="1"/>
  <c r="E13" i="34"/>
  <c r="E13" i="32"/>
  <c r="E8" i="32"/>
  <c r="E8" i="34"/>
  <c r="Z147" i="31"/>
  <c r="Z148" i="31" s="1"/>
  <c r="Z149" i="31" s="1"/>
  <c r="Z150" i="31" s="1"/>
  <c r="Z151" i="31" s="1"/>
  <c r="Z152" i="31" s="1"/>
  <c r="Z153" i="31" s="1"/>
  <c r="Z154" i="31" s="1"/>
  <c r="H185" i="31"/>
  <c r="D31" i="34" s="1"/>
  <c r="E31" i="34" s="1"/>
  <c r="E23" i="34"/>
  <c r="F185" i="31"/>
  <c r="H187" i="31"/>
  <c r="D33" i="34" s="1"/>
  <c r="E33" i="34" s="1"/>
  <c r="H180" i="31"/>
  <c r="D26" i="34" s="1"/>
  <c r="E26" i="34" s="1"/>
  <c r="F178" i="31"/>
  <c r="D24" i="32" s="1"/>
  <c r="E24" i="32" s="1"/>
  <c r="F180" i="31"/>
  <c r="F187" i="31"/>
  <c r="H178" i="31"/>
  <c r="D24" i="34" s="1"/>
  <c r="E24" i="34" s="1"/>
  <c r="R147" i="31"/>
  <c r="R148" i="31" s="1"/>
  <c r="R149" i="31" s="1"/>
  <c r="R150" i="31" s="1"/>
  <c r="R151" i="31" s="1"/>
  <c r="R152" i="31" s="1"/>
  <c r="R153" i="31" s="1"/>
  <c r="R154" i="31" s="1"/>
  <c r="E25" i="34"/>
  <c r="V147" i="31"/>
  <c r="V148" i="31" s="1"/>
  <c r="V149" i="31" s="1"/>
  <c r="V150" i="31" s="1"/>
  <c r="V151" i="31" s="1"/>
  <c r="V152" i="31" s="1"/>
  <c r="V153" i="31" s="1"/>
  <c r="V154" i="31" s="1"/>
  <c r="C22" i="32"/>
  <c r="C15" i="32"/>
  <c r="C16" i="32"/>
  <c r="C19" i="32"/>
  <c r="D161" i="31"/>
  <c r="F176" i="31"/>
  <c r="F170" i="31"/>
  <c r="H170" i="31"/>
  <c r="D16" i="34" s="1"/>
  <c r="F173" i="31"/>
  <c r="G172" i="31"/>
  <c r="C18" i="34" s="1"/>
  <c r="G165" i="31"/>
  <c r="C11" i="34" s="1"/>
  <c r="H173" i="31"/>
  <c r="D19" i="34" s="1"/>
  <c r="H176" i="31"/>
  <c r="D22" i="34" s="1"/>
  <c r="C18" i="32"/>
  <c r="V71" i="31"/>
  <c r="V72" i="31" s="1"/>
  <c r="V73" i="31" s="1"/>
  <c r="V74" i="31" s="1"/>
  <c r="V75" i="31" s="1"/>
  <c r="V76" i="31" s="1"/>
  <c r="V77" i="31" s="1"/>
  <c r="V78" i="31" s="1"/>
  <c r="V79" i="31" s="1"/>
  <c r="V80" i="31" s="1"/>
  <c r="V81" i="31" s="1"/>
  <c r="V82" i="31" s="1"/>
  <c r="V83" i="31" s="1"/>
  <c r="V84" i="31" s="1"/>
  <c r="V85" i="31" s="1"/>
  <c r="V86" i="31" s="1"/>
  <c r="E209" i="31" s="1"/>
  <c r="D23" i="32"/>
  <c r="E23" i="32" s="1"/>
  <c r="D21" i="32"/>
  <c r="E21" i="32" s="1"/>
  <c r="D25" i="32"/>
  <c r="E25" i="32" s="1"/>
  <c r="C11" i="32"/>
  <c r="R105" i="31"/>
  <c r="R106" i="31" s="1"/>
  <c r="R107" i="31" s="1"/>
  <c r="R108" i="31" s="1"/>
  <c r="R109" i="31" s="1"/>
  <c r="R110" i="31" s="1"/>
  <c r="R111" i="31" s="1"/>
  <c r="R112" i="31" s="1"/>
  <c r="R113" i="31" s="1"/>
  <c r="R114" i="31" s="1"/>
  <c r="R115" i="31" s="1"/>
  <c r="R116" i="31" s="1"/>
  <c r="R117" i="31" s="1"/>
  <c r="R118" i="31" s="1"/>
  <c r="R119" i="31" s="1"/>
  <c r="R120" i="31" s="1"/>
  <c r="F71" i="31"/>
  <c r="F72" i="31" s="1"/>
  <c r="F73" i="31" s="1"/>
  <c r="F74" i="31" s="1"/>
  <c r="F75" i="31" s="1"/>
  <c r="F76" i="31" s="1"/>
  <c r="F77" i="31" s="1"/>
  <c r="F78" i="31" s="1"/>
  <c r="F79" i="31" s="1"/>
  <c r="F80" i="31" s="1"/>
  <c r="F81" i="31" s="1"/>
  <c r="B6" i="33"/>
  <c r="Z59" i="31"/>
  <c r="B113" i="31"/>
  <c r="B114" i="31" s="1"/>
  <c r="B115" i="31" s="1"/>
  <c r="B116" i="31" s="1"/>
  <c r="B117" i="31" s="1"/>
  <c r="B118" i="31" s="1"/>
  <c r="B119" i="31" s="1"/>
  <c r="B120" i="31" s="1"/>
  <c r="AD147" i="31"/>
  <c r="AD148" i="31" s="1"/>
  <c r="AD149" i="31" s="1"/>
  <c r="AD150" i="31" s="1"/>
  <c r="AD151" i="31" s="1"/>
  <c r="AD152" i="31" s="1"/>
  <c r="AD153" i="31" s="1"/>
  <c r="AD154" i="31" s="1"/>
  <c r="AL147" i="31"/>
  <c r="AL148" i="31" s="1"/>
  <c r="AL149" i="31" s="1"/>
  <c r="AL150" i="31" s="1"/>
  <c r="AL151" i="31" s="1"/>
  <c r="AL152" i="31" s="1"/>
  <c r="AL153" i="31" s="1"/>
  <c r="AL154" i="31" s="1"/>
  <c r="R79" i="31"/>
  <c r="R80" i="31" s="1"/>
  <c r="R81" i="31" s="1"/>
  <c r="R82" i="31" s="1"/>
  <c r="H183" i="31" l="1"/>
  <c r="D29" i="34" s="1"/>
  <c r="E29" i="34" s="1"/>
  <c r="H169" i="31"/>
  <c r="D15" i="34" s="1"/>
  <c r="E15" i="34" s="1"/>
  <c r="F169" i="31"/>
  <c r="D15" i="32" s="1"/>
  <c r="E15" i="32" s="1"/>
  <c r="F171" i="31"/>
  <c r="D17" i="32" s="1"/>
  <c r="E17" i="32" s="1"/>
  <c r="H171" i="31"/>
  <c r="D17" i="34" s="1"/>
  <c r="E17" i="34" s="1"/>
  <c r="F182" i="31"/>
  <c r="D28" i="32" s="1"/>
  <c r="E28" i="32" s="1"/>
  <c r="F186" i="31"/>
  <c r="F183" i="31"/>
  <c r="D29" i="32" s="1"/>
  <c r="E29" i="32" s="1"/>
  <c r="H184" i="31"/>
  <c r="D30" i="34" s="1"/>
  <c r="E30" i="34" s="1"/>
  <c r="F168" i="31"/>
  <c r="H181" i="31"/>
  <c r="D27" i="34" s="1"/>
  <c r="E27" i="34" s="1"/>
  <c r="F181" i="31"/>
  <c r="D27" i="32" s="1"/>
  <c r="E27" i="32" s="1"/>
  <c r="H186" i="31"/>
  <c r="D32" i="34" s="1"/>
  <c r="E32" i="34" s="1"/>
  <c r="F184" i="31"/>
  <c r="R83" i="31"/>
  <c r="R84" i="31" s="1"/>
  <c r="R85" i="31" s="1"/>
  <c r="R86" i="31" s="1"/>
  <c r="E208" i="31" s="1"/>
  <c r="H182" i="31"/>
  <c r="D28" i="34" s="1"/>
  <c r="E28" i="34" s="1"/>
  <c r="H168" i="31"/>
  <c r="D14" i="34" s="1"/>
  <c r="E14" i="34" s="1"/>
  <c r="D22" i="32"/>
  <c r="E22" i="32" s="1"/>
  <c r="E22" i="34"/>
  <c r="E19" i="34"/>
  <c r="D16" i="32"/>
  <c r="E16" i="32" s="1"/>
  <c r="E16" i="34"/>
  <c r="C7" i="32"/>
  <c r="F165" i="31"/>
  <c r="F172" i="31"/>
  <c r="H172" i="31"/>
  <c r="D18" i="34" s="1"/>
  <c r="H165" i="31"/>
  <c r="D11" i="34" s="1"/>
  <c r="D26" i="32"/>
  <c r="E26" i="32" s="1"/>
  <c r="D19" i="32"/>
  <c r="E19" i="32" s="1"/>
  <c r="D31" i="32"/>
  <c r="E31" i="32" s="1"/>
  <c r="D33" i="32"/>
  <c r="E33" i="32" s="1"/>
  <c r="D20" i="32"/>
  <c r="C20" i="32"/>
  <c r="F209" i="31"/>
  <c r="F82" i="31"/>
  <c r="D205" i="31"/>
  <c r="B7" i="33"/>
  <c r="Z60" i="31"/>
  <c r="D209" i="31"/>
  <c r="H164" i="31" l="1"/>
  <c r="D10" i="34" s="1"/>
  <c r="E10" i="34" s="1"/>
  <c r="F208" i="31"/>
  <c r="F164" i="31"/>
  <c r="D10" i="32" s="1"/>
  <c r="E18" i="34"/>
  <c r="D11" i="32"/>
  <c r="E11" i="32" s="1"/>
  <c r="E11" i="34"/>
  <c r="E20" i="32"/>
  <c r="D32" i="32"/>
  <c r="E32" i="32" s="1"/>
  <c r="D14" i="32"/>
  <c r="E14" i="32" s="1"/>
  <c r="D30" i="32"/>
  <c r="E30" i="32" s="1"/>
  <c r="D18" i="32"/>
  <c r="E18" i="32" s="1"/>
  <c r="B8" i="33"/>
  <c r="Z61" i="31"/>
  <c r="F83" i="31"/>
  <c r="F84" i="31" s="1"/>
  <c r="F85" i="31" l="1"/>
  <c r="B9" i="33"/>
  <c r="Z62" i="31"/>
  <c r="B10" i="33" l="1"/>
  <c r="Z63" i="31"/>
  <c r="F86" i="31"/>
  <c r="F161" i="31" s="1"/>
  <c r="F205" i="31" l="1"/>
  <c r="H161" i="31"/>
  <c r="D7" i="34" s="1"/>
  <c r="E7" i="34" s="1"/>
  <c r="E205" i="31"/>
  <c r="D7" i="32"/>
  <c r="E7" i="32" s="1"/>
  <c r="B11" i="33"/>
  <c r="Z64" i="31"/>
  <c r="B12" i="33" l="1"/>
  <c r="Z65" i="31"/>
  <c r="B13" i="33" l="1"/>
  <c r="Z66" i="31"/>
  <c r="B14" i="33" l="1"/>
  <c r="Z67" i="31"/>
  <c r="B15" i="33" l="1"/>
  <c r="Z68" i="31"/>
  <c r="B16" i="33" l="1"/>
  <c r="Z69" i="31"/>
  <c r="B17" i="33" l="1"/>
  <c r="Z70" i="31"/>
  <c r="B18" i="33" l="1"/>
  <c r="Z71" i="31"/>
  <c r="B19" i="33" l="1"/>
  <c r="Z72" i="31"/>
  <c r="B20" i="33" l="1"/>
  <c r="Z73" i="31"/>
  <c r="B21" i="33" l="1"/>
  <c r="Z74" i="31"/>
  <c r="Z75" i="31" l="1"/>
  <c r="B22" i="33"/>
  <c r="B23" i="33" l="1"/>
  <c r="Z76" i="31"/>
  <c r="B24" i="33" l="1"/>
  <c r="Z77" i="31"/>
  <c r="B25" i="33" l="1"/>
  <c r="Z78" i="31"/>
  <c r="B26" i="33" l="1"/>
  <c r="Z79" i="31"/>
  <c r="B27" i="33" l="1"/>
  <c r="Z80" i="31"/>
  <c r="B28" i="33" l="1"/>
  <c r="Z81" i="31"/>
  <c r="B29" i="33" l="1"/>
  <c r="Z82" i="31"/>
  <c r="B30" i="33" l="1"/>
  <c r="Z83" i="31"/>
  <c r="Z84" i="31" l="1"/>
  <c r="B31" i="33"/>
  <c r="B32" i="33" l="1"/>
  <c r="Z85" i="31"/>
  <c r="B33" i="33" l="1"/>
  <c r="Z86" i="31"/>
  <c r="B34" i="33" s="1"/>
  <c r="D5" i="11" l="1"/>
  <c r="B40" i="11" l="1"/>
  <c r="B39" i="11"/>
  <c r="B38" i="11"/>
  <c r="D38" i="11" s="1"/>
  <c r="B29" i="11" l="1"/>
  <c r="B28" i="11"/>
  <c r="B27" i="11"/>
  <c r="B26" i="11"/>
  <c r="B25" i="11"/>
  <c r="B24" i="11"/>
  <c r="B62" i="11" l="1"/>
  <c r="B61" i="11"/>
  <c r="B60" i="11"/>
  <c r="B59" i="11"/>
  <c r="B47" i="11"/>
  <c r="B19" i="11" l="1"/>
  <c r="B20" i="11"/>
  <c r="B18" i="11"/>
  <c r="D18" i="11" s="1"/>
  <c r="B77" i="11"/>
  <c r="B76" i="11"/>
  <c r="B72" i="11"/>
  <c r="B71" i="11"/>
  <c r="B70" i="11"/>
  <c r="B66" i="11"/>
  <c r="B58" i="11"/>
  <c r="B57" i="11"/>
  <c r="B53" i="11"/>
  <c r="B52" i="11"/>
  <c r="B46" i="11"/>
  <c r="B45" i="11"/>
  <c r="B41" i="11"/>
  <c r="B17" i="11"/>
  <c r="B13" i="11"/>
  <c r="B9" i="11"/>
  <c r="C34" i="11" l="1"/>
  <c r="C31" i="11"/>
  <c r="D29" i="11"/>
  <c r="D28" i="11"/>
  <c r="D27" i="11"/>
  <c r="D26" i="11"/>
  <c r="C43" i="31" s="1"/>
  <c r="D25" i="11"/>
  <c r="D24" i="11"/>
  <c r="C42" i="31" s="1"/>
  <c r="B243" i="5" l="1"/>
  <c r="B244" i="5"/>
  <c r="G1732" i="27" s="1"/>
  <c r="CA600" i="27"/>
  <c r="CA597" i="27"/>
  <c r="CA594" i="27"/>
  <c r="CA593" i="27"/>
  <c r="CA591" i="27"/>
  <c r="CA590" i="27"/>
  <c r="CA588" i="27"/>
  <c r="CA586" i="27"/>
  <c r="CA583" i="27"/>
  <c r="CA581" i="27"/>
  <c r="CA580" i="27"/>
  <c r="CA577" i="27"/>
  <c r="CA574" i="27"/>
  <c r="CA571" i="27"/>
  <c r="CA569" i="27"/>
  <c r="CA566" i="27"/>
  <c r="CA563" i="27"/>
  <c r="CA561" i="27"/>
  <c r="CA557" i="27"/>
  <c r="CA553" i="27"/>
  <c r="CA551" i="27"/>
  <c r="CA550" i="27"/>
  <c r="CA548" i="27"/>
  <c r="CA545" i="27"/>
  <c r="CA543" i="27"/>
  <c r="CA541" i="27"/>
  <c r="CA540" i="27"/>
  <c r="CA538" i="27"/>
  <c r="CA537" i="27"/>
  <c r="CA531" i="27"/>
  <c r="CA596" i="27"/>
  <c r="CA584" i="27"/>
  <c r="CA564" i="27"/>
  <c r="CA560" i="27"/>
  <c r="CA556" i="27"/>
  <c r="CA544" i="27"/>
  <c r="CA532" i="27"/>
  <c r="CA601" i="27"/>
  <c r="CA573" i="27"/>
  <c r="CA587" i="27"/>
  <c r="CA575" i="27"/>
  <c r="CA567" i="27"/>
  <c r="CA558" i="27"/>
  <c r="CA554" i="27"/>
  <c r="CD601" i="27"/>
  <c r="CC601" i="27"/>
  <c r="CB601" i="27"/>
  <c r="BZ601" i="27"/>
  <c r="BY601" i="27"/>
  <c r="BX601" i="27"/>
  <c r="BW601" i="27"/>
  <c r="BV601" i="27"/>
  <c r="BU601" i="27"/>
  <c r="BT601" i="27"/>
  <c r="BS601" i="27"/>
  <c r="BR601" i="27"/>
  <c r="BQ601" i="27"/>
  <c r="BP601" i="27"/>
  <c r="BO601" i="27"/>
  <c r="BN601" i="27"/>
  <c r="BM601" i="27"/>
  <c r="CL601" i="27" s="1"/>
  <c r="BL601" i="27"/>
  <c r="CK601" i="27" s="1"/>
  <c r="BK601" i="27"/>
  <c r="CJ601" i="27" s="1"/>
  <c r="BJ601" i="27"/>
  <c r="CI601" i="27" s="1"/>
  <c r="BI601" i="27"/>
  <c r="CH601" i="27" s="1"/>
  <c r="BH601" i="27"/>
  <c r="CG601" i="27" s="1"/>
  <c r="BG601" i="27"/>
  <c r="CF601" i="27" s="1"/>
  <c r="CD600" i="27"/>
  <c r="CC600" i="27"/>
  <c r="CB600" i="27"/>
  <c r="BZ600" i="27"/>
  <c r="BY600" i="27"/>
  <c r="BX600" i="27"/>
  <c r="BW600" i="27"/>
  <c r="BU600" i="27"/>
  <c r="BT600" i="27"/>
  <c r="BS600" i="27"/>
  <c r="BR600" i="27"/>
  <c r="BQ600" i="27"/>
  <c r="BP600" i="27"/>
  <c r="BO600" i="27"/>
  <c r="BN600" i="27"/>
  <c r="BM600" i="27"/>
  <c r="CL600" i="27" s="1"/>
  <c r="BL600" i="27"/>
  <c r="CK600" i="27" s="1"/>
  <c r="BK600" i="27"/>
  <c r="CJ600" i="27" s="1"/>
  <c r="BJ600" i="27"/>
  <c r="CI600" i="27" s="1"/>
  <c r="BI600" i="27"/>
  <c r="CH600" i="27" s="1"/>
  <c r="BG600" i="27"/>
  <c r="CF600" i="27" s="1"/>
  <c r="CD599" i="27"/>
  <c r="CC599" i="27"/>
  <c r="CB599" i="27"/>
  <c r="CA599" i="27"/>
  <c r="BZ599" i="27"/>
  <c r="BY599" i="27"/>
  <c r="BX599" i="27"/>
  <c r="BW599" i="27"/>
  <c r="BU599" i="27"/>
  <c r="BT599" i="27"/>
  <c r="BS599" i="27"/>
  <c r="BR599" i="27"/>
  <c r="BQ599" i="27"/>
  <c r="BP599" i="27"/>
  <c r="BO599" i="27"/>
  <c r="BN599" i="27"/>
  <c r="BM599" i="27"/>
  <c r="CL599" i="27" s="1"/>
  <c r="BL599" i="27"/>
  <c r="CK599" i="27" s="1"/>
  <c r="BK599" i="27"/>
  <c r="CJ599" i="27" s="1"/>
  <c r="BJ599" i="27"/>
  <c r="CI599" i="27" s="1"/>
  <c r="BI599" i="27"/>
  <c r="CH599" i="27" s="1"/>
  <c r="BH599" i="27"/>
  <c r="CG599" i="27" s="1"/>
  <c r="BG599" i="27"/>
  <c r="CF599" i="27" s="1"/>
  <c r="CD598" i="27"/>
  <c r="CC598" i="27"/>
  <c r="BZ598" i="27"/>
  <c r="BX598" i="27"/>
  <c r="BW598" i="27"/>
  <c r="BV598" i="27"/>
  <c r="BU598" i="27"/>
  <c r="BT598" i="27"/>
  <c r="BS598" i="27"/>
  <c r="BR598" i="27"/>
  <c r="BQ598" i="27"/>
  <c r="BP598" i="27"/>
  <c r="BO598" i="27"/>
  <c r="BN598" i="27"/>
  <c r="BM598" i="27"/>
  <c r="CL598" i="27" s="1"/>
  <c r="BL598" i="27"/>
  <c r="CK598" i="27" s="1"/>
  <c r="BK598" i="27"/>
  <c r="CJ598" i="27" s="1"/>
  <c r="BJ598" i="27"/>
  <c r="CI598" i="27" s="1"/>
  <c r="BI598" i="27"/>
  <c r="BH598" i="27"/>
  <c r="BG598" i="27"/>
  <c r="CD597" i="27"/>
  <c r="CC597" i="27"/>
  <c r="CB597" i="27"/>
  <c r="BZ597" i="27"/>
  <c r="BY597" i="27"/>
  <c r="BX597" i="27"/>
  <c r="BW597" i="27"/>
  <c r="BU597" i="27"/>
  <c r="BT597" i="27"/>
  <c r="BS597" i="27"/>
  <c r="BR597" i="27"/>
  <c r="BQ597" i="27"/>
  <c r="BP597" i="27"/>
  <c r="BO597" i="27"/>
  <c r="BN597" i="27"/>
  <c r="BM597" i="27"/>
  <c r="CL597" i="27" s="1"/>
  <c r="BL597" i="27"/>
  <c r="CK597" i="27" s="1"/>
  <c r="BK597" i="27"/>
  <c r="CJ597" i="27" s="1"/>
  <c r="BJ597" i="27"/>
  <c r="CI597" i="27" s="1"/>
  <c r="BI597" i="27"/>
  <c r="CH597" i="27" s="1"/>
  <c r="BH597" i="27"/>
  <c r="CG597" i="27" s="1"/>
  <c r="BG597" i="27"/>
  <c r="CF597" i="27" s="1"/>
  <c r="CD596" i="27"/>
  <c r="CC596" i="27"/>
  <c r="CB596" i="27"/>
  <c r="BZ596" i="27"/>
  <c r="BY596" i="27"/>
  <c r="BX596" i="27"/>
  <c r="BW596" i="27"/>
  <c r="BU596" i="27"/>
  <c r="BT596" i="27"/>
  <c r="BS596" i="27"/>
  <c r="BR596" i="27"/>
  <c r="BQ596" i="27"/>
  <c r="BP596" i="27"/>
  <c r="BO596" i="27"/>
  <c r="BN596" i="27"/>
  <c r="BM596" i="27"/>
  <c r="CL596" i="27" s="1"/>
  <c r="BL596" i="27"/>
  <c r="CK596" i="27" s="1"/>
  <c r="BK596" i="27"/>
  <c r="CJ596" i="27" s="1"/>
  <c r="BJ596" i="27"/>
  <c r="CI596" i="27" s="1"/>
  <c r="BI596" i="27"/>
  <c r="CH596" i="27" s="1"/>
  <c r="BH596" i="27"/>
  <c r="CG596" i="27" s="1"/>
  <c r="BG596" i="27"/>
  <c r="CF596" i="27" s="1"/>
  <c r="CD595" i="27"/>
  <c r="CC595" i="27"/>
  <c r="BZ595" i="27"/>
  <c r="BX595" i="27"/>
  <c r="BW595" i="27"/>
  <c r="BV595" i="27"/>
  <c r="BU595" i="27"/>
  <c r="BT595" i="27"/>
  <c r="BS595" i="27"/>
  <c r="BR595" i="27"/>
  <c r="BQ595" i="27"/>
  <c r="BP595" i="27"/>
  <c r="BO595" i="27"/>
  <c r="BN595" i="27"/>
  <c r="BM595" i="27"/>
  <c r="CL595" i="27" s="1"/>
  <c r="BL595" i="27"/>
  <c r="CK595" i="27" s="1"/>
  <c r="BK595" i="27"/>
  <c r="CJ595" i="27" s="1"/>
  <c r="BJ595" i="27"/>
  <c r="CI595" i="27" s="1"/>
  <c r="BI595" i="27"/>
  <c r="BH595" i="27"/>
  <c r="BG595" i="27"/>
  <c r="CD594" i="27"/>
  <c r="CC594" i="27"/>
  <c r="CB594" i="27"/>
  <c r="BZ594" i="27"/>
  <c r="BY594" i="27"/>
  <c r="BX594" i="27"/>
  <c r="BW594" i="27"/>
  <c r="BU594" i="27"/>
  <c r="BT594" i="27"/>
  <c r="BS594" i="27"/>
  <c r="BR594" i="27"/>
  <c r="BQ594" i="27"/>
  <c r="BP594" i="27"/>
  <c r="BO594" i="27"/>
  <c r="BN594" i="27"/>
  <c r="BM594" i="27"/>
  <c r="CL594" i="27" s="1"/>
  <c r="BL594" i="27"/>
  <c r="CK594" i="27" s="1"/>
  <c r="BK594" i="27"/>
  <c r="CJ594" i="27" s="1"/>
  <c r="BJ594" i="27"/>
  <c r="CI594" i="27" s="1"/>
  <c r="BI594" i="27"/>
  <c r="CH594" i="27" s="1"/>
  <c r="BH594" i="27"/>
  <c r="CG594" i="27" s="1"/>
  <c r="BG594" i="27"/>
  <c r="CF594" i="27" s="1"/>
  <c r="CD593" i="27"/>
  <c r="CC593" i="27"/>
  <c r="CB593" i="27"/>
  <c r="BZ593" i="27"/>
  <c r="BY593" i="27"/>
  <c r="BX593" i="27"/>
  <c r="BW593" i="27"/>
  <c r="BU593" i="27"/>
  <c r="BT593" i="27"/>
  <c r="BS593" i="27"/>
  <c r="BR593" i="27"/>
  <c r="BQ593" i="27"/>
  <c r="BP593" i="27"/>
  <c r="BO593" i="27"/>
  <c r="BN593" i="27"/>
  <c r="BM593" i="27"/>
  <c r="CL593" i="27" s="1"/>
  <c r="BL593" i="27"/>
  <c r="CK593" i="27" s="1"/>
  <c r="BK593" i="27"/>
  <c r="CJ593" i="27" s="1"/>
  <c r="BJ593" i="27"/>
  <c r="CI593" i="27" s="1"/>
  <c r="BI593" i="27"/>
  <c r="CH593" i="27" s="1"/>
  <c r="BH593" i="27"/>
  <c r="CG593" i="27" s="1"/>
  <c r="BG593" i="27"/>
  <c r="CF593" i="27" s="1"/>
  <c r="CD592" i="27"/>
  <c r="CC592" i="27"/>
  <c r="BZ592" i="27"/>
  <c r="BX592" i="27"/>
  <c r="BW592" i="27"/>
  <c r="BV592" i="27"/>
  <c r="BU592" i="27"/>
  <c r="BS592" i="27"/>
  <c r="BR592" i="27"/>
  <c r="BQ592" i="27"/>
  <c r="BO592" i="27"/>
  <c r="BN592" i="27"/>
  <c r="BM592" i="27"/>
  <c r="CL592" i="27" s="1"/>
  <c r="BL592" i="27"/>
  <c r="CK592" i="27" s="1"/>
  <c r="BK592" i="27"/>
  <c r="CJ592" i="27" s="1"/>
  <c r="BJ592" i="27"/>
  <c r="CI592" i="27" s="1"/>
  <c r="BI592" i="27"/>
  <c r="BH592" i="27"/>
  <c r="BG592" i="27"/>
  <c r="CD591" i="27"/>
  <c r="CC591" i="27"/>
  <c r="CB591" i="27"/>
  <c r="BZ591" i="27"/>
  <c r="BY591" i="27"/>
  <c r="BX591" i="27"/>
  <c r="BW591" i="27"/>
  <c r="BU591" i="27"/>
  <c r="BT591" i="27"/>
  <c r="BS591" i="27"/>
  <c r="BR591" i="27"/>
  <c r="BQ591" i="27"/>
  <c r="BP591" i="27"/>
  <c r="BO591" i="27"/>
  <c r="BN591" i="27"/>
  <c r="BM591" i="27"/>
  <c r="CL591" i="27" s="1"/>
  <c r="BL591" i="27"/>
  <c r="CK591" i="27" s="1"/>
  <c r="BK591" i="27"/>
  <c r="CJ591" i="27" s="1"/>
  <c r="BJ591" i="27"/>
  <c r="CI591" i="27" s="1"/>
  <c r="BI591" i="27"/>
  <c r="CH591" i="27" s="1"/>
  <c r="BH591" i="27"/>
  <c r="CG591" i="27" s="1"/>
  <c r="BG591" i="27"/>
  <c r="CF591" i="27" s="1"/>
  <c r="CD590" i="27"/>
  <c r="CC590" i="27"/>
  <c r="CB590" i="27"/>
  <c r="BZ590" i="27"/>
  <c r="BY590" i="27"/>
  <c r="BX590" i="27"/>
  <c r="BW590" i="27"/>
  <c r="BU590" i="27"/>
  <c r="BT590" i="27"/>
  <c r="BS590" i="27"/>
  <c r="BR590" i="27"/>
  <c r="BQ590" i="27"/>
  <c r="BP590" i="27"/>
  <c r="BO590" i="27"/>
  <c r="BN590" i="27"/>
  <c r="BM590" i="27"/>
  <c r="CL590" i="27" s="1"/>
  <c r="BL590" i="27"/>
  <c r="CK590" i="27" s="1"/>
  <c r="BK590" i="27"/>
  <c r="CJ590" i="27" s="1"/>
  <c r="BJ590" i="27"/>
  <c r="CI590" i="27" s="1"/>
  <c r="BI590" i="27"/>
  <c r="CH590" i="27" s="1"/>
  <c r="BH590" i="27"/>
  <c r="CG590" i="27" s="1"/>
  <c r="BG590" i="27"/>
  <c r="CF590" i="27" s="1"/>
  <c r="CD589" i="27"/>
  <c r="CC589" i="27"/>
  <c r="BZ589" i="27"/>
  <c r="BX589" i="27"/>
  <c r="BW589" i="27"/>
  <c r="BV589" i="27"/>
  <c r="BU589" i="27"/>
  <c r="BT589" i="27"/>
  <c r="BS589" i="27"/>
  <c r="BR589" i="27"/>
  <c r="BQ589" i="27"/>
  <c r="BP589" i="27"/>
  <c r="BO589" i="27"/>
  <c r="BN589" i="27"/>
  <c r="BM589" i="27"/>
  <c r="CL589" i="27" s="1"/>
  <c r="BL589" i="27"/>
  <c r="CK589" i="27" s="1"/>
  <c r="BK589" i="27"/>
  <c r="CJ589" i="27" s="1"/>
  <c r="BJ589" i="27"/>
  <c r="CI589" i="27" s="1"/>
  <c r="BI589" i="27"/>
  <c r="BH589" i="27"/>
  <c r="BG589" i="27"/>
  <c r="CD588" i="27"/>
  <c r="CC588" i="27"/>
  <c r="CB588" i="27"/>
  <c r="BZ588" i="27"/>
  <c r="BY588" i="27"/>
  <c r="BX588" i="27"/>
  <c r="BW588" i="27"/>
  <c r="BV588" i="27"/>
  <c r="BU588" i="27"/>
  <c r="BT588" i="27"/>
  <c r="BS588" i="27"/>
  <c r="BQ588" i="27"/>
  <c r="BP588" i="27"/>
  <c r="BO588" i="27"/>
  <c r="BN588" i="27"/>
  <c r="BM588" i="27"/>
  <c r="CL588" i="27" s="1"/>
  <c r="BL588" i="27"/>
  <c r="CK588" i="27" s="1"/>
  <c r="BK588" i="27"/>
  <c r="CJ588" i="27" s="1"/>
  <c r="BJ588" i="27"/>
  <c r="CI588" i="27" s="1"/>
  <c r="BI588" i="27"/>
  <c r="CH588" i="27" s="1"/>
  <c r="BH588" i="27"/>
  <c r="CG588" i="27" s="1"/>
  <c r="BG588" i="27"/>
  <c r="CF588" i="27" s="1"/>
  <c r="CD587" i="27"/>
  <c r="CC587" i="27"/>
  <c r="CB587" i="27"/>
  <c r="BZ587" i="27"/>
  <c r="BY587" i="27"/>
  <c r="BX587" i="27"/>
  <c r="BW587" i="27"/>
  <c r="BU587" i="27"/>
  <c r="BT587" i="27"/>
  <c r="BS587" i="27"/>
  <c r="BQ587" i="27"/>
  <c r="BP587" i="27"/>
  <c r="BO587" i="27"/>
  <c r="BN587" i="27"/>
  <c r="BM587" i="27"/>
  <c r="CL587" i="27" s="1"/>
  <c r="BL587" i="27"/>
  <c r="CK587" i="27" s="1"/>
  <c r="BK587" i="27"/>
  <c r="CJ587" i="27" s="1"/>
  <c r="BJ587" i="27"/>
  <c r="CI587" i="27" s="1"/>
  <c r="BI587" i="27"/>
  <c r="CH587" i="27" s="1"/>
  <c r="BH587" i="27"/>
  <c r="CG587" i="27" s="1"/>
  <c r="BG587" i="27"/>
  <c r="CF587" i="27" s="1"/>
  <c r="CD586" i="27"/>
  <c r="CC586" i="27"/>
  <c r="CB586" i="27"/>
  <c r="BZ586" i="27"/>
  <c r="BY586" i="27"/>
  <c r="BX586" i="27"/>
  <c r="BW586" i="27"/>
  <c r="BU586" i="27"/>
  <c r="BT586" i="27"/>
  <c r="BS586" i="27"/>
  <c r="BR586" i="27"/>
  <c r="BQ586" i="27"/>
  <c r="BP586" i="27"/>
  <c r="BO586" i="27"/>
  <c r="BN586" i="27"/>
  <c r="BM586" i="27"/>
  <c r="CL586" i="27" s="1"/>
  <c r="BL586" i="27"/>
  <c r="CK586" i="27" s="1"/>
  <c r="BK586" i="27"/>
  <c r="CJ586" i="27" s="1"/>
  <c r="BJ586" i="27"/>
  <c r="CI586" i="27" s="1"/>
  <c r="BI586" i="27"/>
  <c r="CH586" i="27" s="1"/>
  <c r="BH586" i="27"/>
  <c r="CG586" i="27" s="1"/>
  <c r="BG586" i="27"/>
  <c r="CF586" i="27" s="1"/>
  <c r="CD585" i="27"/>
  <c r="CC585" i="27"/>
  <c r="BZ585" i="27"/>
  <c r="BX585" i="27"/>
  <c r="BW585" i="27"/>
  <c r="BV585" i="27"/>
  <c r="BU585" i="27"/>
  <c r="BT585" i="27"/>
  <c r="BS585" i="27"/>
  <c r="BR585" i="27"/>
  <c r="BQ585" i="27"/>
  <c r="BP585" i="27"/>
  <c r="BO585" i="27"/>
  <c r="BN585" i="27"/>
  <c r="BM585" i="27"/>
  <c r="CL585" i="27" s="1"/>
  <c r="BL585" i="27"/>
  <c r="CK585" i="27" s="1"/>
  <c r="BK585" i="27"/>
  <c r="CJ585" i="27" s="1"/>
  <c r="BJ585" i="27"/>
  <c r="CI585" i="27" s="1"/>
  <c r="BI585" i="27"/>
  <c r="BH585" i="27"/>
  <c r="BG585" i="27"/>
  <c r="CD584" i="27"/>
  <c r="CC584" i="27"/>
  <c r="CB584" i="27"/>
  <c r="BZ584" i="27"/>
  <c r="BY584" i="27"/>
  <c r="BX584" i="27"/>
  <c r="BW584" i="27"/>
  <c r="BU584" i="27"/>
  <c r="BT584" i="27"/>
  <c r="BS584" i="27"/>
  <c r="BR584" i="27"/>
  <c r="BQ584" i="27"/>
  <c r="BP584" i="27"/>
  <c r="BO584" i="27"/>
  <c r="BN584" i="27"/>
  <c r="BM584" i="27"/>
  <c r="CL584" i="27" s="1"/>
  <c r="BL584" i="27"/>
  <c r="CK584" i="27" s="1"/>
  <c r="BK584" i="27"/>
  <c r="CJ584" i="27" s="1"/>
  <c r="BJ584" i="27"/>
  <c r="CI584" i="27" s="1"/>
  <c r="BI584" i="27"/>
  <c r="CH584" i="27" s="1"/>
  <c r="BH584" i="27"/>
  <c r="CG584" i="27" s="1"/>
  <c r="BG584" i="27"/>
  <c r="CF584" i="27" s="1"/>
  <c r="CD583" i="27"/>
  <c r="CC583" i="27"/>
  <c r="CB583" i="27"/>
  <c r="BZ583" i="27"/>
  <c r="BY583" i="27"/>
  <c r="BX583" i="27"/>
  <c r="BW583" i="27"/>
  <c r="BU583" i="27"/>
  <c r="BS583" i="27"/>
  <c r="BR583" i="27"/>
  <c r="BQ583" i="27"/>
  <c r="BP583" i="27"/>
  <c r="BO583" i="27"/>
  <c r="BN583" i="27"/>
  <c r="BM583" i="27"/>
  <c r="CL583" i="27" s="1"/>
  <c r="BL583" i="27"/>
  <c r="CK583" i="27" s="1"/>
  <c r="BK583" i="27"/>
  <c r="CJ583" i="27" s="1"/>
  <c r="BJ583" i="27"/>
  <c r="CI583" i="27" s="1"/>
  <c r="BI583" i="27"/>
  <c r="CH583" i="27" s="1"/>
  <c r="BH583" i="27"/>
  <c r="CG583" i="27" s="1"/>
  <c r="BG583" i="27"/>
  <c r="CF583" i="27" s="1"/>
  <c r="CD582" i="27"/>
  <c r="CC582" i="27"/>
  <c r="BZ582" i="27"/>
  <c r="BX582" i="27"/>
  <c r="BW582" i="27"/>
  <c r="BV582" i="27"/>
  <c r="BU582" i="27"/>
  <c r="BS582" i="27"/>
  <c r="BR582" i="27"/>
  <c r="BQ582" i="27"/>
  <c r="BP582" i="27"/>
  <c r="BO582" i="27"/>
  <c r="BN582" i="27"/>
  <c r="BM582" i="27"/>
  <c r="CL582" i="27" s="1"/>
  <c r="BL582" i="27"/>
  <c r="CK582" i="27" s="1"/>
  <c r="BK582" i="27"/>
  <c r="CJ582" i="27" s="1"/>
  <c r="BJ582" i="27"/>
  <c r="CI582" i="27" s="1"/>
  <c r="BI582" i="27"/>
  <c r="BH582" i="27"/>
  <c r="BG582" i="27"/>
  <c r="CD581" i="27"/>
  <c r="CC581" i="27"/>
  <c r="CB581" i="27"/>
  <c r="BZ581" i="27"/>
  <c r="BY581" i="27"/>
  <c r="BX581" i="27"/>
  <c r="BW581" i="27"/>
  <c r="BU581" i="27"/>
  <c r="BT581" i="27"/>
  <c r="BS581" i="27"/>
  <c r="BR581" i="27"/>
  <c r="BQ581" i="27"/>
  <c r="BP581" i="27"/>
  <c r="BO581" i="27"/>
  <c r="BM581" i="27"/>
  <c r="CL581" i="27" s="1"/>
  <c r="BL581" i="27"/>
  <c r="CK581" i="27" s="1"/>
  <c r="BK581" i="27"/>
  <c r="CJ581" i="27" s="1"/>
  <c r="BJ581" i="27"/>
  <c r="CI581" i="27" s="1"/>
  <c r="BI581" i="27"/>
  <c r="CH581" i="27" s="1"/>
  <c r="BH581" i="27"/>
  <c r="CG581" i="27" s="1"/>
  <c r="BG581" i="27"/>
  <c r="CF581" i="27" s="1"/>
  <c r="CD580" i="27"/>
  <c r="CC580" i="27"/>
  <c r="CB580" i="27"/>
  <c r="BZ580" i="27"/>
  <c r="BY580" i="27"/>
  <c r="BX580" i="27"/>
  <c r="BW580" i="27"/>
  <c r="BU580" i="27"/>
  <c r="BT580" i="27"/>
  <c r="BS580" i="27"/>
  <c r="BR580" i="27"/>
  <c r="BQ580" i="27"/>
  <c r="BP580" i="27"/>
  <c r="BO580" i="27"/>
  <c r="BN580" i="27"/>
  <c r="BM580" i="27"/>
  <c r="CL580" i="27" s="1"/>
  <c r="BL580" i="27"/>
  <c r="CK580" i="27" s="1"/>
  <c r="BK580" i="27"/>
  <c r="CJ580" i="27" s="1"/>
  <c r="BJ580" i="27"/>
  <c r="CI580" i="27" s="1"/>
  <c r="BI580" i="27"/>
  <c r="CH580" i="27" s="1"/>
  <c r="BH580" i="27"/>
  <c r="CG580" i="27" s="1"/>
  <c r="BG580" i="27"/>
  <c r="CF580" i="27" s="1"/>
  <c r="CD579" i="27"/>
  <c r="CC579" i="27"/>
  <c r="BZ579" i="27"/>
  <c r="BX579" i="27"/>
  <c r="BW579" i="27"/>
  <c r="BV579" i="27"/>
  <c r="BU579" i="27"/>
  <c r="BT579" i="27"/>
  <c r="BS579" i="27"/>
  <c r="BR579" i="27"/>
  <c r="BQ579" i="27"/>
  <c r="BP579" i="27"/>
  <c r="BO579" i="27"/>
  <c r="BN579" i="27"/>
  <c r="BM579" i="27"/>
  <c r="CL579" i="27" s="1"/>
  <c r="BL579" i="27"/>
  <c r="CK579" i="27" s="1"/>
  <c r="BK579" i="27"/>
  <c r="CJ579" i="27" s="1"/>
  <c r="BJ579" i="27"/>
  <c r="CI579" i="27" s="1"/>
  <c r="BI579" i="27"/>
  <c r="BH579" i="27"/>
  <c r="BG579" i="27"/>
  <c r="CD578" i="27"/>
  <c r="CC578" i="27"/>
  <c r="CB578" i="27"/>
  <c r="CA578" i="27"/>
  <c r="BZ578" i="27"/>
  <c r="BY578" i="27"/>
  <c r="BX578" i="27"/>
  <c r="BW578" i="27"/>
  <c r="BU578" i="27"/>
  <c r="BT578" i="27"/>
  <c r="BS578" i="27"/>
  <c r="BR578" i="27"/>
  <c r="BQ578" i="27"/>
  <c r="BP578" i="27"/>
  <c r="BO578" i="27"/>
  <c r="BN578" i="27"/>
  <c r="BM578" i="27"/>
  <c r="CL578" i="27" s="1"/>
  <c r="BL578" i="27"/>
  <c r="CK578" i="27" s="1"/>
  <c r="BK578" i="27"/>
  <c r="CJ578" i="27" s="1"/>
  <c r="BJ578" i="27"/>
  <c r="CI578" i="27" s="1"/>
  <c r="BI578" i="27"/>
  <c r="CH578" i="27" s="1"/>
  <c r="BH578" i="27"/>
  <c r="CG578" i="27" s="1"/>
  <c r="BG578" i="27"/>
  <c r="CF578" i="27" s="1"/>
  <c r="CD577" i="27"/>
  <c r="CC577" i="27"/>
  <c r="CB577" i="27"/>
  <c r="BZ577" i="27"/>
  <c r="BY577" i="27"/>
  <c r="BX577" i="27"/>
  <c r="BW577" i="27"/>
  <c r="BU577" i="27"/>
  <c r="BT577" i="27"/>
  <c r="BS577" i="27"/>
  <c r="BR577" i="27"/>
  <c r="BQ577" i="27"/>
  <c r="BP577" i="27"/>
  <c r="BO577" i="27"/>
  <c r="BN577" i="27"/>
  <c r="BM577" i="27"/>
  <c r="CL577" i="27" s="1"/>
  <c r="BL577" i="27"/>
  <c r="CK577" i="27" s="1"/>
  <c r="BK577" i="27"/>
  <c r="CJ577" i="27" s="1"/>
  <c r="BJ577" i="27"/>
  <c r="CI577" i="27" s="1"/>
  <c r="BI577" i="27"/>
  <c r="CH577" i="27" s="1"/>
  <c r="BH577" i="27"/>
  <c r="CG577" i="27" s="1"/>
  <c r="BG577" i="27"/>
  <c r="CF577" i="27" s="1"/>
  <c r="CD576" i="27"/>
  <c r="CC576" i="27"/>
  <c r="BZ576" i="27"/>
  <c r="BX576" i="27"/>
  <c r="BW576" i="27"/>
  <c r="BV576" i="27"/>
  <c r="BU576" i="27"/>
  <c r="BT576" i="27"/>
  <c r="BS576" i="27"/>
  <c r="BR576" i="27"/>
  <c r="BQ576" i="27"/>
  <c r="BP576" i="27"/>
  <c r="BO576" i="27"/>
  <c r="BN576" i="27"/>
  <c r="BM576" i="27"/>
  <c r="CL576" i="27" s="1"/>
  <c r="BL576" i="27"/>
  <c r="CK576" i="27" s="1"/>
  <c r="BK576" i="27"/>
  <c r="CJ576" i="27" s="1"/>
  <c r="BJ576" i="27"/>
  <c r="CI576" i="27" s="1"/>
  <c r="BI576" i="27"/>
  <c r="BH576" i="27"/>
  <c r="BG576" i="27"/>
  <c r="CD575" i="27"/>
  <c r="CC575" i="27"/>
  <c r="CB575" i="27"/>
  <c r="BZ575" i="27"/>
  <c r="BY575" i="27"/>
  <c r="BX575" i="27"/>
  <c r="BW575" i="27"/>
  <c r="BV575" i="27"/>
  <c r="BU575" i="27"/>
  <c r="BT575" i="27"/>
  <c r="BS575" i="27"/>
  <c r="BR575" i="27"/>
  <c r="BQ575" i="27"/>
  <c r="BP575" i="27"/>
  <c r="BO575" i="27"/>
  <c r="BN575" i="27"/>
  <c r="BM575" i="27"/>
  <c r="CL575" i="27" s="1"/>
  <c r="BL575" i="27"/>
  <c r="CK575" i="27" s="1"/>
  <c r="BK575" i="27"/>
  <c r="CJ575" i="27" s="1"/>
  <c r="BJ575" i="27"/>
  <c r="CI575" i="27" s="1"/>
  <c r="BI575" i="27"/>
  <c r="CH575" i="27" s="1"/>
  <c r="BH575" i="27"/>
  <c r="CG575" i="27" s="1"/>
  <c r="BG575" i="27"/>
  <c r="CF575" i="27" s="1"/>
  <c r="CD574" i="27"/>
  <c r="CC574" i="27"/>
  <c r="CB574" i="27"/>
  <c r="BZ574" i="27"/>
  <c r="BY574" i="27"/>
  <c r="BX574" i="27"/>
  <c r="BW574" i="27"/>
  <c r="BV574" i="27"/>
  <c r="BU574" i="27"/>
  <c r="BT574" i="27"/>
  <c r="BS574" i="27"/>
  <c r="BR574" i="27"/>
  <c r="BQ574" i="27"/>
  <c r="BO574" i="27"/>
  <c r="BN574" i="27"/>
  <c r="BM574" i="27"/>
  <c r="CL574" i="27" s="1"/>
  <c r="BL574" i="27"/>
  <c r="CK574" i="27" s="1"/>
  <c r="BK574" i="27"/>
  <c r="CJ574" i="27" s="1"/>
  <c r="BJ574" i="27"/>
  <c r="CI574" i="27" s="1"/>
  <c r="BI574" i="27"/>
  <c r="CH574" i="27" s="1"/>
  <c r="BH574" i="27"/>
  <c r="CG574" i="27" s="1"/>
  <c r="BG574" i="27"/>
  <c r="CF574" i="27" s="1"/>
  <c r="CD573" i="27"/>
  <c r="CC573" i="27"/>
  <c r="CB573" i="27"/>
  <c r="BZ573" i="27"/>
  <c r="BY573" i="27"/>
  <c r="BX573" i="27"/>
  <c r="BW573" i="27"/>
  <c r="BV573" i="27"/>
  <c r="BU573" i="27"/>
  <c r="BT573" i="27"/>
  <c r="BS573" i="27"/>
  <c r="BR573" i="27"/>
  <c r="BQ573" i="27"/>
  <c r="BO573" i="27"/>
  <c r="BN573" i="27"/>
  <c r="BM573" i="27"/>
  <c r="CL573" i="27" s="1"/>
  <c r="BL573" i="27"/>
  <c r="CK573" i="27" s="1"/>
  <c r="BK573" i="27"/>
  <c r="CJ573" i="27" s="1"/>
  <c r="BJ573" i="27"/>
  <c r="CI573" i="27" s="1"/>
  <c r="BI573" i="27"/>
  <c r="CH573" i="27" s="1"/>
  <c r="BH573" i="27"/>
  <c r="CG573" i="27" s="1"/>
  <c r="BG573" i="27"/>
  <c r="CF573" i="27" s="1"/>
  <c r="CD572" i="27"/>
  <c r="CC572" i="27"/>
  <c r="BZ572" i="27"/>
  <c r="BX572" i="27"/>
  <c r="BW572" i="27"/>
  <c r="BV572" i="27"/>
  <c r="BU572" i="27"/>
  <c r="BT572" i="27"/>
  <c r="BS572" i="27"/>
  <c r="BR572" i="27"/>
  <c r="BQ572" i="27"/>
  <c r="BP572" i="27"/>
  <c r="BO572" i="27"/>
  <c r="BN572" i="27"/>
  <c r="BM572" i="27"/>
  <c r="CL572" i="27" s="1"/>
  <c r="BL572" i="27"/>
  <c r="CK572" i="27" s="1"/>
  <c r="BK572" i="27"/>
  <c r="CJ572" i="27" s="1"/>
  <c r="BJ572" i="27"/>
  <c r="CI572" i="27" s="1"/>
  <c r="BI572" i="27"/>
  <c r="BH572" i="27"/>
  <c r="BG572" i="27"/>
  <c r="CD571" i="27"/>
  <c r="CC571" i="27"/>
  <c r="CB571" i="27"/>
  <c r="BZ571" i="27"/>
  <c r="BY571" i="27"/>
  <c r="BX571" i="27"/>
  <c r="BW571" i="27"/>
  <c r="BV571" i="27"/>
  <c r="BU571" i="27"/>
  <c r="BT571" i="27"/>
  <c r="BS571" i="27"/>
  <c r="BR571" i="27"/>
  <c r="BQ571" i="27"/>
  <c r="BP571" i="27"/>
  <c r="BO571" i="27"/>
  <c r="BN571" i="27"/>
  <c r="BM571" i="27"/>
  <c r="CL571" i="27" s="1"/>
  <c r="BL571" i="27"/>
  <c r="CK571" i="27" s="1"/>
  <c r="BK571" i="27"/>
  <c r="CJ571" i="27" s="1"/>
  <c r="BJ571" i="27"/>
  <c r="CI571" i="27" s="1"/>
  <c r="BI571" i="27"/>
  <c r="CH571" i="27" s="1"/>
  <c r="BH571" i="27"/>
  <c r="CG571" i="27" s="1"/>
  <c r="BG571" i="27"/>
  <c r="CF571" i="27" s="1"/>
  <c r="CD570" i="27"/>
  <c r="CC570" i="27"/>
  <c r="CB570" i="27"/>
  <c r="CA570" i="27"/>
  <c r="BZ570" i="27"/>
  <c r="BY570" i="27"/>
  <c r="BX570" i="27"/>
  <c r="BW570" i="27"/>
  <c r="BU570" i="27"/>
  <c r="BT570" i="27"/>
  <c r="BS570" i="27"/>
  <c r="BR570" i="27"/>
  <c r="BQ570" i="27"/>
  <c r="BP570" i="27"/>
  <c r="BO570" i="27"/>
  <c r="BN570" i="27"/>
  <c r="BM570" i="27"/>
  <c r="CL570" i="27" s="1"/>
  <c r="BL570" i="27"/>
  <c r="CK570" i="27" s="1"/>
  <c r="BK570" i="27"/>
  <c r="CJ570" i="27" s="1"/>
  <c r="BJ570" i="27"/>
  <c r="CI570" i="27" s="1"/>
  <c r="BI570" i="27"/>
  <c r="CH570" i="27" s="1"/>
  <c r="BH570" i="27"/>
  <c r="CG570" i="27" s="1"/>
  <c r="BG570" i="27"/>
  <c r="CF570" i="27" s="1"/>
  <c r="CD569" i="27"/>
  <c r="CC569" i="27"/>
  <c r="CB569" i="27"/>
  <c r="BZ569" i="27"/>
  <c r="BY569" i="27"/>
  <c r="BX569" i="27"/>
  <c r="BW569" i="27"/>
  <c r="BU569" i="27"/>
  <c r="BT569" i="27"/>
  <c r="BS569" i="27"/>
  <c r="BR569" i="27"/>
  <c r="BQ569" i="27"/>
  <c r="BP569" i="27"/>
  <c r="BO569" i="27"/>
  <c r="BN569" i="27"/>
  <c r="BM569" i="27"/>
  <c r="CL569" i="27" s="1"/>
  <c r="BL569" i="27"/>
  <c r="CK569" i="27" s="1"/>
  <c r="BK569" i="27"/>
  <c r="CJ569" i="27" s="1"/>
  <c r="BJ569" i="27"/>
  <c r="CI569" i="27" s="1"/>
  <c r="BI569" i="27"/>
  <c r="CH569" i="27" s="1"/>
  <c r="BH569" i="27"/>
  <c r="CG569" i="27" s="1"/>
  <c r="BG569" i="27"/>
  <c r="CF569" i="27" s="1"/>
  <c r="CD568" i="27"/>
  <c r="CC568" i="27"/>
  <c r="BZ568" i="27"/>
  <c r="BX568" i="27"/>
  <c r="BW568" i="27"/>
  <c r="BV568" i="27"/>
  <c r="BU568" i="27"/>
  <c r="BT568" i="27"/>
  <c r="BS568" i="27"/>
  <c r="BR568" i="27"/>
  <c r="BQ568" i="27"/>
  <c r="BP568" i="27"/>
  <c r="BO568" i="27"/>
  <c r="BN568" i="27"/>
  <c r="BM568" i="27"/>
  <c r="CL568" i="27" s="1"/>
  <c r="BL568" i="27"/>
  <c r="CK568" i="27" s="1"/>
  <c r="BK568" i="27"/>
  <c r="CJ568" i="27" s="1"/>
  <c r="BJ568" i="27"/>
  <c r="CI568" i="27" s="1"/>
  <c r="BI568" i="27"/>
  <c r="BH568" i="27"/>
  <c r="BG568" i="27"/>
  <c r="CD567" i="27"/>
  <c r="CC567" i="27"/>
  <c r="CB567" i="27"/>
  <c r="BZ567" i="27"/>
  <c r="BY567" i="27"/>
  <c r="BX567" i="27"/>
  <c r="BW567" i="27"/>
  <c r="BU567" i="27"/>
  <c r="BT567" i="27"/>
  <c r="BS567" i="27"/>
  <c r="BR567" i="27"/>
  <c r="BQ567" i="27"/>
  <c r="BP567" i="27"/>
  <c r="BO567" i="27"/>
  <c r="BN567" i="27"/>
  <c r="BM567" i="27"/>
  <c r="CL567" i="27" s="1"/>
  <c r="BL567" i="27"/>
  <c r="CK567" i="27" s="1"/>
  <c r="BK567" i="27"/>
  <c r="CJ567" i="27" s="1"/>
  <c r="BJ567" i="27"/>
  <c r="CI567" i="27" s="1"/>
  <c r="BI567" i="27"/>
  <c r="CH567" i="27" s="1"/>
  <c r="BH567" i="27"/>
  <c r="CG567" i="27" s="1"/>
  <c r="BG567" i="27"/>
  <c r="CF567" i="27" s="1"/>
  <c r="CD566" i="27"/>
  <c r="CC566" i="27"/>
  <c r="CB566" i="27"/>
  <c r="BZ566" i="27"/>
  <c r="BY566" i="27"/>
  <c r="BX566" i="27"/>
  <c r="BW566" i="27"/>
  <c r="BU566" i="27"/>
  <c r="BT566" i="27"/>
  <c r="BS566" i="27"/>
  <c r="BR566" i="27"/>
  <c r="BQ566" i="27"/>
  <c r="BP566" i="27"/>
  <c r="BO566" i="27"/>
  <c r="BN566" i="27"/>
  <c r="BM566" i="27"/>
  <c r="CL566" i="27" s="1"/>
  <c r="BL566" i="27"/>
  <c r="CK566" i="27" s="1"/>
  <c r="BK566" i="27"/>
  <c r="CJ566" i="27" s="1"/>
  <c r="BJ566" i="27"/>
  <c r="CI566" i="27" s="1"/>
  <c r="BI566" i="27"/>
  <c r="CH566" i="27" s="1"/>
  <c r="BH566" i="27"/>
  <c r="CG566" i="27" s="1"/>
  <c r="BG566" i="27"/>
  <c r="CF566" i="27" s="1"/>
  <c r="CD565" i="27"/>
  <c r="CC565" i="27"/>
  <c r="BZ565" i="27"/>
  <c r="BX565" i="27"/>
  <c r="BW565" i="27"/>
  <c r="BV565" i="27"/>
  <c r="BU565" i="27"/>
  <c r="BT565" i="27"/>
  <c r="BS565" i="27"/>
  <c r="BR565" i="27"/>
  <c r="BQ565" i="27"/>
  <c r="BP565" i="27"/>
  <c r="BO565" i="27"/>
  <c r="BN565" i="27"/>
  <c r="BM565" i="27"/>
  <c r="CL565" i="27" s="1"/>
  <c r="BL565" i="27"/>
  <c r="CK565" i="27" s="1"/>
  <c r="BK565" i="27"/>
  <c r="CJ565" i="27" s="1"/>
  <c r="BJ565" i="27"/>
  <c r="CI565" i="27" s="1"/>
  <c r="BI565" i="27"/>
  <c r="BH565" i="27"/>
  <c r="BG565" i="27"/>
  <c r="CD564" i="27"/>
  <c r="CC564" i="27"/>
  <c r="CB564" i="27"/>
  <c r="BZ564" i="27"/>
  <c r="BY564" i="27"/>
  <c r="BX564" i="27"/>
  <c r="BW564" i="27"/>
  <c r="BU564" i="27"/>
  <c r="BT564" i="27"/>
  <c r="BS564" i="27"/>
  <c r="BR564" i="27"/>
  <c r="BQ564" i="27"/>
  <c r="BP564" i="27"/>
  <c r="BO564" i="27"/>
  <c r="BN564" i="27"/>
  <c r="BM564" i="27"/>
  <c r="CL564" i="27" s="1"/>
  <c r="BL564" i="27"/>
  <c r="CK564" i="27" s="1"/>
  <c r="BK564" i="27"/>
  <c r="CJ564" i="27" s="1"/>
  <c r="BJ564" i="27"/>
  <c r="CI564" i="27" s="1"/>
  <c r="BI564" i="27"/>
  <c r="CH564" i="27" s="1"/>
  <c r="BH564" i="27"/>
  <c r="CG564" i="27" s="1"/>
  <c r="BG564" i="27"/>
  <c r="CF564" i="27" s="1"/>
  <c r="CD563" i="27"/>
  <c r="CC563" i="27"/>
  <c r="CB563" i="27"/>
  <c r="BZ563" i="27"/>
  <c r="BY563" i="27"/>
  <c r="BX563" i="27"/>
  <c r="BW563" i="27"/>
  <c r="BU563" i="27"/>
  <c r="BS563" i="27"/>
  <c r="BR563" i="27"/>
  <c r="BQ563" i="27"/>
  <c r="BP563" i="27"/>
  <c r="BO563" i="27"/>
  <c r="BN563" i="27"/>
  <c r="BM563" i="27"/>
  <c r="CL563" i="27" s="1"/>
  <c r="BL563" i="27"/>
  <c r="CK563" i="27" s="1"/>
  <c r="BK563" i="27"/>
  <c r="CJ563" i="27" s="1"/>
  <c r="BJ563" i="27"/>
  <c r="CI563" i="27" s="1"/>
  <c r="BI563" i="27"/>
  <c r="CH563" i="27" s="1"/>
  <c r="BH563" i="27"/>
  <c r="CG563" i="27" s="1"/>
  <c r="BG563" i="27"/>
  <c r="CF563" i="27" s="1"/>
  <c r="CD562" i="27"/>
  <c r="CC562" i="27"/>
  <c r="BZ562" i="27"/>
  <c r="BX562" i="27"/>
  <c r="BW562" i="27"/>
  <c r="BV562" i="27"/>
  <c r="BU562" i="27"/>
  <c r="BT562" i="27"/>
  <c r="BS562" i="27"/>
  <c r="BR562" i="27"/>
  <c r="BQ562" i="27"/>
  <c r="BP562" i="27"/>
  <c r="BO562" i="27"/>
  <c r="BN562" i="27"/>
  <c r="BM562" i="27"/>
  <c r="CL562" i="27" s="1"/>
  <c r="BL562" i="27"/>
  <c r="CK562" i="27" s="1"/>
  <c r="BK562" i="27"/>
  <c r="CJ562" i="27" s="1"/>
  <c r="BJ562" i="27"/>
  <c r="CI562" i="27" s="1"/>
  <c r="BI562" i="27"/>
  <c r="BH562" i="27"/>
  <c r="BG562" i="27"/>
  <c r="CD561" i="27"/>
  <c r="CC561" i="27"/>
  <c r="CB561" i="27"/>
  <c r="BZ561" i="27"/>
  <c r="BY561" i="27"/>
  <c r="BX561" i="27"/>
  <c r="BW561" i="27"/>
  <c r="BU561" i="27"/>
  <c r="BT561" i="27"/>
  <c r="BS561" i="27"/>
  <c r="BR561" i="27"/>
  <c r="BQ561" i="27"/>
  <c r="BP561" i="27"/>
  <c r="BO561" i="27"/>
  <c r="BN561" i="27"/>
  <c r="BM561" i="27"/>
  <c r="CL561" i="27" s="1"/>
  <c r="BL561" i="27"/>
  <c r="CK561" i="27" s="1"/>
  <c r="BK561" i="27"/>
  <c r="CJ561" i="27" s="1"/>
  <c r="BJ561" i="27"/>
  <c r="CI561" i="27" s="1"/>
  <c r="BI561" i="27"/>
  <c r="CH561" i="27" s="1"/>
  <c r="BH561" i="27"/>
  <c r="CG561" i="27" s="1"/>
  <c r="BG561" i="27"/>
  <c r="CF561" i="27" s="1"/>
  <c r="CD560" i="27"/>
  <c r="CC560" i="27"/>
  <c r="CB560" i="27"/>
  <c r="BZ560" i="27"/>
  <c r="BY560" i="27"/>
  <c r="BX560" i="27"/>
  <c r="BW560" i="27"/>
  <c r="BU560" i="27"/>
  <c r="BT560" i="27"/>
  <c r="BS560" i="27"/>
  <c r="BR560" i="27"/>
  <c r="BQ560" i="27"/>
  <c r="BP560" i="27"/>
  <c r="BO560" i="27"/>
  <c r="BN560" i="27"/>
  <c r="BM560" i="27"/>
  <c r="CL560" i="27" s="1"/>
  <c r="BL560" i="27"/>
  <c r="CK560" i="27" s="1"/>
  <c r="BK560" i="27"/>
  <c r="CJ560" i="27" s="1"/>
  <c r="BJ560" i="27"/>
  <c r="CI560" i="27" s="1"/>
  <c r="BI560" i="27"/>
  <c r="CH560" i="27" s="1"/>
  <c r="BH560" i="27"/>
  <c r="CG560" i="27" s="1"/>
  <c r="BG560" i="27"/>
  <c r="CF560" i="27" s="1"/>
  <c r="CD559" i="27"/>
  <c r="CC559" i="27"/>
  <c r="BZ559" i="27"/>
  <c r="BX559" i="27"/>
  <c r="BW559" i="27"/>
  <c r="BV559" i="27"/>
  <c r="BU559" i="27"/>
  <c r="BT559" i="27"/>
  <c r="BS559" i="27"/>
  <c r="BR559" i="27"/>
  <c r="BQ559" i="27"/>
  <c r="BP559" i="27"/>
  <c r="BO559" i="27"/>
  <c r="BN559" i="27"/>
  <c r="BM559" i="27"/>
  <c r="CL559" i="27" s="1"/>
  <c r="BL559" i="27"/>
  <c r="CK559" i="27" s="1"/>
  <c r="BK559" i="27"/>
  <c r="CJ559" i="27" s="1"/>
  <c r="BJ559" i="27"/>
  <c r="CI559" i="27" s="1"/>
  <c r="BI559" i="27"/>
  <c r="BH559" i="27"/>
  <c r="BG559" i="27"/>
  <c r="CD558" i="27"/>
  <c r="CC558" i="27"/>
  <c r="CB558" i="27"/>
  <c r="BZ558" i="27"/>
  <c r="BY558" i="27"/>
  <c r="BX558" i="27"/>
  <c r="BW558" i="27"/>
  <c r="BV558" i="27"/>
  <c r="BU558" i="27"/>
  <c r="BT558" i="27"/>
  <c r="BS558" i="27"/>
  <c r="BR558" i="27"/>
  <c r="BQ558" i="27"/>
  <c r="BP558" i="27"/>
  <c r="BO558" i="27"/>
  <c r="BN558" i="27"/>
  <c r="BM558" i="27"/>
  <c r="CL558" i="27" s="1"/>
  <c r="BL558" i="27"/>
  <c r="CK558" i="27" s="1"/>
  <c r="BK558" i="27"/>
  <c r="CJ558" i="27" s="1"/>
  <c r="BJ558" i="27"/>
  <c r="CI558" i="27" s="1"/>
  <c r="BI558" i="27"/>
  <c r="CH558" i="27" s="1"/>
  <c r="BH558" i="27"/>
  <c r="CG558" i="27" s="1"/>
  <c r="BG558" i="27"/>
  <c r="CF558" i="27" s="1"/>
  <c r="CD557" i="27"/>
  <c r="CC557" i="27"/>
  <c r="CB557" i="27"/>
  <c r="BZ557" i="27"/>
  <c r="BY557" i="27"/>
  <c r="BX557" i="27"/>
  <c r="BW557" i="27"/>
  <c r="BU557" i="27"/>
  <c r="BT557" i="27"/>
  <c r="BS557" i="27"/>
  <c r="BR557" i="27"/>
  <c r="BQ557" i="27"/>
  <c r="BP557" i="27"/>
  <c r="BO557" i="27"/>
  <c r="BN557" i="27"/>
  <c r="BM557" i="27"/>
  <c r="CL557" i="27" s="1"/>
  <c r="BL557" i="27"/>
  <c r="CK557" i="27" s="1"/>
  <c r="BK557" i="27"/>
  <c r="CJ557" i="27" s="1"/>
  <c r="BJ557" i="27"/>
  <c r="CI557" i="27" s="1"/>
  <c r="BI557" i="27"/>
  <c r="CH557" i="27" s="1"/>
  <c r="BH557" i="27"/>
  <c r="CG557" i="27" s="1"/>
  <c r="BG557" i="27"/>
  <c r="CF557" i="27" s="1"/>
  <c r="CD556" i="27"/>
  <c r="CC556" i="27"/>
  <c r="CB556" i="27"/>
  <c r="BZ556" i="27"/>
  <c r="BY556" i="27"/>
  <c r="BX556" i="27"/>
  <c r="BW556" i="27"/>
  <c r="BU556" i="27"/>
  <c r="BT556" i="27"/>
  <c r="BS556" i="27"/>
  <c r="BR556" i="27"/>
  <c r="BQ556" i="27"/>
  <c r="BP556" i="27"/>
  <c r="BO556" i="27"/>
  <c r="BN556" i="27"/>
  <c r="BM556" i="27"/>
  <c r="CL556" i="27" s="1"/>
  <c r="BL556" i="27"/>
  <c r="CK556" i="27" s="1"/>
  <c r="BK556" i="27"/>
  <c r="CJ556" i="27" s="1"/>
  <c r="BJ556" i="27"/>
  <c r="CI556" i="27" s="1"/>
  <c r="BI556" i="27"/>
  <c r="CH556" i="27" s="1"/>
  <c r="BH556" i="27"/>
  <c r="CG556" i="27" s="1"/>
  <c r="BG556" i="27"/>
  <c r="CF556" i="27" s="1"/>
  <c r="CD555" i="27"/>
  <c r="CC555" i="27"/>
  <c r="BZ555" i="27"/>
  <c r="BX555" i="27"/>
  <c r="BW555" i="27"/>
  <c r="BV555" i="27"/>
  <c r="BU555" i="27"/>
  <c r="BT555" i="27"/>
  <c r="BS555" i="27"/>
  <c r="BR555" i="27"/>
  <c r="BQ555" i="27"/>
  <c r="BP555" i="27"/>
  <c r="BO555" i="27"/>
  <c r="BN555" i="27"/>
  <c r="BM555" i="27"/>
  <c r="CL555" i="27" s="1"/>
  <c r="BL555" i="27"/>
  <c r="CK555" i="27" s="1"/>
  <c r="BK555" i="27"/>
  <c r="CJ555" i="27" s="1"/>
  <c r="BJ555" i="27"/>
  <c r="CI555" i="27" s="1"/>
  <c r="BI555" i="27"/>
  <c r="BH555" i="27"/>
  <c r="BG555" i="27"/>
  <c r="CD554" i="27"/>
  <c r="CC554" i="27"/>
  <c r="CB554" i="27"/>
  <c r="BZ554" i="27"/>
  <c r="BY554" i="27"/>
  <c r="BX554" i="27"/>
  <c r="BW554" i="27"/>
  <c r="BU554" i="27"/>
  <c r="BT554" i="27"/>
  <c r="BS554" i="27"/>
  <c r="BR554" i="27"/>
  <c r="BQ554" i="27"/>
  <c r="BP554" i="27"/>
  <c r="BO554" i="27"/>
  <c r="BN554" i="27"/>
  <c r="BM554" i="27"/>
  <c r="CL554" i="27" s="1"/>
  <c r="BL554" i="27"/>
  <c r="CK554" i="27" s="1"/>
  <c r="BK554" i="27"/>
  <c r="CJ554" i="27" s="1"/>
  <c r="BJ554" i="27"/>
  <c r="CI554" i="27" s="1"/>
  <c r="BI554" i="27"/>
  <c r="CH554" i="27" s="1"/>
  <c r="BH554" i="27"/>
  <c r="CG554" i="27" s="1"/>
  <c r="BG554" i="27"/>
  <c r="CF554" i="27" s="1"/>
  <c r="CD553" i="27"/>
  <c r="CC553" i="27"/>
  <c r="CB553" i="27"/>
  <c r="BZ553" i="27"/>
  <c r="BY553" i="27"/>
  <c r="BX553" i="27"/>
  <c r="BW553" i="27"/>
  <c r="BU553" i="27"/>
  <c r="BT553" i="27"/>
  <c r="BS553" i="27"/>
  <c r="BR553" i="27"/>
  <c r="BQ553" i="27"/>
  <c r="BP553" i="27"/>
  <c r="BO553" i="27"/>
  <c r="BN553" i="27"/>
  <c r="BM553" i="27"/>
  <c r="CL553" i="27" s="1"/>
  <c r="BL553" i="27"/>
  <c r="CK553" i="27" s="1"/>
  <c r="BK553" i="27"/>
  <c r="CJ553" i="27" s="1"/>
  <c r="BJ553" i="27"/>
  <c r="CI553" i="27" s="1"/>
  <c r="BI553" i="27"/>
  <c r="CH553" i="27" s="1"/>
  <c r="BH553" i="27"/>
  <c r="CG553" i="27" s="1"/>
  <c r="BG553" i="27"/>
  <c r="CF553" i="27" s="1"/>
  <c r="CD552" i="27"/>
  <c r="CC552" i="27"/>
  <c r="BZ552" i="27"/>
  <c r="BX552" i="27"/>
  <c r="BW552" i="27"/>
  <c r="BV552" i="27"/>
  <c r="BU552" i="27"/>
  <c r="BT552" i="27"/>
  <c r="BS552" i="27"/>
  <c r="BR552" i="27"/>
  <c r="BQ552" i="27"/>
  <c r="BP552" i="27"/>
  <c r="BO552" i="27"/>
  <c r="BN552" i="27"/>
  <c r="BM552" i="27"/>
  <c r="CL552" i="27" s="1"/>
  <c r="BL552" i="27"/>
  <c r="CK552" i="27" s="1"/>
  <c r="BK552" i="27"/>
  <c r="CJ552" i="27" s="1"/>
  <c r="BJ552" i="27"/>
  <c r="CI552" i="27" s="1"/>
  <c r="BI552" i="27"/>
  <c r="BH552" i="27"/>
  <c r="BG552" i="27"/>
  <c r="CD551" i="27"/>
  <c r="CC551" i="27"/>
  <c r="CB551" i="27"/>
  <c r="BZ551" i="27"/>
  <c r="BY551" i="27"/>
  <c r="BX551" i="27"/>
  <c r="BW551" i="27"/>
  <c r="BU551" i="27"/>
  <c r="BT551" i="27"/>
  <c r="BS551" i="27"/>
  <c r="BQ551" i="27"/>
  <c r="BP551" i="27"/>
  <c r="BO551" i="27"/>
  <c r="BN551" i="27"/>
  <c r="BM551" i="27"/>
  <c r="CL551" i="27" s="1"/>
  <c r="BL551" i="27"/>
  <c r="CK551" i="27" s="1"/>
  <c r="BK551" i="27"/>
  <c r="CJ551" i="27" s="1"/>
  <c r="BJ551" i="27"/>
  <c r="CI551" i="27" s="1"/>
  <c r="BI551" i="27"/>
  <c r="CH551" i="27" s="1"/>
  <c r="BH551" i="27"/>
  <c r="CG551" i="27" s="1"/>
  <c r="BG551" i="27"/>
  <c r="CF551" i="27" s="1"/>
  <c r="CD550" i="27"/>
  <c r="CC550" i="27"/>
  <c r="CB550" i="27"/>
  <c r="BZ550" i="27"/>
  <c r="BY550" i="27"/>
  <c r="BX550" i="27"/>
  <c r="BW550" i="27"/>
  <c r="BU550" i="27"/>
  <c r="BS550" i="27"/>
  <c r="BR550" i="27"/>
  <c r="BQ550" i="27"/>
  <c r="BP550" i="27"/>
  <c r="BO550" i="27"/>
  <c r="BN550" i="27"/>
  <c r="BM550" i="27"/>
  <c r="CL550" i="27" s="1"/>
  <c r="BL550" i="27"/>
  <c r="CK550" i="27" s="1"/>
  <c r="BK550" i="27"/>
  <c r="CJ550" i="27" s="1"/>
  <c r="BJ550" i="27"/>
  <c r="CI550" i="27" s="1"/>
  <c r="BI550" i="27"/>
  <c r="CH550" i="27" s="1"/>
  <c r="BH550" i="27"/>
  <c r="CG550" i="27" s="1"/>
  <c r="BG550" i="27"/>
  <c r="CF550" i="27" s="1"/>
  <c r="CD549" i="27"/>
  <c r="CC549" i="27"/>
  <c r="BZ549" i="27"/>
  <c r="BX549" i="27"/>
  <c r="BW549" i="27"/>
  <c r="BV549" i="27"/>
  <c r="BU549" i="27"/>
  <c r="BS549" i="27"/>
  <c r="BR549" i="27"/>
  <c r="BQ549" i="27"/>
  <c r="BP549" i="27"/>
  <c r="BO549" i="27"/>
  <c r="BN549" i="27"/>
  <c r="BM549" i="27"/>
  <c r="CL549" i="27" s="1"/>
  <c r="BL549" i="27"/>
  <c r="CK549" i="27" s="1"/>
  <c r="BK549" i="27"/>
  <c r="CJ549" i="27" s="1"/>
  <c r="BJ549" i="27"/>
  <c r="CI549" i="27" s="1"/>
  <c r="BI549" i="27"/>
  <c r="BH549" i="27"/>
  <c r="BG549" i="27"/>
  <c r="CD548" i="27"/>
  <c r="CC548" i="27"/>
  <c r="CB548" i="27"/>
  <c r="BZ548" i="27"/>
  <c r="BY548" i="27"/>
  <c r="BX548" i="27"/>
  <c r="BW548" i="27"/>
  <c r="BU548" i="27"/>
  <c r="BT548" i="27"/>
  <c r="BS548" i="27"/>
  <c r="BR548" i="27"/>
  <c r="BQ548" i="27"/>
  <c r="BP548" i="27"/>
  <c r="BO548" i="27"/>
  <c r="BN548" i="27"/>
  <c r="BM548" i="27"/>
  <c r="CL548" i="27" s="1"/>
  <c r="BL548" i="27"/>
  <c r="CK548" i="27" s="1"/>
  <c r="BK548" i="27"/>
  <c r="CJ548" i="27" s="1"/>
  <c r="BJ548" i="27"/>
  <c r="CI548" i="27" s="1"/>
  <c r="BI548" i="27"/>
  <c r="CH548" i="27" s="1"/>
  <c r="BH548" i="27"/>
  <c r="CG548" i="27" s="1"/>
  <c r="BG548" i="27"/>
  <c r="CF548" i="27" s="1"/>
  <c r="CD547" i="27"/>
  <c r="CC547" i="27"/>
  <c r="CB547" i="27"/>
  <c r="CA547" i="27"/>
  <c r="BZ547" i="27"/>
  <c r="BY547" i="27"/>
  <c r="BX547" i="27"/>
  <c r="BW547" i="27"/>
  <c r="BU547" i="27"/>
  <c r="BT547" i="27"/>
  <c r="BS547" i="27"/>
  <c r="BR547" i="27"/>
  <c r="BQ547" i="27"/>
  <c r="BP547" i="27"/>
  <c r="BO547" i="27"/>
  <c r="BN547" i="27"/>
  <c r="BM547" i="27"/>
  <c r="CL547" i="27" s="1"/>
  <c r="BL547" i="27"/>
  <c r="CK547" i="27" s="1"/>
  <c r="BK547" i="27"/>
  <c r="CJ547" i="27" s="1"/>
  <c r="BJ547" i="27"/>
  <c r="CI547" i="27" s="1"/>
  <c r="BI547" i="27"/>
  <c r="CH547" i="27" s="1"/>
  <c r="BH547" i="27"/>
  <c r="CG547" i="27" s="1"/>
  <c r="BG547" i="27"/>
  <c r="CF547" i="27" s="1"/>
  <c r="CD546" i="27"/>
  <c r="CC546" i="27"/>
  <c r="BZ546" i="27"/>
  <c r="BX546" i="27"/>
  <c r="BW546" i="27"/>
  <c r="BV546" i="27"/>
  <c r="BU546" i="27"/>
  <c r="BT546" i="27"/>
  <c r="BS546" i="27"/>
  <c r="BR546" i="27"/>
  <c r="BQ546" i="27"/>
  <c r="BP546" i="27"/>
  <c r="BO546" i="27"/>
  <c r="BN546" i="27"/>
  <c r="BM546" i="27"/>
  <c r="CL546" i="27" s="1"/>
  <c r="BL546" i="27"/>
  <c r="CK546" i="27" s="1"/>
  <c r="BK546" i="27"/>
  <c r="CJ546" i="27" s="1"/>
  <c r="BJ546" i="27"/>
  <c r="CI546" i="27" s="1"/>
  <c r="BI546" i="27"/>
  <c r="BH546" i="27"/>
  <c r="BG546" i="27"/>
  <c r="CD545" i="27"/>
  <c r="CC545" i="27"/>
  <c r="CB545" i="27"/>
  <c r="BZ545" i="27"/>
  <c r="BY545" i="27"/>
  <c r="BX545" i="27"/>
  <c r="BW545" i="27"/>
  <c r="BV545" i="27"/>
  <c r="BU545" i="27"/>
  <c r="BT545" i="27"/>
  <c r="BS545" i="27"/>
  <c r="BR545" i="27"/>
  <c r="BQ545" i="27"/>
  <c r="BP545" i="27"/>
  <c r="BO545" i="27"/>
  <c r="BN545" i="27"/>
  <c r="BM545" i="27"/>
  <c r="CL545" i="27" s="1"/>
  <c r="BL545" i="27"/>
  <c r="CK545" i="27" s="1"/>
  <c r="BK545" i="27"/>
  <c r="CJ545" i="27" s="1"/>
  <c r="BJ545" i="27"/>
  <c r="CI545" i="27" s="1"/>
  <c r="BI545" i="27"/>
  <c r="CH545" i="27" s="1"/>
  <c r="BH545" i="27"/>
  <c r="CG545" i="27" s="1"/>
  <c r="BG545" i="27"/>
  <c r="CF545" i="27" s="1"/>
  <c r="CD544" i="27"/>
  <c r="CC544" i="27"/>
  <c r="CB544" i="27"/>
  <c r="BZ544" i="27"/>
  <c r="BY544" i="27"/>
  <c r="BX544" i="27"/>
  <c r="BW544" i="27"/>
  <c r="BU544" i="27"/>
  <c r="BT544" i="27"/>
  <c r="BS544" i="27"/>
  <c r="BR544" i="27"/>
  <c r="BQ544" i="27"/>
  <c r="BP544" i="27"/>
  <c r="BO544" i="27"/>
  <c r="BN544" i="27"/>
  <c r="BM544" i="27"/>
  <c r="CL544" i="27" s="1"/>
  <c r="BL544" i="27"/>
  <c r="CK544" i="27" s="1"/>
  <c r="BK544" i="27"/>
  <c r="CJ544" i="27" s="1"/>
  <c r="BJ544" i="27"/>
  <c r="CI544" i="27" s="1"/>
  <c r="BI544" i="27"/>
  <c r="CH544" i="27" s="1"/>
  <c r="BH544" i="27"/>
  <c r="CG544" i="27" s="1"/>
  <c r="BG544" i="27"/>
  <c r="CF544" i="27" s="1"/>
  <c r="CD543" i="27"/>
  <c r="CC543" i="27"/>
  <c r="CB543" i="27"/>
  <c r="BZ543" i="27"/>
  <c r="BY543" i="27"/>
  <c r="BX543" i="27"/>
  <c r="BW543" i="27"/>
  <c r="BU543" i="27"/>
  <c r="BT543" i="27"/>
  <c r="BS543" i="27"/>
  <c r="BR543" i="27"/>
  <c r="BQ543" i="27"/>
  <c r="BP543" i="27"/>
  <c r="BO543" i="27"/>
  <c r="BN543" i="27"/>
  <c r="BM543" i="27"/>
  <c r="CL543" i="27" s="1"/>
  <c r="BL543" i="27"/>
  <c r="CK543" i="27" s="1"/>
  <c r="BK543" i="27"/>
  <c r="CJ543" i="27" s="1"/>
  <c r="BJ543" i="27"/>
  <c r="CI543" i="27" s="1"/>
  <c r="BI543" i="27"/>
  <c r="CH543" i="27" s="1"/>
  <c r="BH543" i="27"/>
  <c r="CG543" i="27" s="1"/>
  <c r="BG543" i="27"/>
  <c r="CF543" i="27" s="1"/>
  <c r="CD542" i="27"/>
  <c r="CC542" i="27"/>
  <c r="BZ542" i="27"/>
  <c r="BX542" i="27"/>
  <c r="BW542" i="27"/>
  <c r="BV542" i="27"/>
  <c r="BU542" i="27"/>
  <c r="BT542" i="27"/>
  <c r="BS542" i="27"/>
  <c r="BR542" i="27"/>
  <c r="BQ542" i="27"/>
  <c r="BP542" i="27"/>
  <c r="BO542" i="27"/>
  <c r="BN542" i="27"/>
  <c r="BM542" i="27"/>
  <c r="CL542" i="27" s="1"/>
  <c r="BL542" i="27"/>
  <c r="CK542" i="27" s="1"/>
  <c r="BK542" i="27"/>
  <c r="CJ542" i="27" s="1"/>
  <c r="BJ542" i="27"/>
  <c r="CI542" i="27" s="1"/>
  <c r="BI542" i="27"/>
  <c r="BH542" i="27"/>
  <c r="BG542" i="27"/>
  <c r="CD541" i="27"/>
  <c r="CC541" i="27"/>
  <c r="CB541" i="27"/>
  <c r="BZ541" i="27"/>
  <c r="BY541" i="27"/>
  <c r="BX541" i="27"/>
  <c r="BW541" i="27"/>
  <c r="BU541" i="27"/>
  <c r="BT541" i="27"/>
  <c r="BS541" i="27"/>
  <c r="BR541" i="27"/>
  <c r="BQ541" i="27"/>
  <c r="BP541" i="27"/>
  <c r="BO541" i="27"/>
  <c r="BN541" i="27"/>
  <c r="BM541" i="27"/>
  <c r="CL541" i="27" s="1"/>
  <c r="BL541" i="27"/>
  <c r="CK541" i="27" s="1"/>
  <c r="BK541" i="27"/>
  <c r="CJ541" i="27" s="1"/>
  <c r="BJ541" i="27"/>
  <c r="CI541" i="27" s="1"/>
  <c r="BI541" i="27"/>
  <c r="CH541" i="27" s="1"/>
  <c r="BH541" i="27"/>
  <c r="CG541" i="27" s="1"/>
  <c r="BG541" i="27"/>
  <c r="CF541" i="27" s="1"/>
  <c r="CD540" i="27"/>
  <c r="CC540" i="27"/>
  <c r="CB540" i="27"/>
  <c r="BZ540" i="27"/>
  <c r="BY540" i="27"/>
  <c r="BX540" i="27"/>
  <c r="BW540" i="27"/>
  <c r="BU540" i="27"/>
  <c r="BT540" i="27"/>
  <c r="BS540" i="27"/>
  <c r="BR540" i="27"/>
  <c r="BQ540" i="27"/>
  <c r="BP540" i="27"/>
  <c r="BO540" i="27"/>
  <c r="BN540" i="27"/>
  <c r="BM540" i="27"/>
  <c r="CL540" i="27" s="1"/>
  <c r="BL540" i="27"/>
  <c r="CK540" i="27" s="1"/>
  <c r="BK540" i="27"/>
  <c r="CJ540" i="27" s="1"/>
  <c r="BJ540" i="27"/>
  <c r="CI540" i="27" s="1"/>
  <c r="BI540" i="27"/>
  <c r="CH540" i="27" s="1"/>
  <c r="BH540" i="27"/>
  <c r="CG540" i="27" s="1"/>
  <c r="BG540" i="27"/>
  <c r="CF540" i="27" s="1"/>
  <c r="CD539" i="27"/>
  <c r="CC539" i="27"/>
  <c r="BZ539" i="27"/>
  <c r="BX539" i="27"/>
  <c r="BW539" i="27"/>
  <c r="BV539" i="27"/>
  <c r="BU539" i="27"/>
  <c r="BT539" i="27"/>
  <c r="BS539" i="27"/>
  <c r="BR539" i="27"/>
  <c r="BQ539" i="27"/>
  <c r="BP539" i="27"/>
  <c r="BO539" i="27"/>
  <c r="BN539" i="27"/>
  <c r="BM539" i="27"/>
  <c r="CL539" i="27" s="1"/>
  <c r="BL539" i="27"/>
  <c r="CK539" i="27" s="1"/>
  <c r="BK539" i="27"/>
  <c r="CJ539" i="27" s="1"/>
  <c r="BJ539" i="27"/>
  <c r="CI539" i="27" s="1"/>
  <c r="BI539" i="27"/>
  <c r="BH539" i="27"/>
  <c r="BG539" i="27"/>
  <c r="CD538" i="27"/>
  <c r="CC538" i="27"/>
  <c r="CB538" i="27"/>
  <c r="BZ538" i="27"/>
  <c r="BY538" i="27"/>
  <c r="BX538" i="27"/>
  <c r="BW538" i="27"/>
  <c r="BU538" i="27"/>
  <c r="BT538" i="27"/>
  <c r="BS538" i="27"/>
  <c r="BR538" i="27"/>
  <c r="BQ538" i="27"/>
  <c r="BP538" i="27"/>
  <c r="BO538" i="27"/>
  <c r="BN538" i="27"/>
  <c r="BM538" i="27"/>
  <c r="CL538" i="27" s="1"/>
  <c r="BL538" i="27"/>
  <c r="CK538" i="27" s="1"/>
  <c r="BK538" i="27"/>
  <c r="CJ538" i="27" s="1"/>
  <c r="BJ538" i="27"/>
  <c r="CI538" i="27" s="1"/>
  <c r="BI538" i="27"/>
  <c r="CH538" i="27" s="1"/>
  <c r="BH538" i="27"/>
  <c r="CG538" i="27" s="1"/>
  <c r="BG538" i="27"/>
  <c r="CF538" i="27" s="1"/>
  <c r="CD537" i="27"/>
  <c r="CC537" i="27"/>
  <c r="CB537" i="27"/>
  <c r="BZ537" i="27"/>
  <c r="BY537" i="27"/>
  <c r="BX537" i="27"/>
  <c r="BW537" i="27"/>
  <c r="BU537" i="27"/>
  <c r="BT537" i="27"/>
  <c r="BS537" i="27"/>
  <c r="BR537" i="27"/>
  <c r="BQ537" i="27"/>
  <c r="BP537" i="27"/>
  <c r="BO537" i="27"/>
  <c r="BN537" i="27"/>
  <c r="BM537" i="27"/>
  <c r="CL537" i="27" s="1"/>
  <c r="BL537" i="27"/>
  <c r="CK537" i="27" s="1"/>
  <c r="BK537" i="27"/>
  <c r="CJ537" i="27" s="1"/>
  <c r="BJ537" i="27"/>
  <c r="CI537" i="27" s="1"/>
  <c r="BI537" i="27"/>
  <c r="CH537" i="27" s="1"/>
  <c r="BH537" i="27"/>
  <c r="CG537" i="27" s="1"/>
  <c r="BG537" i="27"/>
  <c r="CF537" i="27" s="1"/>
  <c r="CD536" i="27"/>
  <c r="CC536" i="27"/>
  <c r="BZ536" i="27"/>
  <c r="BX536" i="27"/>
  <c r="BW536" i="27"/>
  <c r="BV536" i="27"/>
  <c r="BU536" i="27"/>
  <c r="BS536" i="27"/>
  <c r="BR536" i="27"/>
  <c r="BQ536" i="27"/>
  <c r="BO536" i="27"/>
  <c r="BN536" i="27"/>
  <c r="BM536" i="27"/>
  <c r="CL536" i="27" s="1"/>
  <c r="BL536" i="27"/>
  <c r="CK536" i="27" s="1"/>
  <c r="BK536" i="27"/>
  <c r="CJ536" i="27" s="1"/>
  <c r="BJ536" i="27"/>
  <c r="CI536" i="27" s="1"/>
  <c r="BI536" i="27"/>
  <c r="BH536" i="27"/>
  <c r="BG536" i="27"/>
  <c r="CD535" i="27"/>
  <c r="CC535" i="27"/>
  <c r="CB535" i="27"/>
  <c r="CA535" i="27"/>
  <c r="BZ535" i="27"/>
  <c r="BY535" i="27"/>
  <c r="BX535" i="27"/>
  <c r="BW535" i="27"/>
  <c r="BU535" i="27"/>
  <c r="BT535" i="27"/>
  <c r="BS535" i="27"/>
  <c r="BR535" i="27"/>
  <c r="BQ535" i="27"/>
  <c r="BP535" i="27"/>
  <c r="BO535" i="27"/>
  <c r="BN535" i="27"/>
  <c r="BM535" i="27"/>
  <c r="CL535" i="27" s="1"/>
  <c r="BL535" i="27"/>
  <c r="CK535" i="27" s="1"/>
  <c r="BK535" i="27"/>
  <c r="CJ535" i="27" s="1"/>
  <c r="BJ535" i="27"/>
  <c r="CI535" i="27" s="1"/>
  <c r="BI535" i="27"/>
  <c r="CH535" i="27" s="1"/>
  <c r="BH535" i="27"/>
  <c r="CG535" i="27" s="1"/>
  <c r="BG535" i="27"/>
  <c r="CF535" i="27" s="1"/>
  <c r="CD534" i="27"/>
  <c r="CC534" i="27"/>
  <c r="CB534" i="27"/>
  <c r="CA534" i="27"/>
  <c r="BZ534" i="27"/>
  <c r="BY534" i="27"/>
  <c r="BX534" i="27"/>
  <c r="BW534" i="27"/>
  <c r="BU534" i="27"/>
  <c r="BT534" i="27"/>
  <c r="BS534" i="27"/>
  <c r="BR534" i="27"/>
  <c r="BQ534" i="27"/>
  <c r="BP534" i="27"/>
  <c r="BO534" i="27"/>
  <c r="BN534" i="27"/>
  <c r="BM534" i="27"/>
  <c r="CL534" i="27" s="1"/>
  <c r="BL534" i="27"/>
  <c r="CK534" i="27" s="1"/>
  <c r="BK534" i="27"/>
  <c r="CJ534" i="27" s="1"/>
  <c r="BJ534" i="27"/>
  <c r="CI534" i="27" s="1"/>
  <c r="BI534" i="27"/>
  <c r="CH534" i="27" s="1"/>
  <c r="BH534" i="27"/>
  <c r="CG534" i="27" s="1"/>
  <c r="BG534" i="27"/>
  <c r="CF534" i="27" s="1"/>
  <c r="CD533" i="27"/>
  <c r="CC533" i="27"/>
  <c r="BZ533" i="27"/>
  <c r="BX533" i="27"/>
  <c r="BW533" i="27"/>
  <c r="BV533" i="27"/>
  <c r="BU533" i="27"/>
  <c r="BT533" i="27"/>
  <c r="BS533" i="27"/>
  <c r="BR533" i="27"/>
  <c r="BQ533" i="27"/>
  <c r="BP533" i="27"/>
  <c r="BO533" i="27"/>
  <c r="BN533" i="27"/>
  <c r="BM533" i="27"/>
  <c r="CL533" i="27" s="1"/>
  <c r="BL533" i="27"/>
  <c r="CK533" i="27" s="1"/>
  <c r="BK533" i="27"/>
  <c r="CJ533" i="27" s="1"/>
  <c r="BJ533" i="27"/>
  <c r="CI533" i="27" s="1"/>
  <c r="BI533" i="27"/>
  <c r="BH533" i="27"/>
  <c r="BG533" i="27"/>
  <c r="CD532" i="27"/>
  <c r="CC532" i="27"/>
  <c r="CB532" i="27"/>
  <c r="BZ532" i="27"/>
  <c r="BY532" i="27"/>
  <c r="BX532" i="27"/>
  <c r="BW532" i="27"/>
  <c r="BV532" i="27"/>
  <c r="BU532" i="27"/>
  <c r="BT532" i="27"/>
  <c r="BS532" i="27"/>
  <c r="BQ532" i="27"/>
  <c r="BP532" i="27"/>
  <c r="BO532" i="27"/>
  <c r="BN532" i="27"/>
  <c r="BM532" i="27"/>
  <c r="CL532" i="27" s="1"/>
  <c r="BL532" i="27"/>
  <c r="CK532" i="27" s="1"/>
  <c r="BK532" i="27"/>
  <c r="CJ532" i="27" s="1"/>
  <c r="BI532" i="27"/>
  <c r="CH532" i="27" s="1"/>
  <c r="BH532" i="27"/>
  <c r="CG532" i="27" s="1"/>
  <c r="BG532" i="27"/>
  <c r="CF532" i="27" s="1"/>
  <c r="CD531" i="27"/>
  <c r="CC531" i="27"/>
  <c r="CB531" i="27"/>
  <c r="BZ531" i="27"/>
  <c r="BY531" i="27"/>
  <c r="BX531" i="27"/>
  <c r="BW531" i="27"/>
  <c r="BU531" i="27"/>
  <c r="BT531" i="27"/>
  <c r="BS531" i="27"/>
  <c r="BQ531" i="27"/>
  <c r="BP531" i="27"/>
  <c r="BO531" i="27"/>
  <c r="BN531" i="27"/>
  <c r="BM531" i="27"/>
  <c r="CL531" i="27" s="1"/>
  <c r="BL531" i="27"/>
  <c r="CK531" i="27" s="1"/>
  <c r="BK531" i="27"/>
  <c r="CJ531" i="27" s="1"/>
  <c r="BI531" i="27"/>
  <c r="CH531" i="27" s="1"/>
  <c r="BH531" i="27"/>
  <c r="CG531" i="27" s="1"/>
  <c r="BG531" i="27"/>
  <c r="CF531" i="27" s="1"/>
  <c r="CD530" i="27"/>
  <c r="CC530" i="27"/>
  <c r="CB530" i="27"/>
  <c r="CA530" i="27"/>
  <c r="BZ530" i="27"/>
  <c r="BY530" i="27"/>
  <c r="BX530" i="27"/>
  <c r="BW530" i="27"/>
  <c r="BU530" i="27"/>
  <c r="BT530" i="27"/>
  <c r="BS530" i="27"/>
  <c r="BR530" i="27"/>
  <c r="BQ530" i="27"/>
  <c r="BP530" i="27"/>
  <c r="BO530" i="27"/>
  <c r="BN530" i="27"/>
  <c r="BM530" i="27"/>
  <c r="CL530" i="27" s="1"/>
  <c r="BL530" i="27"/>
  <c r="CK530" i="27" s="1"/>
  <c r="BK530" i="27"/>
  <c r="CJ530" i="27" s="1"/>
  <c r="BJ530" i="27"/>
  <c r="CI530" i="27" s="1"/>
  <c r="BI530" i="27"/>
  <c r="CH530" i="27" s="1"/>
  <c r="BH530" i="27"/>
  <c r="CG530" i="27" s="1"/>
  <c r="BG530" i="27"/>
  <c r="CF530" i="27" s="1"/>
  <c r="BF601" i="27"/>
  <c r="CE601" i="27" s="1"/>
  <c r="BF600" i="27"/>
  <c r="CE600" i="27" s="1"/>
  <c r="BF599" i="27"/>
  <c r="CE599" i="27" s="1"/>
  <c r="BF598" i="27"/>
  <c r="CE598" i="27" s="1"/>
  <c r="BF597" i="27"/>
  <c r="CE597" i="27" s="1"/>
  <c r="BF596" i="27"/>
  <c r="CE596" i="27" s="1"/>
  <c r="BF595" i="27"/>
  <c r="CE595" i="27" s="1"/>
  <c r="BF594" i="27"/>
  <c r="CE594" i="27" s="1"/>
  <c r="BF593" i="27"/>
  <c r="CE593" i="27" s="1"/>
  <c r="BF592" i="27"/>
  <c r="CE592" i="27" s="1"/>
  <c r="BF591" i="27"/>
  <c r="CE591" i="27" s="1"/>
  <c r="BF590" i="27"/>
  <c r="CE590" i="27" s="1"/>
  <c r="BF589" i="27"/>
  <c r="CE589" i="27" s="1"/>
  <c r="BF588" i="27"/>
  <c r="CE588" i="27" s="1"/>
  <c r="BF587" i="27"/>
  <c r="CE587" i="27" s="1"/>
  <c r="BF586" i="27"/>
  <c r="CE586" i="27" s="1"/>
  <c r="BF585" i="27"/>
  <c r="CE585" i="27" s="1"/>
  <c r="BF584" i="27"/>
  <c r="CE584" i="27" s="1"/>
  <c r="BF583" i="27"/>
  <c r="CE583" i="27" s="1"/>
  <c r="BF582" i="27"/>
  <c r="CE582" i="27" s="1"/>
  <c r="BF581" i="27"/>
  <c r="CE581" i="27" s="1"/>
  <c r="BF580" i="27"/>
  <c r="CE580" i="27" s="1"/>
  <c r="BF579" i="27"/>
  <c r="CE579" i="27" s="1"/>
  <c r="BF578" i="27"/>
  <c r="CE578" i="27" s="1"/>
  <c r="BF577" i="27"/>
  <c r="CE577" i="27" s="1"/>
  <c r="BF576" i="27"/>
  <c r="CE576" i="27" s="1"/>
  <c r="BF575" i="27"/>
  <c r="CE575" i="27" s="1"/>
  <c r="BF574" i="27"/>
  <c r="CE574" i="27" s="1"/>
  <c r="BF573" i="27"/>
  <c r="CE573" i="27" s="1"/>
  <c r="BF572" i="27"/>
  <c r="CE572" i="27" s="1"/>
  <c r="BF571" i="27"/>
  <c r="CE571" i="27" s="1"/>
  <c r="BF570" i="27"/>
  <c r="CE570" i="27" s="1"/>
  <c r="BF569" i="27"/>
  <c r="CE569" i="27" s="1"/>
  <c r="BF568" i="27"/>
  <c r="CE568" i="27" s="1"/>
  <c r="BF567" i="27"/>
  <c r="CE567" i="27" s="1"/>
  <c r="BF566" i="27"/>
  <c r="CE566" i="27" s="1"/>
  <c r="BF565" i="27"/>
  <c r="CE565" i="27" s="1"/>
  <c r="BF564" i="27"/>
  <c r="CE564" i="27" s="1"/>
  <c r="BF563" i="27"/>
  <c r="CE563" i="27" s="1"/>
  <c r="BF562" i="27"/>
  <c r="CE562" i="27" s="1"/>
  <c r="BF561" i="27"/>
  <c r="CE561" i="27" s="1"/>
  <c r="BF560" i="27"/>
  <c r="CE560" i="27" s="1"/>
  <c r="BF559" i="27"/>
  <c r="CE559" i="27" s="1"/>
  <c r="BF558" i="27"/>
  <c r="CE558" i="27" s="1"/>
  <c r="BF557" i="27"/>
  <c r="CE557" i="27" s="1"/>
  <c r="BF554" i="27"/>
  <c r="CE554" i="27" s="1"/>
  <c r="BF553" i="27"/>
  <c r="CE553" i="27" s="1"/>
  <c r="BF552" i="27"/>
  <c r="CE552" i="27" s="1"/>
  <c r="BF551" i="27"/>
  <c r="CE551" i="27" s="1"/>
  <c r="BF550" i="27"/>
  <c r="CE550" i="27" s="1"/>
  <c r="BF549" i="27"/>
  <c r="CE549" i="27" s="1"/>
  <c r="BF548" i="27"/>
  <c r="CE548" i="27" s="1"/>
  <c r="BF547" i="27"/>
  <c r="CE547" i="27" s="1"/>
  <c r="BF546" i="27"/>
  <c r="CE546" i="27" s="1"/>
  <c r="BF545" i="27"/>
  <c r="CE545" i="27" s="1"/>
  <c r="BF544" i="27"/>
  <c r="CE544" i="27" s="1"/>
  <c r="BF543" i="27"/>
  <c r="CE543" i="27" s="1"/>
  <c r="BF542" i="27"/>
  <c r="CE542" i="27" s="1"/>
  <c r="BF541" i="27"/>
  <c r="CE541" i="27" s="1"/>
  <c r="BF540" i="27"/>
  <c r="CE540" i="27" s="1"/>
  <c r="BF539" i="27"/>
  <c r="CE539" i="27" s="1"/>
  <c r="BF538" i="27"/>
  <c r="CE538" i="27" s="1"/>
  <c r="BF537" i="27"/>
  <c r="CE537" i="27" s="1"/>
  <c r="BF536" i="27"/>
  <c r="CE536" i="27" s="1"/>
  <c r="BF535" i="27"/>
  <c r="CE535" i="27" s="1"/>
  <c r="BF534" i="27"/>
  <c r="CE534" i="27" s="1"/>
  <c r="BF533" i="27"/>
  <c r="CE533" i="27" s="1"/>
  <c r="BF532" i="27"/>
  <c r="CE532" i="27" s="1"/>
  <c r="BF531" i="27"/>
  <c r="CE531" i="27" s="1"/>
  <c r="BF530" i="27"/>
  <c r="CE530" i="27" s="1"/>
  <c r="BE63" i="27"/>
  <c r="B16" i="25"/>
  <c r="BS83" i="27"/>
  <c r="BR83" i="27"/>
  <c r="BQ83" i="27"/>
  <c r="BP83" i="27"/>
  <c r="BN83" i="27"/>
  <c r="BM83" i="27"/>
  <c r="BL83" i="27"/>
  <c r="BJ83" i="27"/>
  <c r="BI83" i="27"/>
  <c r="BH83" i="27"/>
  <c r="BG83" i="27"/>
  <c r="BF83" i="27"/>
  <c r="BE83" i="27"/>
  <c r="BT82" i="27"/>
  <c r="BS82" i="27"/>
  <c r="BR82" i="27"/>
  <c r="BP82" i="27"/>
  <c r="BO82" i="27"/>
  <c r="BN82" i="27"/>
  <c r="BM82" i="27"/>
  <c r="BL82" i="27"/>
  <c r="BK82" i="27"/>
  <c r="BJ82" i="27"/>
  <c r="BI82" i="27"/>
  <c r="BH82" i="27"/>
  <c r="BG82" i="27"/>
  <c r="BF82" i="27"/>
  <c r="BE82" i="27"/>
  <c r="BT81" i="27"/>
  <c r="BS81" i="27"/>
  <c r="BR81" i="27"/>
  <c r="BP81" i="27"/>
  <c r="BO81" i="27"/>
  <c r="BN81" i="27"/>
  <c r="BM81" i="27"/>
  <c r="BL81" i="27"/>
  <c r="BK81" i="27"/>
  <c r="BJ81" i="27"/>
  <c r="BI81" i="27"/>
  <c r="BH81" i="27"/>
  <c r="BG81" i="27"/>
  <c r="BF81" i="27"/>
  <c r="BE81" i="27"/>
  <c r="BS80" i="27"/>
  <c r="BR80" i="27"/>
  <c r="BQ80" i="27"/>
  <c r="BP80" i="27"/>
  <c r="BO80" i="27"/>
  <c r="BN80" i="27"/>
  <c r="BM80" i="27"/>
  <c r="BL80" i="27"/>
  <c r="BK80" i="27"/>
  <c r="BJ80" i="27"/>
  <c r="BI80" i="27"/>
  <c r="BH80" i="27"/>
  <c r="BG80" i="27"/>
  <c r="BF80" i="27"/>
  <c r="BE80" i="27"/>
  <c r="BT79" i="27"/>
  <c r="BS79" i="27"/>
  <c r="BR79" i="27"/>
  <c r="BQ79" i="27"/>
  <c r="BP79" i="27"/>
  <c r="BO79" i="27"/>
  <c r="BN79" i="27"/>
  <c r="BL79" i="27"/>
  <c r="BK79" i="27"/>
  <c r="BJ79" i="27"/>
  <c r="BI79" i="27"/>
  <c r="BH79" i="27"/>
  <c r="BG79" i="27"/>
  <c r="BF79" i="27"/>
  <c r="BT78" i="27"/>
  <c r="BS78" i="27"/>
  <c r="BR78" i="27"/>
  <c r="BP78" i="27"/>
  <c r="BO78" i="27"/>
  <c r="BN78" i="27"/>
  <c r="BL78" i="27"/>
  <c r="BK78" i="27"/>
  <c r="BJ78" i="27"/>
  <c r="BI78" i="27"/>
  <c r="BH78" i="27"/>
  <c r="BG78" i="27"/>
  <c r="BF78" i="27"/>
  <c r="BT77" i="27"/>
  <c r="BS77" i="27"/>
  <c r="BR77" i="27"/>
  <c r="BP77" i="27"/>
  <c r="BO77" i="27"/>
  <c r="BN77" i="27"/>
  <c r="BM77" i="27"/>
  <c r="BL77" i="27"/>
  <c r="BK77" i="27"/>
  <c r="BJ77" i="27"/>
  <c r="BI77" i="27"/>
  <c r="BH77" i="27"/>
  <c r="BG77" i="27"/>
  <c r="BF77" i="27"/>
  <c r="BE77" i="27"/>
  <c r="BS76" i="27"/>
  <c r="BR76" i="27"/>
  <c r="BQ76" i="27"/>
  <c r="BP76" i="27"/>
  <c r="BO76" i="27"/>
  <c r="BN76" i="27"/>
  <c r="BM76" i="27"/>
  <c r="BL76" i="27"/>
  <c r="BK76" i="27"/>
  <c r="BJ76" i="27"/>
  <c r="BI76" i="27"/>
  <c r="BH76" i="27"/>
  <c r="BG76" i="27"/>
  <c r="BF76" i="27"/>
  <c r="BE76" i="27"/>
  <c r="BT75" i="27"/>
  <c r="BS75" i="27"/>
  <c r="BR75" i="27"/>
  <c r="BP75" i="27"/>
  <c r="BO75" i="27"/>
  <c r="BN75" i="27"/>
  <c r="BM75" i="27"/>
  <c r="BL75" i="27"/>
  <c r="BK75" i="27"/>
  <c r="BJ75" i="27"/>
  <c r="BI75" i="27"/>
  <c r="BH75" i="27"/>
  <c r="BG75" i="27"/>
  <c r="BF75" i="27"/>
  <c r="BE75" i="27"/>
  <c r="BT74" i="27"/>
  <c r="BS74" i="27"/>
  <c r="BR74" i="27"/>
  <c r="BP74" i="27"/>
  <c r="BN74" i="27"/>
  <c r="BM74" i="27"/>
  <c r="BL74" i="27"/>
  <c r="BK74" i="27"/>
  <c r="BJ74" i="27"/>
  <c r="BI74" i="27"/>
  <c r="BH74" i="27"/>
  <c r="BG74" i="27"/>
  <c r="BF74" i="27"/>
  <c r="BE74" i="27"/>
  <c r="BS73" i="27"/>
  <c r="BR73" i="27"/>
  <c r="BQ73" i="27"/>
  <c r="BP73" i="27"/>
  <c r="BN73" i="27"/>
  <c r="BM73" i="27"/>
  <c r="BL73" i="27"/>
  <c r="BK73" i="27"/>
  <c r="BJ73" i="27"/>
  <c r="BI73" i="27"/>
  <c r="BH73" i="27"/>
  <c r="BG73" i="27"/>
  <c r="BF73" i="27"/>
  <c r="BE73" i="27"/>
  <c r="BT72" i="27"/>
  <c r="BS72" i="27"/>
  <c r="BR72" i="27"/>
  <c r="BP72" i="27"/>
  <c r="BO72" i="27"/>
  <c r="BN72" i="27"/>
  <c r="BM72" i="27"/>
  <c r="BL72" i="27"/>
  <c r="BK72" i="27"/>
  <c r="BJ72" i="27"/>
  <c r="BH72" i="27"/>
  <c r="BG72" i="27"/>
  <c r="BF72" i="27"/>
  <c r="BE72" i="27"/>
  <c r="BT71" i="27"/>
  <c r="BS71" i="27"/>
  <c r="BR71" i="27"/>
  <c r="BP71" i="27"/>
  <c r="BO71" i="27"/>
  <c r="BN71" i="27"/>
  <c r="BM71" i="27"/>
  <c r="BL71" i="27"/>
  <c r="BK71" i="27"/>
  <c r="BJ71" i="27"/>
  <c r="BI71" i="27"/>
  <c r="BH71" i="27"/>
  <c r="BG71" i="27"/>
  <c r="BF71" i="27"/>
  <c r="BE71" i="27"/>
  <c r="BS70" i="27"/>
  <c r="BR70" i="27"/>
  <c r="BQ70" i="27"/>
  <c r="BP70" i="27"/>
  <c r="BO70" i="27"/>
  <c r="BN70" i="27"/>
  <c r="BM70" i="27"/>
  <c r="BL70" i="27"/>
  <c r="BK70" i="27"/>
  <c r="BJ70" i="27"/>
  <c r="BI70" i="27"/>
  <c r="BH70" i="27"/>
  <c r="BG70" i="27"/>
  <c r="BF70" i="27"/>
  <c r="BE70" i="27"/>
  <c r="BT69" i="27"/>
  <c r="BS69" i="27"/>
  <c r="BR69" i="27"/>
  <c r="BP69" i="27"/>
  <c r="BO69" i="27"/>
  <c r="BN69" i="27"/>
  <c r="BM69" i="27"/>
  <c r="BL69" i="27"/>
  <c r="BK69" i="27"/>
  <c r="BJ69" i="27"/>
  <c r="BI69" i="27"/>
  <c r="BH69" i="27"/>
  <c r="BG69" i="27"/>
  <c r="BF69" i="27"/>
  <c r="BE69" i="27"/>
  <c r="BT68" i="27"/>
  <c r="BS68" i="27"/>
  <c r="BR68" i="27"/>
  <c r="BP68" i="27"/>
  <c r="BO68" i="27"/>
  <c r="BN68" i="27"/>
  <c r="BM68" i="27"/>
  <c r="BL68" i="27"/>
  <c r="BK68" i="27"/>
  <c r="BJ68" i="27"/>
  <c r="BI68" i="27"/>
  <c r="BH68" i="27"/>
  <c r="BG68" i="27"/>
  <c r="BF68" i="27"/>
  <c r="BE68" i="27"/>
  <c r="BS67" i="27"/>
  <c r="BR67" i="27"/>
  <c r="BQ67" i="27"/>
  <c r="BP67" i="27"/>
  <c r="BO67" i="27"/>
  <c r="BN67" i="27"/>
  <c r="BM67" i="27"/>
  <c r="BL67" i="27"/>
  <c r="BK67" i="27"/>
  <c r="BJ67" i="27"/>
  <c r="BI67" i="27"/>
  <c r="BH67" i="27"/>
  <c r="BG67" i="27"/>
  <c r="BF67" i="27"/>
  <c r="BE67" i="27"/>
  <c r="BT66" i="27"/>
  <c r="BS66" i="27"/>
  <c r="BR66" i="27"/>
  <c r="BQ66" i="27"/>
  <c r="BP66" i="27"/>
  <c r="BO66" i="27"/>
  <c r="BN66" i="27"/>
  <c r="BM66" i="27"/>
  <c r="BL66" i="27"/>
  <c r="BK66" i="27"/>
  <c r="BJ66" i="27"/>
  <c r="BI66" i="27"/>
  <c r="BH66" i="27"/>
  <c r="BG66" i="27"/>
  <c r="BF66" i="27"/>
  <c r="BE66" i="27"/>
  <c r="BT65" i="27"/>
  <c r="BS65" i="27"/>
  <c r="BR65" i="27"/>
  <c r="BQ65" i="27"/>
  <c r="BP65" i="27"/>
  <c r="BO65" i="27"/>
  <c r="BN65" i="27"/>
  <c r="BM65" i="27"/>
  <c r="BL65" i="27"/>
  <c r="BJ65" i="27"/>
  <c r="BI65" i="27"/>
  <c r="BH65" i="27"/>
  <c r="BG65" i="27"/>
  <c r="BF65" i="27"/>
  <c r="BE65" i="27"/>
  <c r="BT64" i="27"/>
  <c r="BS64" i="27"/>
  <c r="BR64" i="27"/>
  <c r="BQ64" i="27"/>
  <c r="BP64" i="27"/>
  <c r="BO64" i="27"/>
  <c r="BN64" i="27"/>
  <c r="BM64" i="27"/>
  <c r="BL64" i="27"/>
  <c r="BJ64" i="27"/>
  <c r="BI64" i="27"/>
  <c r="BH64" i="27"/>
  <c r="BG64" i="27"/>
  <c r="BF64" i="27"/>
  <c r="BE64" i="27"/>
  <c r="BS63" i="27"/>
  <c r="BR63" i="27"/>
  <c r="BQ63" i="27"/>
  <c r="BP63" i="27"/>
  <c r="BO63" i="27"/>
  <c r="BN63" i="27"/>
  <c r="BM63" i="27"/>
  <c r="BL63" i="27"/>
  <c r="BK63" i="27"/>
  <c r="BJ63" i="27"/>
  <c r="BI63" i="27"/>
  <c r="BH63" i="27"/>
  <c r="BG63" i="27"/>
  <c r="BF63" i="27"/>
  <c r="B11" i="25"/>
  <c r="C17" i="25" l="1"/>
  <c r="B18" i="25" s="1"/>
  <c r="G827" i="27"/>
  <c r="G603" i="27"/>
  <c r="G1280" i="27"/>
  <c r="G375" i="27"/>
  <c r="G1056" i="27"/>
  <c r="G151" i="27"/>
  <c r="G1508" i="27"/>
  <c r="C39" i="30"/>
  <c r="C40" i="30"/>
  <c r="C41" i="30"/>
  <c r="C42" i="30"/>
  <c r="C43" i="30"/>
  <c r="C44" i="30"/>
  <c r="C45" i="30"/>
  <c r="C46" i="30"/>
  <c r="C47" i="30"/>
  <c r="C48" i="30"/>
  <c r="C49" i="30"/>
  <c r="C50" i="30"/>
  <c r="C51" i="30"/>
  <c r="C52" i="30"/>
  <c r="C53" i="30"/>
  <c r="C54" i="30"/>
  <c r="C55" i="30"/>
  <c r="C56" i="30"/>
  <c r="C57" i="30"/>
  <c r="C58" i="30"/>
  <c r="C59" i="30"/>
  <c r="C60" i="30"/>
  <c r="C61" i="30"/>
  <c r="C62" i="30"/>
  <c r="C63" i="30"/>
  <c r="C64" i="30"/>
  <c r="C65" i="30"/>
  <c r="C66" i="30"/>
  <c r="C67" i="30"/>
  <c r="C68" i="30"/>
  <c r="C69" i="30"/>
  <c r="B39" i="30"/>
  <c r="B40" i="30"/>
  <c r="B41" i="30"/>
  <c r="B42" i="30"/>
  <c r="B43" i="30"/>
  <c r="B44" i="30"/>
  <c r="B45" i="30"/>
  <c r="B46" i="30"/>
  <c r="B47" i="30"/>
  <c r="B48" i="30"/>
  <c r="B49" i="30"/>
  <c r="B50" i="30"/>
  <c r="B51" i="30"/>
  <c r="B52" i="30"/>
  <c r="B53" i="30"/>
  <c r="B54" i="30"/>
  <c r="B55" i="30"/>
  <c r="B56" i="30"/>
  <c r="B57" i="30"/>
  <c r="B58" i="30"/>
  <c r="B59" i="30"/>
  <c r="B60" i="30"/>
  <c r="D60" i="30" s="1"/>
  <c r="B61" i="30"/>
  <c r="B62" i="30"/>
  <c r="B63" i="30"/>
  <c r="B64" i="30"/>
  <c r="B65" i="30"/>
  <c r="B66" i="30"/>
  <c r="B67" i="30"/>
  <c r="B68" i="30"/>
  <c r="B69" i="30"/>
  <c r="C38" i="30"/>
  <c r="B38" i="30"/>
  <c r="C37" i="30"/>
  <c r="B37" i="30"/>
  <c r="C36" i="30"/>
  <c r="B36" i="30"/>
  <c r="C35" i="30"/>
  <c r="B35" i="30"/>
  <c r="C34" i="30"/>
  <c r="B34" i="30"/>
  <c r="C33" i="30"/>
  <c r="B33" i="30"/>
  <c r="C32" i="30"/>
  <c r="B32" i="30"/>
  <c r="C31" i="30"/>
  <c r="D31" i="30" s="1"/>
  <c r="B31" i="30"/>
  <c r="C30" i="30"/>
  <c r="B30" i="30"/>
  <c r="C29" i="30"/>
  <c r="B29" i="30"/>
  <c r="C28" i="30"/>
  <c r="B28" i="30"/>
  <c r="C27" i="30"/>
  <c r="B27" i="30"/>
  <c r="C26" i="30"/>
  <c r="B26" i="30"/>
  <c r="C25" i="30"/>
  <c r="B25" i="30"/>
  <c r="C24" i="30"/>
  <c r="B24" i="30"/>
  <c r="C23" i="30"/>
  <c r="D23" i="30" s="1"/>
  <c r="B23" i="30"/>
  <c r="C22" i="30"/>
  <c r="B22" i="30"/>
  <c r="C21" i="30"/>
  <c r="B21" i="30"/>
  <c r="C20" i="30"/>
  <c r="B20" i="30"/>
  <c r="C19" i="30"/>
  <c r="D19" i="30" s="1"/>
  <c r="B19" i="30"/>
  <c r="C18" i="30"/>
  <c r="B18" i="30"/>
  <c r="C17" i="30"/>
  <c r="B17" i="30"/>
  <c r="C16" i="30"/>
  <c r="B16" i="30"/>
  <c r="C15" i="30"/>
  <c r="B15" i="30"/>
  <c r="C14" i="30"/>
  <c r="B14" i="30"/>
  <c r="C13" i="30"/>
  <c r="B13" i="30"/>
  <c r="C12" i="30"/>
  <c r="B12" i="30"/>
  <c r="C11" i="30"/>
  <c r="B11" i="30"/>
  <c r="C10" i="30"/>
  <c r="B10" i="30"/>
  <c r="C9" i="30"/>
  <c r="B9" i="30"/>
  <c r="C8" i="30"/>
  <c r="B8" i="30"/>
  <c r="C7" i="30"/>
  <c r="D7" i="30" s="1"/>
  <c r="B7" i="30"/>
  <c r="C6" i="30"/>
  <c r="B6" i="30"/>
  <c r="C5" i="30"/>
  <c r="B5" i="30"/>
  <c r="C4" i="30"/>
  <c r="B4" i="30"/>
  <c r="C3" i="30"/>
  <c r="D3" i="30" s="1"/>
  <c r="D15" i="29"/>
  <c r="E15" i="29" s="1"/>
  <c r="D16" i="29"/>
  <c r="E16" i="29" s="1"/>
  <c r="D17" i="29"/>
  <c r="E17" i="29" s="1"/>
  <c r="D18" i="29"/>
  <c r="E18" i="29" s="1"/>
  <c r="D19" i="29"/>
  <c r="E19" i="29" s="1"/>
  <c r="D20" i="29"/>
  <c r="E20" i="29" s="1"/>
  <c r="D21" i="29"/>
  <c r="E21" i="29" s="1"/>
  <c r="D22" i="29"/>
  <c r="E22" i="29" s="1"/>
  <c r="D23" i="29"/>
  <c r="E23" i="29" s="1"/>
  <c r="D24" i="29"/>
  <c r="E24" i="29" s="1"/>
  <c r="D25" i="29"/>
  <c r="E25" i="29" s="1"/>
  <c r="D26" i="29"/>
  <c r="E26" i="29" s="1"/>
  <c r="D27" i="29"/>
  <c r="E27" i="29" s="1"/>
  <c r="D28" i="29"/>
  <c r="E28" i="29" s="1"/>
  <c r="D29" i="29"/>
  <c r="E29" i="29" s="1"/>
  <c r="D30" i="29"/>
  <c r="E30" i="29" s="1"/>
  <c r="D31" i="29"/>
  <c r="E31" i="29" s="1"/>
  <c r="D32" i="29"/>
  <c r="E32" i="29" s="1"/>
  <c r="D33" i="29"/>
  <c r="E33" i="29" s="1"/>
  <c r="D34" i="29"/>
  <c r="E34" i="29" s="1"/>
  <c r="D35" i="29"/>
  <c r="E35" i="29" s="1"/>
  <c r="D36" i="29"/>
  <c r="E36" i="29" s="1"/>
  <c r="D37" i="29"/>
  <c r="E37" i="29" s="1"/>
  <c r="D38" i="29"/>
  <c r="E38" i="29" s="1"/>
  <c r="D39" i="29"/>
  <c r="E39" i="29" s="1"/>
  <c r="D40" i="29"/>
  <c r="E40" i="29" s="1"/>
  <c r="D41" i="29"/>
  <c r="E41" i="29" s="1"/>
  <c r="D42" i="29"/>
  <c r="E42" i="29" s="1"/>
  <c r="D43" i="29"/>
  <c r="E43" i="29" s="1"/>
  <c r="D44" i="29"/>
  <c r="E44" i="29" s="1"/>
  <c r="D45" i="29"/>
  <c r="E45" i="29" s="1"/>
  <c r="D46" i="29"/>
  <c r="E46" i="29" s="1"/>
  <c r="D47" i="29"/>
  <c r="E47" i="29" s="1"/>
  <c r="D48" i="29"/>
  <c r="E48" i="29" s="1"/>
  <c r="D49" i="29"/>
  <c r="E49" i="29" s="1"/>
  <c r="D50" i="29"/>
  <c r="E50" i="29" s="1"/>
  <c r="D51" i="29"/>
  <c r="E51" i="29" s="1"/>
  <c r="D52" i="29"/>
  <c r="E52" i="29" s="1"/>
  <c r="D53" i="29"/>
  <c r="E53" i="29" s="1"/>
  <c r="D54" i="29"/>
  <c r="E54" i="29" s="1"/>
  <c r="D55" i="29"/>
  <c r="E55" i="29" s="1"/>
  <c r="D56" i="29"/>
  <c r="E56" i="29" s="1"/>
  <c r="D57" i="29"/>
  <c r="E57" i="29" s="1"/>
  <c r="D58" i="29"/>
  <c r="E58" i="29" s="1"/>
  <c r="D59" i="29"/>
  <c r="E59" i="29" s="1"/>
  <c r="D60" i="29"/>
  <c r="E60" i="29" s="1"/>
  <c r="D61" i="29"/>
  <c r="E61" i="29" s="1"/>
  <c r="D62" i="29"/>
  <c r="E62" i="29" s="1"/>
  <c r="D63" i="29"/>
  <c r="E63" i="29" s="1"/>
  <c r="D64" i="29"/>
  <c r="E64" i="29" s="1"/>
  <c r="D65" i="29"/>
  <c r="E65" i="29" s="1"/>
  <c r="D66" i="29"/>
  <c r="E66" i="29" s="1"/>
  <c r="D67" i="29"/>
  <c r="E67" i="29" s="1"/>
  <c r="D68" i="29"/>
  <c r="E68" i="29" s="1"/>
  <c r="D69" i="29"/>
  <c r="E69" i="29" s="1"/>
  <c r="D70" i="29"/>
  <c r="E70" i="29" s="1"/>
  <c r="D71" i="29"/>
  <c r="E71" i="29" s="1"/>
  <c r="D72" i="29"/>
  <c r="E72" i="29" s="1"/>
  <c r="D73" i="29"/>
  <c r="E73" i="29" s="1"/>
  <c r="D74" i="29"/>
  <c r="E74" i="29" s="1"/>
  <c r="D75" i="29"/>
  <c r="E75" i="29" s="1"/>
  <c r="D76" i="29"/>
  <c r="E76" i="29" s="1"/>
  <c r="D77" i="29"/>
  <c r="E77" i="29" s="1"/>
  <c r="D78" i="29"/>
  <c r="E78" i="29" s="1"/>
  <c r="D79" i="29"/>
  <c r="E79" i="29" s="1"/>
  <c r="D14" i="29"/>
  <c r="E14" i="29" s="1"/>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D15" i="28"/>
  <c r="E15" i="28" s="1"/>
  <c r="D16" i="28"/>
  <c r="E16" i="28" s="1"/>
  <c r="D17" i="28"/>
  <c r="E17" i="28" s="1"/>
  <c r="D18" i="28"/>
  <c r="E18" i="28" s="1"/>
  <c r="D19" i="28"/>
  <c r="E19" i="28" s="1"/>
  <c r="D20" i="28"/>
  <c r="E20" i="28" s="1"/>
  <c r="D21" i="28"/>
  <c r="E21" i="28" s="1"/>
  <c r="D22" i="28"/>
  <c r="E22" i="28" s="1"/>
  <c r="D23" i="28"/>
  <c r="E23" i="28" s="1"/>
  <c r="D24" i="28"/>
  <c r="E24" i="28" s="1"/>
  <c r="D25" i="28"/>
  <c r="E25" i="28" s="1"/>
  <c r="D26" i="28"/>
  <c r="E26" i="28" s="1"/>
  <c r="D27" i="28"/>
  <c r="E27" i="28" s="1"/>
  <c r="D28" i="28"/>
  <c r="E28" i="28" s="1"/>
  <c r="D29" i="28"/>
  <c r="E29" i="28" s="1"/>
  <c r="D30" i="28"/>
  <c r="E30" i="28" s="1"/>
  <c r="D31" i="28"/>
  <c r="E31" i="28" s="1"/>
  <c r="D32" i="28"/>
  <c r="E32" i="28" s="1"/>
  <c r="D33" i="28"/>
  <c r="E33" i="28" s="1"/>
  <c r="D34" i="28"/>
  <c r="E34" i="28" s="1"/>
  <c r="D35" i="28"/>
  <c r="E35" i="28" s="1"/>
  <c r="D36" i="28"/>
  <c r="E36" i="28" s="1"/>
  <c r="D37" i="28"/>
  <c r="E37" i="28" s="1"/>
  <c r="D38" i="28"/>
  <c r="E38" i="28" s="1"/>
  <c r="D39" i="28"/>
  <c r="E39" i="28" s="1"/>
  <c r="D40" i="28"/>
  <c r="E40" i="28" s="1"/>
  <c r="D41" i="28"/>
  <c r="E41" i="28" s="1"/>
  <c r="D42" i="28"/>
  <c r="E42" i="28" s="1"/>
  <c r="D43" i="28"/>
  <c r="E43" i="28" s="1"/>
  <c r="D14" i="28"/>
  <c r="E14" i="28" s="1"/>
  <c r="C16" i="28"/>
  <c r="C17" i="28"/>
  <c r="C18" i="28"/>
  <c r="C19" i="28"/>
  <c r="C20" i="28"/>
  <c r="C21" i="28"/>
  <c r="C22" i="28"/>
  <c r="C23" i="28"/>
  <c r="C24" i="28"/>
  <c r="C25" i="28"/>
  <c r="C26" i="28"/>
  <c r="C27" i="28"/>
  <c r="C28" i="28"/>
  <c r="C29" i="28"/>
  <c r="C30" i="28"/>
  <c r="C31" i="28"/>
  <c r="C32" i="28"/>
  <c r="C33" i="28"/>
  <c r="C34" i="28"/>
  <c r="C35" i="28"/>
  <c r="C36" i="28"/>
  <c r="C37" i="28"/>
  <c r="C38" i="28"/>
  <c r="C39" i="28"/>
  <c r="C40" i="28"/>
  <c r="C41" i="28"/>
  <c r="C42" i="28"/>
  <c r="C43" i="28"/>
  <c r="C15" i="28"/>
  <c r="C1010" i="35" l="1"/>
  <c r="E1011" i="35"/>
  <c r="F1011" i="35"/>
  <c r="F1013" i="35" s="1"/>
  <c r="H1010" i="35"/>
  <c r="H1011" i="35"/>
  <c r="D1010" i="35"/>
  <c r="D1012" i="35" s="1"/>
  <c r="E1010" i="35"/>
  <c r="G1010" i="35"/>
  <c r="C1011" i="35"/>
  <c r="G1011" i="35"/>
  <c r="D1011" i="35"/>
  <c r="D1013" i="35" s="1"/>
  <c r="I1010" i="35"/>
  <c r="I1012" i="35" s="1"/>
  <c r="F1010" i="35"/>
  <c r="F1012" i="35" s="1"/>
  <c r="I1011" i="35"/>
  <c r="I1013" i="35" s="1"/>
  <c r="D58" i="30"/>
  <c r="D42" i="30"/>
  <c r="D66" i="30"/>
  <c r="D50" i="30"/>
  <c r="D5" i="30"/>
  <c r="D33" i="30"/>
  <c r="D37" i="30"/>
  <c r="D10" i="30"/>
  <c r="D14" i="30"/>
  <c r="D18" i="30"/>
  <c r="D22" i="30"/>
  <c r="D34" i="30"/>
  <c r="D62" i="30"/>
  <c r="D54" i="30"/>
  <c r="D46" i="30"/>
  <c r="D68" i="30"/>
  <c r="D64" i="30"/>
  <c r="D56" i="30"/>
  <c r="D52" i="30"/>
  <c r="D48" i="30"/>
  <c r="D44" i="30"/>
  <c r="D67" i="30"/>
  <c r="D59" i="30"/>
  <c r="D51" i="30"/>
  <c r="D43" i="30"/>
  <c r="D32" i="30"/>
  <c r="D36" i="30"/>
  <c r="D65" i="30"/>
  <c r="D57" i="30"/>
  <c r="D49" i="30"/>
  <c r="D41" i="30"/>
  <c r="D40" i="30"/>
  <c r="D63" i="30"/>
  <c r="D55" i="30"/>
  <c r="D47" i="30"/>
  <c r="D39" i="30"/>
  <c r="D69" i="30"/>
  <c r="D61" i="30"/>
  <c r="D53" i="30"/>
  <c r="D45" i="30"/>
  <c r="D27" i="30"/>
  <c r="D4" i="30"/>
  <c r="D8" i="30"/>
  <c r="D12" i="30"/>
  <c r="D16" i="30"/>
  <c r="D20" i="30"/>
  <c r="D35" i="30"/>
  <c r="D25" i="30"/>
  <c r="D15" i="30"/>
  <c r="D9" i="30"/>
  <c r="D13" i="30"/>
  <c r="D24" i="30"/>
  <c r="D28" i="30"/>
  <c r="D6" i="30"/>
  <c r="D17" i="30"/>
  <c r="D21" i="30"/>
  <c r="D29" i="30"/>
  <c r="D11" i="30"/>
  <c r="D26" i="30"/>
  <c r="D30" i="30"/>
  <c r="D38" i="30"/>
  <c r="C81" i="29"/>
  <c r="D81" i="29"/>
  <c r="E45" i="28"/>
  <c r="B9" i="28" s="1"/>
  <c r="D45" i="28"/>
  <c r="D50" i="28"/>
  <c r="C51" i="28"/>
  <c r="C52" i="28"/>
  <c r="C53" i="28"/>
  <c r="C54" i="28"/>
  <c r="C55" i="28"/>
  <c r="C56" i="28"/>
  <c r="C57" i="28"/>
  <c r="C58" i="28"/>
  <c r="C59" i="28"/>
  <c r="C60" i="28"/>
  <c r="C61" i="28"/>
  <c r="C62" i="28"/>
  <c r="C63" i="28"/>
  <c r="C64" i="28"/>
  <c r="C65" i="28"/>
  <c r="C66" i="28"/>
  <c r="C67" i="28"/>
  <c r="C68" i="28"/>
  <c r="C69" i="28"/>
  <c r="C70" i="28"/>
  <c r="C71" i="28"/>
  <c r="C72" i="28"/>
  <c r="C73" i="28"/>
  <c r="C74" i="28"/>
  <c r="C75" i="28"/>
  <c r="C76" i="28"/>
  <c r="C77" i="28"/>
  <c r="C78" i="28"/>
  <c r="C79" i="28"/>
  <c r="C80" i="28"/>
  <c r="C81" i="28"/>
  <c r="C82" i="28"/>
  <c r="C83" i="28"/>
  <c r="C84" i="28"/>
  <c r="C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49" i="28"/>
  <c r="N1010" i="35" l="1"/>
  <c r="N1012" i="35" s="1"/>
  <c r="N1009" i="35"/>
  <c r="N1011" i="35" s="1"/>
  <c r="E73" i="28"/>
  <c r="E65" i="28"/>
  <c r="E81" i="28"/>
  <c r="E69" i="28"/>
  <c r="E61" i="28"/>
  <c r="E53" i="28"/>
  <c r="E77" i="28"/>
  <c r="D71" i="30"/>
  <c r="B263" i="5" s="1"/>
  <c r="E81" i="29"/>
  <c r="E56" i="28"/>
  <c r="E83" i="28"/>
  <c r="E75" i="28"/>
  <c r="E67" i="28"/>
  <c r="E59" i="28"/>
  <c r="E72" i="28"/>
  <c r="E64" i="28"/>
  <c r="E79" i="28"/>
  <c r="E71" i="28"/>
  <c r="E63" i="28"/>
  <c r="E55" i="28"/>
  <c r="E82" i="28"/>
  <c r="E74" i="28"/>
  <c r="E66" i="28"/>
  <c r="E58" i="28"/>
  <c r="E50" i="28"/>
  <c r="E80" i="28"/>
  <c r="E78" i="28"/>
  <c r="E70" i="28"/>
  <c r="E62" i="28"/>
  <c r="E54" i="28"/>
  <c r="D86" i="28"/>
  <c r="E76" i="28"/>
  <c r="E68" i="28"/>
  <c r="E60" i="28"/>
  <c r="E52" i="28"/>
  <c r="E84" i="28"/>
  <c r="E57" i="28"/>
  <c r="C86" i="28"/>
  <c r="E51" i="28"/>
  <c r="E49" i="28"/>
  <c r="B19" i="17"/>
  <c r="B21" i="17"/>
  <c r="E86" i="28" l="1"/>
  <c r="B8" i="28" s="1"/>
  <c r="B10" i="28" s="1"/>
  <c r="B266" i="5" s="1"/>
  <c r="B9" i="29"/>
  <c r="B10" i="29" s="1"/>
  <c r="B265" i="5" s="1"/>
  <c r="X413" i="27"/>
  <c r="X396" i="27"/>
  <c r="X383" i="27"/>
  <c r="X370" i="27"/>
  <c r="X357" i="27"/>
  <c r="X340" i="27"/>
  <c r="X327" i="27"/>
  <c r="X314" i="27"/>
  <c r="X301" i="27"/>
  <c r="X284" i="27"/>
  <c r="X271" i="27"/>
  <c r="X258" i="27"/>
  <c r="X245" i="27"/>
  <c r="X228" i="27"/>
  <c r="X215" i="27"/>
  <c r="X202" i="27"/>
  <c r="X189" i="27"/>
  <c r="X172" i="27"/>
  <c r="X159" i="27"/>
  <c r="X146" i="27"/>
  <c r="X133" i="27"/>
  <c r="X116" i="27"/>
  <c r="X103" i="27"/>
  <c r="X89" i="27"/>
  <c r="X76" i="27"/>
  <c r="X59" i="27"/>
  <c r="X46" i="27"/>
  <c r="X33" i="27"/>
  <c r="X20" i="27"/>
  <c r="X176" i="27"/>
  <c r="X120" i="27"/>
  <c r="X63" i="27"/>
  <c r="X7" i="27"/>
  <c r="X3" i="27"/>
  <c r="AA745" i="27" l="1"/>
  <c r="AA746" i="27"/>
  <c r="AA748" i="27"/>
  <c r="AA749" i="27"/>
  <c r="AA751" i="27"/>
  <c r="AA752" i="27"/>
  <c r="AA754" i="27"/>
  <c r="AA755" i="27"/>
  <c r="AA756" i="27"/>
  <c r="AA758" i="27"/>
  <c r="AA759" i="27"/>
  <c r="AA761" i="27"/>
  <c r="AA762" i="27"/>
  <c r="AA764" i="27"/>
  <c r="AA765" i="27"/>
  <c r="AA767" i="27"/>
  <c r="AA768" i="27"/>
  <c r="AA769" i="27"/>
  <c r="AA771" i="27"/>
  <c r="AA772" i="27"/>
  <c r="AA774" i="27"/>
  <c r="AA775" i="27"/>
  <c r="AA777" i="27"/>
  <c r="AA778" i="27"/>
  <c r="AA780" i="27"/>
  <c r="AA781" i="27"/>
  <c r="AA782" i="27"/>
  <c r="AA784" i="27"/>
  <c r="AA785" i="27"/>
  <c r="AA787" i="27"/>
  <c r="AA788" i="27"/>
  <c r="AA790" i="27"/>
  <c r="AA791" i="27"/>
  <c r="AA793" i="27"/>
  <c r="AA794" i="27"/>
  <c r="AA795" i="27"/>
  <c r="AA797" i="27"/>
  <c r="AA798" i="27"/>
  <c r="AA799" i="27"/>
  <c r="AA801" i="27"/>
  <c r="AA802" i="27"/>
  <c r="AA804" i="27"/>
  <c r="AA805" i="27"/>
  <c r="AA807" i="27"/>
  <c r="AA808" i="27"/>
  <c r="AA810" i="27"/>
  <c r="AA811" i="27"/>
  <c r="AA812" i="27"/>
  <c r="AA814" i="27"/>
  <c r="AA815" i="27"/>
  <c r="AA817" i="27"/>
  <c r="AA818" i="27"/>
  <c r="AA820" i="27"/>
  <c r="AA821" i="27"/>
  <c r="AA823" i="27"/>
  <c r="AA824" i="27"/>
  <c r="AA825" i="27"/>
  <c r="AA827" i="27"/>
  <c r="AA828" i="27"/>
  <c r="AA830" i="27"/>
  <c r="AA831" i="27"/>
  <c r="AA833" i="27"/>
  <c r="AA834" i="27"/>
  <c r="AA836" i="27"/>
  <c r="AA837" i="27"/>
  <c r="AA838" i="27"/>
  <c r="AA840" i="27"/>
  <c r="AA841" i="27"/>
  <c r="AA843" i="27"/>
  <c r="AA844" i="27"/>
  <c r="AA846" i="27"/>
  <c r="AA847" i="27"/>
  <c r="AA849" i="27"/>
  <c r="AA850" i="27"/>
  <c r="AA851" i="27"/>
  <c r="AA853" i="27"/>
  <c r="AA854" i="27"/>
  <c r="AA855" i="27"/>
  <c r="AA857" i="27"/>
  <c r="AA858" i="27"/>
  <c r="AA860" i="27"/>
  <c r="AA861" i="27"/>
  <c r="AA863" i="27"/>
  <c r="AA864" i="27"/>
  <c r="AA866" i="27"/>
  <c r="AA867" i="27"/>
  <c r="AA868" i="27"/>
  <c r="AA870" i="27"/>
  <c r="AA871" i="27"/>
  <c r="AA873" i="27"/>
  <c r="AA874" i="27"/>
  <c r="AA876" i="27"/>
  <c r="AA877" i="27"/>
  <c r="AA879" i="27"/>
  <c r="AA880" i="27"/>
  <c r="AA881" i="27"/>
  <c r="AA883" i="27"/>
  <c r="AA884" i="27"/>
  <c r="AA886" i="27"/>
  <c r="AA887" i="27"/>
  <c r="AA889" i="27"/>
  <c r="AA890" i="27"/>
  <c r="AA892" i="27"/>
  <c r="AA893" i="27"/>
  <c r="AA894" i="27"/>
  <c r="AA896" i="27"/>
  <c r="AA897" i="27"/>
  <c r="AA899" i="27"/>
  <c r="AA900" i="27"/>
  <c r="AA902" i="27"/>
  <c r="AA903" i="27"/>
  <c r="AA905" i="27"/>
  <c r="AA906" i="27"/>
  <c r="AA907" i="27"/>
  <c r="AA910" i="27"/>
  <c r="AA911" i="27"/>
  <c r="AA912" i="27"/>
  <c r="AA914" i="27"/>
  <c r="AA915" i="27"/>
  <c r="AA916" i="27"/>
  <c r="AA918" i="27"/>
  <c r="AA919" i="27"/>
  <c r="AA921" i="27"/>
  <c r="AA922" i="27"/>
  <c r="AA924" i="27"/>
  <c r="AA925" i="27"/>
  <c r="AA927" i="27"/>
  <c r="AA928" i="27"/>
  <c r="AA929" i="27"/>
  <c r="AA931" i="27"/>
  <c r="AA932" i="27"/>
  <c r="AA934" i="27"/>
  <c r="AA935" i="27"/>
  <c r="AA937" i="27"/>
  <c r="AA938" i="27"/>
  <c r="AA940" i="27"/>
  <c r="AA941" i="27"/>
  <c r="AA942" i="27"/>
  <c r="AA944" i="27"/>
  <c r="AA945" i="27"/>
  <c r="AA947" i="27"/>
  <c r="AA948" i="27"/>
  <c r="AA950" i="27"/>
  <c r="AA951" i="27"/>
  <c r="AA953" i="27"/>
  <c r="AA954" i="27"/>
  <c r="AA955" i="27"/>
  <c r="AA957" i="27"/>
  <c r="AA958" i="27"/>
  <c r="AA960" i="27"/>
  <c r="AA961" i="27"/>
  <c r="AA963" i="27"/>
  <c r="AA964" i="27"/>
  <c r="AA966" i="27"/>
  <c r="AA967" i="27"/>
  <c r="AA968" i="27"/>
  <c r="AA970" i="27"/>
  <c r="AA971" i="27"/>
  <c r="AA972" i="27"/>
  <c r="AA974" i="27"/>
  <c r="AA975" i="27"/>
  <c r="AA977" i="27"/>
  <c r="AA978" i="27"/>
  <c r="AA980" i="27"/>
  <c r="AA981" i="27"/>
  <c r="AA983" i="27"/>
  <c r="AA984" i="27"/>
  <c r="AA985" i="27"/>
  <c r="AA987" i="27"/>
  <c r="AA988" i="27"/>
  <c r="AA990" i="27"/>
  <c r="AA991" i="27"/>
  <c r="AA993" i="27"/>
  <c r="AA994" i="27"/>
  <c r="AA996" i="27"/>
  <c r="AA997" i="27"/>
  <c r="AA998" i="27"/>
  <c r="AA1000" i="27"/>
  <c r="AA1001" i="27"/>
  <c r="AA1003" i="27"/>
  <c r="AA1004" i="27"/>
  <c r="AA1006" i="27"/>
  <c r="AA1007" i="27"/>
  <c r="AA1009" i="27"/>
  <c r="AA1010" i="27"/>
  <c r="AA1011" i="27"/>
  <c r="AA1013" i="27"/>
  <c r="AA1014" i="27"/>
  <c r="AA1016" i="27"/>
  <c r="AA1017" i="27"/>
  <c r="AA1019" i="27"/>
  <c r="AA1020" i="27"/>
  <c r="AA1022" i="27"/>
  <c r="AA1023" i="27"/>
  <c r="AA1024" i="27"/>
  <c r="AA1026" i="27"/>
  <c r="AA1027" i="27"/>
  <c r="AA1028" i="27"/>
  <c r="AA1030" i="27"/>
  <c r="AA1031" i="27"/>
  <c r="AA1033" i="27"/>
  <c r="AA1034" i="27"/>
  <c r="AA1036" i="27"/>
  <c r="AA1037" i="27"/>
  <c r="AA1039" i="27"/>
  <c r="AA1040" i="27"/>
  <c r="AA1041" i="27"/>
  <c r="AA1043" i="27"/>
  <c r="AA1044" i="27"/>
  <c r="AA1046" i="27"/>
  <c r="AA1047" i="27"/>
  <c r="AA1049" i="27"/>
  <c r="AA1050" i="27"/>
  <c r="AA1052" i="27"/>
  <c r="AA1053" i="27"/>
  <c r="AA1054" i="27"/>
  <c r="AA1056" i="27"/>
  <c r="AA1057" i="27"/>
  <c r="AA1059" i="27"/>
  <c r="AA1060" i="27"/>
  <c r="AA1062" i="27"/>
  <c r="AA1063" i="27"/>
  <c r="AA1065" i="27"/>
  <c r="AA1066" i="27"/>
  <c r="AA1067" i="27"/>
  <c r="AA1069" i="27"/>
  <c r="AA1070" i="27"/>
  <c r="AA1072" i="27"/>
  <c r="AA1073" i="27"/>
  <c r="AA1075" i="27"/>
  <c r="AA1076" i="27"/>
  <c r="AA1078" i="27"/>
  <c r="AA1079" i="27"/>
  <c r="AA1080" i="27"/>
  <c r="AA1082" i="27"/>
  <c r="AA1083" i="27"/>
  <c r="AA1084" i="27"/>
  <c r="AA1086" i="27"/>
  <c r="AA1087" i="27"/>
  <c r="AA1089" i="27"/>
  <c r="AA1090" i="27"/>
  <c r="AA1092" i="27"/>
  <c r="AA1093" i="27"/>
  <c r="AA1095" i="27"/>
  <c r="AA1096" i="27"/>
  <c r="AA1097" i="27"/>
  <c r="AA1099" i="27"/>
  <c r="AA1100" i="27"/>
  <c r="AA1102" i="27"/>
  <c r="AA1103" i="27"/>
  <c r="AA1105" i="27"/>
  <c r="AA1106" i="27"/>
  <c r="AA1108" i="27"/>
  <c r="AA1109" i="27"/>
  <c r="AA1110" i="27"/>
  <c r="AA1112" i="27"/>
  <c r="AA1113" i="27"/>
  <c r="AA1115" i="27"/>
  <c r="AA1116" i="27"/>
  <c r="AA1118" i="27"/>
  <c r="AA1119" i="27"/>
  <c r="AA1121" i="27"/>
  <c r="AA1122" i="27"/>
  <c r="AA1123" i="27"/>
  <c r="AA1125" i="27"/>
  <c r="AA1126" i="27"/>
  <c r="AA1128" i="27"/>
  <c r="AA1129" i="27"/>
  <c r="AA1131" i="27"/>
  <c r="AA1132" i="27"/>
  <c r="AA1134" i="27"/>
  <c r="AA1135" i="27"/>
  <c r="AA1136" i="27"/>
  <c r="AA1138" i="27"/>
  <c r="AA1139" i="27"/>
  <c r="AA1140" i="27"/>
  <c r="AA1142" i="27"/>
  <c r="AA1143" i="27"/>
  <c r="AA1145" i="27"/>
  <c r="AA1146" i="27"/>
  <c r="AA1148" i="27"/>
  <c r="AA1149" i="27"/>
  <c r="AA1151" i="27"/>
  <c r="AA1152" i="27"/>
  <c r="AA1153" i="27"/>
  <c r="AA1155" i="27"/>
  <c r="AA1156" i="27"/>
  <c r="AA1158" i="27"/>
  <c r="AA1159" i="27"/>
  <c r="AA1161" i="27"/>
  <c r="AA1162" i="27"/>
  <c r="AA1164" i="27"/>
  <c r="AA1165" i="27"/>
  <c r="AA1166" i="27"/>
  <c r="AA1168" i="27"/>
  <c r="AA1169" i="27"/>
  <c r="AA1171" i="27"/>
  <c r="AA1172" i="27"/>
  <c r="AA1174" i="27"/>
  <c r="AA1175" i="27"/>
  <c r="AA1177" i="27"/>
  <c r="AA1178" i="27"/>
  <c r="AA1179" i="27"/>
  <c r="AA1181" i="27"/>
  <c r="AA1182" i="27"/>
  <c r="AA1184" i="27"/>
  <c r="AA1185" i="27"/>
  <c r="AA1187" i="27"/>
  <c r="AA1188" i="27"/>
  <c r="AA1190" i="27"/>
  <c r="AA1191" i="27"/>
  <c r="AA1192" i="27"/>
  <c r="AA1194" i="27"/>
  <c r="AA1195" i="27"/>
  <c r="AA1196" i="27"/>
  <c r="AA1198" i="27"/>
  <c r="AA1199" i="27"/>
  <c r="AA1201" i="27"/>
  <c r="AA1202" i="27"/>
  <c r="AA1204" i="27"/>
  <c r="AA1205" i="27"/>
  <c r="AA1207" i="27"/>
  <c r="AA1208" i="27"/>
  <c r="AA1209" i="27"/>
  <c r="AA1211" i="27"/>
  <c r="AA1212" i="27"/>
  <c r="AA1214" i="27"/>
  <c r="AA1215" i="27"/>
  <c r="AA1217" i="27"/>
  <c r="AA1218" i="27"/>
  <c r="AA1220" i="27"/>
  <c r="AA1221" i="27"/>
  <c r="AA1222" i="27"/>
  <c r="AA1224" i="27"/>
  <c r="AA1225" i="27"/>
  <c r="AA1227" i="27"/>
  <c r="AA1228" i="27"/>
  <c r="AA1230" i="27"/>
  <c r="AA1231" i="27"/>
  <c r="AA1233" i="27"/>
  <c r="AA1234" i="27"/>
  <c r="AA1235" i="27"/>
  <c r="AA1237" i="27"/>
  <c r="AA1238" i="27"/>
  <c r="AA1240" i="27"/>
  <c r="AA1241" i="27"/>
  <c r="AA1243" i="27"/>
  <c r="AA1244" i="27"/>
  <c r="AA1246" i="27"/>
  <c r="AA1247" i="27"/>
  <c r="AA1248" i="27"/>
  <c r="AA1250" i="27"/>
  <c r="AA1251" i="27"/>
  <c r="AA1252" i="27"/>
  <c r="AA1254" i="27"/>
  <c r="AA1255" i="27"/>
  <c r="AA1257" i="27"/>
  <c r="AA1258" i="27"/>
  <c r="AA1260" i="27"/>
  <c r="AA1261" i="27"/>
  <c r="AA1263" i="27"/>
  <c r="AA1264" i="27"/>
  <c r="AA1265" i="27"/>
  <c r="AA1267" i="27"/>
  <c r="AA1268" i="27"/>
  <c r="AA1270" i="27"/>
  <c r="AA1271" i="27"/>
  <c r="AA1273" i="27"/>
  <c r="AA1274" i="27"/>
  <c r="AA1276" i="27"/>
  <c r="AA1277" i="27"/>
  <c r="AA1278" i="27"/>
  <c r="AA1280" i="27"/>
  <c r="AA1281" i="27"/>
  <c r="AA1283" i="27"/>
  <c r="AA1284" i="27"/>
  <c r="AA1286" i="27"/>
  <c r="AA1287" i="27"/>
  <c r="AA1289" i="27"/>
  <c r="AA1290" i="27"/>
  <c r="AA1291" i="27"/>
  <c r="AA1293" i="27"/>
  <c r="AA1294" i="27"/>
  <c r="AA1296" i="27"/>
  <c r="AA1297" i="27"/>
  <c r="AA1299" i="27"/>
  <c r="AA1300" i="27"/>
  <c r="AA1302" i="27"/>
  <c r="AA1303" i="27"/>
  <c r="AA1304" i="27"/>
  <c r="AA1306" i="27"/>
  <c r="AA1307" i="27"/>
  <c r="AA1308" i="27"/>
  <c r="AA1310" i="27"/>
  <c r="AA1311" i="27"/>
  <c r="AA1313" i="27"/>
  <c r="AA1314" i="27"/>
  <c r="AA1316" i="27"/>
  <c r="AA1317" i="27"/>
  <c r="AA1319" i="27"/>
  <c r="AA1320" i="27"/>
  <c r="AA1321" i="27"/>
  <c r="AA1323" i="27"/>
  <c r="AA1324" i="27"/>
  <c r="AA1326" i="27"/>
  <c r="AA1327" i="27"/>
  <c r="AA1329" i="27"/>
  <c r="AA1330" i="27"/>
  <c r="AA1332" i="27"/>
  <c r="AA1333" i="27"/>
  <c r="AA1334" i="27"/>
  <c r="AA1336" i="27"/>
  <c r="AA1337" i="27"/>
  <c r="AA1339" i="27"/>
  <c r="AA1340" i="27"/>
  <c r="AA1342" i="27"/>
  <c r="AA1343" i="27"/>
  <c r="AA1345" i="27"/>
  <c r="AA1346" i="27"/>
  <c r="AA1347" i="27"/>
  <c r="AA1349" i="27"/>
  <c r="AA1350" i="27"/>
  <c r="AA1352" i="27"/>
  <c r="AA1353" i="27"/>
  <c r="AA1355" i="27"/>
  <c r="AA1356" i="27"/>
  <c r="AA1358" i="27"/>
  <c r="AA1359" i="27"/>
  <c r="AA1360" i="27"/>
  <c r="AA1362" i="27"/>
  <c r="AA1363" i="27"/>
  <c r="AA1364" i="27"/>
  <c r="AA1366" i="27"/>
  <c r="AA1367" i="27"/>
  <c r="AA1368" i="27"/>
  <c r="AA1370" i="27"/>
  <c r="AA1371" i="27"/>
  <c r="AA1373" i="27"/>
  <c r="AA1374" i="27"/>
  <c r="AA1376" i="27"/>
  <c r="AA1377" i="27"/>
  <c r="AA1379" i="27"/>
  <c r="AA1380" i="27"/>
  <c r="AA1381" i="27"/>
  <c r="AA1383" i="27"/>
  <c r="AA1384" i="27"/>
  <c r="AA1386" i="27"/>
  <c r="AA1387" i="27"/>
  <c r="AA1389" i="27"/>
  <c r="AA1390" i="27"/>
  <c r="AA1392" i="27"/>
  <c r="AA1393" i="27"/>
  <c r="AA1394" i="27"/>
  <c r="AA1396" i="27"/>
  <c r="AA1397" i="27"/>
  <c r="AA1399" i="27"/>
  <c r="AA1400" i="27"/>
  <c r="AA1402" i="27"/>
  <c r="AA1403" i="27"/>
  <c r="AA1405" i="27"/>
  <c r="AA1406" i="27"/>
  <c r="AA1407" i="27"/>
  <c r="AA1409" i="27"/>
  <c r="AA1410" i="27"/>
  <c r="AA1412" i="27"/>
  <c r="AA1413" i="27"/>
  <c r="AA1415" i="27"/>
  <c r="AA1416" i="27"/>
  <c r="AA1418" i="27"/>
  <c r="AA1419" i="27"/>
  <c r="AA1420" i="27"/>
  <c r="AA1422" i="27"/>
  <c r="AA1423" i="27"/>
  <c r="AA1424" i="27"/>
  <c r="AA1426" i="27"/>
  <c r="AA1427" i="27"/>
  <c r="AA1429" i="27"/>
  <c r="AA1430" i="27"/>
  <c r="AA1432" i="27"/>
  <c r="AA1433" i="27"/>
  <c r="AA1435" i="27"/>
  <c r="AA1436" i="27"/>
  <c r="AA1437" i="27"/>
  <c r="AA1439" i="27"/>
  <c r="AA1440" i="27"/>
  <c r="AA1442" i="27"/>
  <c r="AA1443" i="27"/>
  <c r="AA1445" i="27"/>
  <c r="AA1446" i="27"/>
  <c r="AA1448" i="27"/>
  <c r="AA1449" i="27"/>
  <c r="AA1450" i="27"/>
  <c r="AA1452" i="27"/>
  <c r="AA1453" i="27"/>
  <c r="AA1455" i="27"/>
  <c r="AA1456" i="27"/>
  <c r="AA1458" i="27"/>
  <c r="AA1459" i="27"/>
  <c r="AA1461" i="27"/>
  <c r="AA1462" i="27"/>
  <c r="AA1463" i="27"/>
  <c r="AA1465" i="27"/>
  <c r="AA1466" i="27"/>
  <c r="AA1468" i="27"/>
  <c r="AA1469" i="27"/>
  <c r="AA1471" i="27"/>
  <c r="AA1472" i="27"/>
  <c r="AA1474" i="27"/>
  <c r="AA1475" i="27"/>
  <c r="AA1476" i="27"/>
  <c r="AA1478" i="27"/>
  <c r="AA1479" i="27"/>
  <c r="AA1480" i="27"/>
  <c r="AA1482" i="27"/>
  <c r="AA1483" i="27"/>
  <c r="AA1485" i="27"/>
  <c r="AA1486" i="27"/>
  <c r="AA1488" i="27"/>
  <c r="AA1489" i="27"/>
  <c r="AA1491" i="27"/>
  <c r="AA1492" i="27"/>
  <c r="AA1493" i="27"/>
  <c r="AA1495" i="27"/>
  <c r="AA1496" i="27"/>
  <c r="AA1498" i="27"/>
  <c r="AA1499" i="27"/>
  <c r="AA1501" i="27"/>
  <c r="AA1502" i="27"/>
  <c r="AA1504" i="27"/>
  <c r="AA1505" i="27"/>
  <c r="AA1506" i="27"/>
  <c r="AA1508" i="27"/>
  <c r="AA1509" i="27"/>
  <c r="AA1511" i="27"/>
  <c r="AA1512" i="27"/>
  <c r="AA1514" i="27"/>
  <c r="AA1515" i="27"/>
  <c r="AA1517" i="27"/>
  <c r="AA1518" i="27"/>
  <c r="AA1519" i="27"/>
  <c r="AA1521" i="27"/>
  <c r="AA1522" i="27"/>
  <c r="AA1524" i="27"/>
  <c r="AA1525" i="27"/>
  <c r="AA1527" i="27"/>
  <c r="AA1528" i="27"/>
  <c r="AA1530" i="27"/>
  <c r="AA1531" i="27"/>
  <c r="AA1532" i="27"/>
  <c r="AA1534" i="27"/>
  <c r="AA1535" i="27"/>
  <c r="AA1536" i="27"/>
  <c r="AA1538" i="27"/>
  <c r="AA1539" i="27"/>
  <c r="AA1541" i="27"/>
  <c r="AA1542" i="27"/>
  <c r="AA1544" i="27"/>
  <c r="AA1545" i="27"/>
  <c r="AA1547" i="27"/>
  <c r="AA1548" i="27"/>
  <c r="AA1549" i="27"/>
  <c r="AA1551" i="27"/>
  <c r="AA1552" i="27"/>
  <c r="AA1554" i="27"/>
  <c r="AA1555" i="27"/>
  <c r="AA1557" i="27"/>
  <c r="AA1558" i="27"/>
  <c r="AA1560" i="27"/>
  <c r="AA1561" i="27"/>
  <c r="AA1562" i="27"/>
  <c r="AA1564" i="27"/>
  <c r="AA1565" i="27"/>
  <c r="AA1567" i="27"/>
  <c r="AA1568" i="27"/>
  <c r="AA1570" i="27"/>
  <c r="AA1571" i="27"/>
  <c r="AA1573" i="27"/>
  <c r="AA1574" i="27"/>
  <c r="AA1575" i="27"/>
  <c r="AA1577" i="27"/>
  <c r="AA1578" i="27"/>
  <c r="AA1580" i="27"/>
  <c r="AA1581" i="27"/>
  <c r="AA1583" i="27"/>
  <c r="AA1584" i="27"/>
  <c r="AA1586" i="27"/>
  <c r="AA1587" i="27"/>
  <c r="AA1588" i="27"/>
  <c r="AA1590" i="27"/>
  <c r="AA1591" i="27"/>
  <c r="AA1592" i="27"/>
  <c r="AA1594" i="27"/>
  <c r="AA1595" i="27"/>
  <c r="AA1597" i="27"/>
  <c r="AA1598" i="27"/>
  <c r="AA1600" i="27"/>
  <c r="AA1601" i="27"/>
  <c r="AA1603" i="27"/>
  <c r="AA1604" i="27"/>
  <c r="AA1605" i="27"/>
  <c r="AA1607" i="27"/>
  <c r="AA1608" i="27"/>
  <c r="AA1610" i="27"/>
  <c r="AA1611" i="27"/>
  <c r="AA1613" i="27"/>
  <c r="AA1614" i="27"/>
  <c r="AA1616" i="27"/>
  <c r="AA1617" i="27"/>
  <c r="AA1618" i="27"/>
  <c r="AA1620" i="27"/>
  <c r="AA1621" i="27"/>
  <c r="AA1623" i="27"/>
  <c r="AA1624" i="27"/>
  <c r="AA1626" i="27"/>
  <c r="AA1627" i="27"/>
  <c r="AA1629" i="27"/>
  <c r="AA1630" i="27"/>
  <c r="AA1631" i="27"/>
  <c r="AA1633" i="27"/>
  <c r="AA1634" i="27"/>
  <c r="AA1636" i="27"/>
  <c r="AA1637" i="27"/>
  <c r="AA1639" i="27"/>
  <c r="AA1640" i="27"/>
  <c r="AA1642" i="27"/>
  <c r="AA1643" i="27"/>
  <c r="AA1644" i="27"/>
  <c r="AA1646" i="27"/>
  <c r="AA1647" i="27"/>
  <c r="AA1648" i="27"/>
  <c r="AA1650" i="27"/>
  <c r="AA1651" i="27"/>
  <c r="AA1653" i="27"/>
  <c r="AA1654" i="27"/>
  <c r="AA1656" i="27"/>
  <c r="AA1657" i="27"/>
  <c r="AA1659" i="27"/>
  <c r="AA1660" i="27"/>
  <c r="AA1661" i="27"/>
  <c r="AA1663" i="27"/>
  <c r="AA1664" i="27"/>
  <c r="AA1666" i="27"/>
  <c r="AA1667" i="27"/>
  <c r="AA1669" i="27"/>
  <c r="AA1670" i="27"/>
  <c r="AA1672" i="27"/>
  <c r="AA1673" i="27"/>
  <c r="AA1674" i="27"/>
  <c r="AA1676" i="27"/>
  <c r="AA1677" i="27"/>
  <c r="AA1679" i="27"/>
  <c r="AA1680" i="27"/>
  <c r="AA1682" i="27"/>
  <c r="AA1683" i="27"/>
  <c r="AA1685" i="27"/>
  <c r="AA1686" i="27"/>
  <c r="AA1687" i="27"/>
  <c r="AA1689" i="27"/>
  <c r="AA1690" i="27"/>
  <c r="AA1692" i="27"/>
  <c r="AA1693" i="27"/>
  <c r="AA1695" i="27"/>
  <c r="AA1696" i="27"/>
  <c r="AA1698" i="27"/>
  <c r="AA1699" i="27"/>
  <c r="AA1700" i="27"/>
  <c r="AA1702" i="27"/>
  <c r="AA1703" i="27"/>
  <c r="AA1704" i="27"/>
  <c r="AA1706" i="27"/>
  <c r="AA1707" i="27"/>
  <c r="AA1709" i="27"/>
  <c r="AA1710" i="27"/>
  <c r="AA1712" i="27"/>
  <c r="AA1713" i="27"/>
  <c r="AA1715" i="27"/>
  <c r="AA1716" i="27"/>
  <c r="AA1717" i="27"/>
  <c r="AA1719" i="27"/>
  <c r="AA1720" i="27"/>
  <c r="AA1722" i="27"/>
  <c r="AA1723" i="27"/>
  <c r="AA1725" i="27"/>
  <c r="AA1726" i="27"/>
  <c r="AA1728" i="27"/>
  <c r="AA1729" i="27"/>
  <c r="AA1730" i="27"/>
  <c r="AA1732" i="27"/>
  <c r="AA1733" i="27"/>
  <c r="AA1735" i="27"/>
  <c r="AA1736" i="27"/>
  <c r="AA1738" i="27"/>
  <c r="AA1739" i="27"/>
  <c r="AA1741" i="27"/>
  <c r="AA1742" i="27"/>
  <c r="AA1743" i="27"/>
  <c r="AA1745" i="27"/>
  <c r="AA1746" i="27"/>
  <c r="AA1748" i="27"/>
  <c r="AA1749" i="27"/>
  <c r="AA1751" i="27"/>
  <c r="AA1752" i="27"/>
  <c r="AA1754" i="27"/>
  <c r="AA1755" i="27"/>
  <c r="AA1756" i="27"/>
  <c r="AA1758" i="27"/>
  <c r="AA1759" i="27"/>
  <c r="AA1760" i="27"/>
  <c r="AA1762" i="27"/>
  <c r="AA1763" i="27"/>
  <c r="AA1765" i="27"/>
  <c r="AA1766" i="27"/>
  <c r="AA1768" i="27"/>
  <c r="AA1769" i="27"/>
  <c r="AA1771" i="27"/>
  <c r="AA1772" i="27"/>
  <c r="AA1773" i="27"/>
  <c r="AA1775" i="27"/>
  <c r="AA1776" i="27"/>
  <c r="AA1778" i="27"/>
  <c r="AA1779" i="27"/>
  <c r="AA1781" i="27"/>
  <c r="AA1782" i="27"/>
  <c r="AA1784" i="27"/>
  <c r="AA1785" i="27"/>
  <c r="AA1786" i="27"/>
  <c r="AA1788" i="27"/>
  <c r="AA1789" i="27"/>
  <c r="AA1791" i="27"/>
  <c r="AA1792" i="27"/>
  <c r="AA1794" i="27"/>
  <c r="AA1795" i="27"/>
  <c r="AA1797" i="27"/>
  <c r="AA1798" i="27"/>
  <c r="AA1799" i="27"/>
  <c r="AA1801" i="27"/>
  <c r="AA1802" i="27"/>
  <c r="AA1804" i="27"/>
  <c r="AA1805" i="27"/>
  <c r="AA1807" i="27"/>
  <c r="AA1808" i="27"/>
  <c r="Z911" i="27"/>
  <c r="Z912" i="27"/>
  <c r="Z914" i="27"/>
  <c r="Z915" i="27"/>
  <c r="Z916" i="27"/>
  <c r="Z918" i="27"/>
  <c r="Z919" i="27"/>
  <c r="Z921" i="27"/>
  <c r="Z922" i="27"/>
  <c r="Z924" i="27"/>
  <c r="Z925" i="27"/>
  <c r="Z927" i="27"/>
  <c r="Z928" i="27"/>
  <c r="Z929" i="27"/>
  <c r="Z931" i="27"/>
  <c r="Z932" i="27"/>
  <c r="Z934" i="27"/>
  <c r="Z935" i="27"/>
  <c r="Z937" i="27"/>
  <c r="Z938" i="27"/>
  <c r="Z940" i="27"/>
  <c r="Z941" i="27"/>
  <c r="Z942" i="27"/>
  <c r="Z944" i="27"/>
  <c r="Z945" i="27"/>
  <c r="Z947" i="27"/>
  <c r="Z948" i="27"/>
  <c r="Z950" i="27"/>
  <c r="Z951" i="27"/>
  <c r="Z953" i="27"/>
  <c r="Z954" i="27"/>
  <c r="Z955" i="27"/>
  <c r="Z957" i="27"/>
  <c r="Z958" i="27"/>
  <c r="Z960" i="27"/>
  <c r="Z961" i="27"/>
  <c r="Z963" i="27"/>
  <c r="Z964" i="27"/>
  <c r="Z966" i="27"/>
  <c r="Z967" i="27"/>
  <c r="Z968" i="27"/>
  <c r="Z970" i="27"/>
  <c r="Z971" i="27"/>
  <c r="Z972" i="27"/>
  <c r="Z974" i="27"/>
  <c r="Z975" i="27"/>
  <c r="Z977" i="27"/>
  <c r="Z978" i="27"/>
  <c r="Z980" i="27"/>
  <c r="Z981" i="27"/>
  <c r="Z983" i="27"/>
  <c r="Z984" i="27"/>
  <c r="Z985" i="27"/>
  <c r="Z987" i="27"/>
  <c r="Z988" i="27"/>
  <c r="Z990" i="27"/>
  <c r="Z991" i="27"/>
  <c r="Z993" i="27"/>
  <c r="Z994" i="27"/>
  <c r="Z996" i="27"/>
  <c r="Z997" i="27"/>
  <c r="Z998" i="27"/>
  <c r="Z1000" i="27"/>
  <c r="Z1001" i="27"/>
  <c r="Z1003" i="27"/>
  <c r="Z1004" i="27"/>
  <c r="Z1006" i="27"/>
  <c r="Z1007" i="27"/>
  <c r="Z1009" i="27"/>
  <c r="Z1010" i="27"/>
  <c r="Z1011" i="27"/>
  <c r="Z1013" i="27"/>
  <c r="Z1014" i="27"/>
  <c r="Z1016" i="27"/>
  <c r="Z1017" i="27"/>
  <c r="Z1019" i="27"/>
  <c r="Z1020" i="27"/>
  <c r="Z1022" i="27"/>
  <c r="Z1023" i="27"/>
  <c r="Z1024" i="27"/>
  <c r="Z1026" i="27"/>
  <c r="Z1027" i="27"/>
  <c r="Z1028" i="27"/>
  <c r="Z1030" i="27"/>
  <c r="Z1031" i="27"/>
  <c r="Z1033" i="27"/>
  <c r="Z1034" i="27"/>
  <c r="Z1036" i="27"/>
  <c r="Z1037" i="27"/>
  <c r="Z1039" i="27"/>
  <c r="Z1040" i="27"/>
  <c r="Z1041" i="27"/>
  <c r="Z1043" i="27"/>
  <c r="Z1044" i="27"/>
  <c r="Z1046" i="27"/>
  <c r="Z1047" i="27"/>
  <c r="Z1049" i="27"/>
  <c r="Z1050" i="27"/>
  <c r="Z1052" i="27"/>
  <c r="Z1053" i="27"/>
  <c r="Z1054" i="27"/>
  <c r="Z1056" i="27"/>
  <c r="Z1057" i="27"/>
  <c r="Z1059" i="27"/>
  <c r="Z1060" i="27"/>
  <c r="Z1062" i="27"/>
  <c r="Z1063" i="27"/>
  <c r="Z1065" i="27"/>
  <c r="Z1066" i="27"/>
  <c r="Z1067" i="27"/>
  <c r="Z1069" i="27"/>
  <c r="Z1070" i="27"/>
  <c r="Z1072" i="27"/>
  <c r="Z1073" i="27"/>
  <c r="Z1075" i="27"/>
  <c r="Z1076" i="27"/>
  <c r="Z1078" i="27"/>
  <c r="Z1079" i="27"/>
  <c r="Z1080" i="27"/>
  <c r="Z1082" i="27"/>
  <c r="Z1083" i="27"/>
  <c r="Z1084" i="27"/>
  <c r="Z1086" i="27"/>
  <c r="Z1087" i="27"/>
  <c r="Z1089" i="27"/>
  <c r="Z1090" i="27"/>
  <c r="Z1092" i="27"/>
  <c r="Z1093" i="27"/>
  <c r="Z1095" i="27"/>
  <c r="Z1096" i="27"/>
  <c r="Z1097" i="27"/>
  <c r="Z1099" i="27"/>
  <c r="Z1100" i="27"/>
  <c r="Z1102" i="27"/>
  <c r="Z1103" i="27"/>
  <c r="Z1105" i="27"/>
  <c r="Z1106" i="27"/>
  <c r="Z1108" i="27"/>
  <c r="Z1109" i="27"/>
  <c r="Z1110" i="27"/>
  <c r="Z1112" i="27"/>
  <c r="Z1113" i="27"/>
  <c r="Z1115" i="27"/>
  <c r="Z1116" i="27"/>
  <c r="Z1118" i="27"/>
  <c r="Z1119" i="27"/>
  <c r="Z1121" i="27"/>
  <c r="Z1122" i="27"/>
  <c r="Z1123" i="27"/>
  <c r="Z1125" i="27"/>
  <c r="Z1126" i="27"/>
  <c r="Z1128" i="27"/>
  <c r="Z1129" i="27"/>
  <c r="Z1131" i="27"/>
  <c r="Z1132" i="27"/>
  <c r="Z1134" i="27"/>
  <c r="Z1135" i="27"/>
  <c r="Z1136" i="27"/>
  <c r="Z1138" i="27"/>
  <c r="Z1139" i="27"/>
  <c r="Z1140" i="27"/>
  <c r="Z1142" i="27"/>
  <c r="Z1143" i="27"/>
  <c r="Z1145" i="27"/>
  <c r="Z1146" i="27"/>
  <c r="Z1148" i="27"/>
  <c r="Z1149" i="27"/>
  <c r="Z1151" i="27"/>
  <c r="Z1152" i="27"/>
  <c r="Z1153" i="27"/>
  <c r="Z1155" i="27"/>
  <c r="Z1156" i="27"/>
  <c r="Z1158" i="27"/>
  <c r="Z1159" i="27"/>
  <c r="Z1161" i="27"/>
  <c r="Z1162" i="27"/>
  <c r="Z1164" i="27"/>
  <c r="Z1165" i="27"/>
  <c r="Z1166" i="27"/>
  <c r="Z1168" i="27"/>
  <c r="Z1169" i="27"/>
  <c r="Z1171" i="27"/>
  <c r="Z1172" i="27"/>
  <c r="Z1174" i="27"/>
  <c r="Z1175" i="27"/>
  <c r="Z1177" i="27"/>
  <c r="Z1178" i="27"/>
  <c r="Z1179" i="27"/>
  <c r="Z1181" i="27"/>
  <c r="Z1182" i="27"/>
  <c r="Z1184" i="27"/>
  <c r="Z1185" i="27"/>
  <c r="Z1187" i="27"/>
  <c r="Z1188" i="27"/>
  <c r="Z1190" i="27"/>
  <c r="Z1191" i="27"/>
  <c r="Z1192" i="27"/>
  <c r="Z1194" i="27"/>
  <c r="Z1195" i="27"/>
  <c r="Z1196" i="27"/>
  <c r="Z1198" i="27"/>
  <c r="Z1199" i="27"/>
  <c r="Z1201" i="27"/>
  <c r="Z1202" i="27"/>
  <c r="Z1204" i="27"/>
  <c r="Z1205" i="27"/>
  <c r="Z1207" i="27"/>
  <c r="Z1208" i="27"/>
  <c r="Z1209" i="27"/>
  <c r="Z1211" i="27"/>
  <c r="Z1212" i="27"/>
  <c r="Z1214" i="27"/>
  <c r="Z1215" i="27"/>
  <c r="Z1217" i="27"/>
  <c r="Z1218" i="27"/>
  <c r="Z1220" i="27"/>
  <c r="Z1221" i="27"/>
  <c r="Z1222" i="27"/>
  <c r="Z1224" i="27"/>
  <c r="Z1225" i="27"/>
  <c r="Z1227" i="27"/>
  <c r="Z1228" i="27"/>
  <c r="Z1230" i="27"/>
  <c r="Z1231" i="27"/>
  <c r="Z1233" i="27"/>
  <c r="Z1234" i="27"/>
  <c r="Z1235" i="27"/>
  <c r="Z1237" i="27"/>
  <c r="Z1238" i="27"/>
  <c r="Z1240" i="27"/>
  <c r="Z1241" i="27"/>
  <c r="Z1243" i="27"/>
  <c r="Z1244" i="27"/>
  <c r="Z1246" i="27"/>
  <c r="Z1247" i="27"/>
  <c r="Z1248" i="27"/>
  <c r="Z1250" i="27"/>
  <c r="Z1251" i="27"/>
  <c r="Z1252" i="27"/>
  <c r="Z1254" i="27"/>
  <c r="Z1255" i="27"/>
  <c r="Z1257" i="27"/>
  <c r="Z1258" i="27"/>
  <c r="Z1260" i="27"/>
  <c r="Z1261" i="27"/>
  <c r="Z1263" i="27"/>
  <c r="Z1264" i="27"/>
  <c r="Z1265" i="27"/>
  <c r="Z1267" i="27"/>
  <c r="Z1268" i="27"/>
  <c r="Z1270" i="27"/>
  <c r="Z1271" i="27"/>
  <c r="Z1273" i="27"/>
  <c r="Z1274" i="27"/>
  <c r="Z1276" i="27"/>
  <c r="Z1277" i="27"/>
  <c r="Z1278" i="27"/>
  <c r="Z1280" i="27"/>
  <c r="Z1281" i="27"/>
  <c r="Z1283" i="27"/>
  <c r="Z1284" i="27"/>
  <c r="Z1286" i="27"/>
  <c r="Z1287" i="27"/>
  <c r="Z1289" i="27"/>
  <c r="Z1290" i="27"/>
  <c r="Z1291" i="27"/>
  <c r="Z1293" i="27"/>
  <c r="Z1294" i="27"/>
  <c r="Z1296" i="27"/>
  <c r="Z1297" i="27"/>
  <c r="Z1299" i="27"/>
  <c r="Z1300" i="27"/>
  <c r="Z1302" i="27"/>
  <c r="Z1303" i="27"/>
  <c r="Z1304" i="27"/>
  <c r="Z1306" i="27"/>
  <c r="Z1307" i="27"/>
  <c r="Z1308" i="27"/>
  <c r="Z1310" i="27"/>
  <c r="Z1311" i="27"/>
  <c r="Z1313" i="27"/>
  <c r="Z1314" i="27"/>
  <c r="Z1316" i="27"/>
  <c r="Z1317" i="27"/>
  <c r="Z1319" i="27"/>
  <c r="Z1320" i="27"/>
  <c r="Z1321" i="27"/>
  <c r="Z1323" i="27"/>
  <c r="Z1324" i="27"/>
  <c r="Z1326" i="27"/>
  <c r="Z1327" i="27"/>
  <c r="Z1329" i="27"/>
  <c r="Z1330" i="27"/>
  <c r="Z1332" i="27"/>
  <c r="Z1333" i="27"/>
  <c r="Z1334" i="27"/>
  <c r="Z1336" i="27"/>
  <c r="Z1337" i="27"/>
  <c r="Z1339" i="27"/>
  <c r="Z1340" i="27"/>
  <c r="Z1342" i="27"/>
  <c r="Z1343" i="27"/>
  <c r="Z1345" i="27"/>
  <c r="Z1346" i="27"/>
  <c r="Z1347" i="27"/>
  <c r="Z1349" i="27"/>
  <c r="Z1350" i="27"/>
  <c r="Z1352" i="27"/>
  <c r="Z1353" i="27"/>
  <c r="Z1355" i="27"/>
  <c r="Z1356" i="27"/>
  <c r="Z1358" i="27"/>
  <c r="Z1359" i="27"/>
  <c r="Z1360" i="27"/>
  <c r="Z1362" i="27"/>
  <c r="Z1363" i="27"/>
  <c r="Z1364" i="27"/>
  <c r="Z1366" i="27"/>
  <c r="Z1367" i="27"/>
  <c r="Z1368" i="27"/>
  <c r="Z1370" i="27"/>
  <c r="Z1371" i="27"/>
  <c r="Z1373" i="27"/>
  <c r="Z1374" i="27"/>
  <c r="Z1376" i="27"/>
  <c r="Z1377" i="27"/>
  <c r="Z1379" i="27"/>
  <c r="Z1380" i="27"/>
  <c r="Z1381" i="27"/>
  <c r="Z1383" i="27"/>
  <c r="Z1384" i="27"/>
  <c r="Z1386" i="27"/>
  <c r="Z1387" i="27"/>
  <c r="Z1389" i="27"/>
  <c r="Z1390" i="27"/>
  <c r="Z1392" i="27"/>
  <c r="Z1393" i="27"/>
  <c r="Z1394" i="27"/>
  <c r="Z1396" i="27"/>
  <c r="Z1397" i="27"/>
  <c r="Z1399" i="27"/>
  <c r="Z1400" i="27"/>
  <c r="Z1402" i="27"/>
  <c r="Z1403" i="27"/>
  <c r="Z1405" i="27"/>
  <c r="Z1406" i="27"/>
  <c r="Z1407" i="27"/>
  <c r="Z1409" i="27"/>
  <c r="Z1410" i="27"/>
  <c r="Z1412" i="27"/>
  <c r="Z1413" i="27"/>
  <c r="Z1415" i="27"/>
  <c r="Z1416" i="27"/>
  <c r="Z1418" i="27"/>
  <c r="Z1419" i="27"/>
  <c r="Z1420" i="27"/>
  <c r="Z1422" i="27"/>
  <c r="Z1423" i="27"/>
  <c r="Z1424" i="27"/>
  <c r="Z1426" i="27"/>
  <c r="Z1427" i="27"/>
  <c r="Z1429" i="27"/>
  <c r="Z1430" i="27"/>
  <c r="Z1432" i="27"/>
  <c r="Z1433" i="27"/>
  <c r="Z1435" i="27"/>
  <c r="Z1436" i="27"/>
  <c r="Z1437" i="27"/>
  <c r="Z1439" i="27"/>
  <c r="Z1440" i="27"/>
  <c r="Z1442" i="27"/>
  <c r="Z1443" i="27"/>
  <c r="Z1445" i="27"/>
  <c r="Z1446" i="27"/>
  <c r="Z1448" i="27"/>
  <c r="Z1449" i="27"/>
  <c r="Z1450" i="27"/>
  <c r="Z1452" i="27"/>
  <c r="Z1453" i="27"/>
  <c r="Z1455" i="27"/>
  <c r="Z1456" i="27"/>
  <c r="Z1458" i="27"/>
  <c r="Z1459" i="27"/>
  <c r="Z1461" i="27"/>
  <c r="Z1462" i="27"/>
  <c r="Z1463" i="27"/>
  <c r="Z1465" i="27"/>
  <c r="Z1466" i="27"/>
  <c r="Z1468" i="27"/>
  <c r="Z1469" i="27"/>
  <c r="Z1471" i="27"/>
  <c r="Z1472" i="27"/>
  <c r="Z1474" i="27"/>
  <c r="Z1475" i="27"/>
  <c r="Z1476" i="27"/>
  <c r="Z1478" i="27"/>
  <c r="Z1479" i="27"/>
  <c r="Z1480" i="27"/>
  <c r="Z1482" i="27"/>
  <c r="Z1483" i="27"/>
  <c r="Z1485" i="27"/>
  <c r="Z1486" i="27"/>
  <c r="Z1488" i="27"/>
  <c r="Z1489" i="27"/>
  <c r="Z1491" i="27"/>
  <c r="Z1492" i="27"/>
  <c r="Z1493" i="27"/>
  <c r="Z1495" i="27"/>
  <c r="Z1496" i="27"/>
  <c r="Z1498" i="27"/>
  <c r="Z1499" i="27"/>
  <c r="Z1501" i="27"/>
  <c r="Z1502" i="27"/>
  <c r="Z1504" i="27"/>
  <c r="Z1505" i="27"/>
  <c r="Z1506" i="27"/>
  <c r="Z1508" i="27"/>
  <c r="Z1509" i="27"/>
  <c r="Z1511" i="27"/>
  <c r="Z1512" i="27"/>
  <c r="Z1514" i="27"/>
  <c r="Z1515" i="27"/>
  <c r="Z1517" i="27"/>
  <c r="Z1518" i="27"/>
  <c r="Z1519" i="27"/>
  <c r="Z1521" i="27"/>
  <c r="Z1522" i="27"/>
  <c r="Z1524" i="27"/>
  <c r="Z1525" i="27"/>
  <c r="Z1527" i="27"/>
  <c r="Z1528" i="27"/>
  <c r="Z1530" i="27"/>
  <c r="Z1531" i="27"/>
  <c r="Z1532" i="27"/>
  <c r="Z1534" i="27"/>
  <c r="Z1535" i="27"/>
  <c r="Z1536" i="27"/>
  <c r="Z1538" i="27"/>
  <c r="Z1539" i="27"/>
  <c r="Z1541" i="27"/>
  <c r="Z1542" i="27"/>
  <c r="Z1544" i="27"/>
  <c r="Z1545" i="27"/>
  <c r="Z1547" i="27"/>
  <c r="Z1548" i="27"/>
  <c r="Z1549" i="27"/>
  <c r="Z1551" i="27"/>
  <c r="Z1552" i="27"/>
  <c r="Z1554" i="27"/>
  <c r="Z1555" i="27"/>
  <c r="Z1557" i="27"/>
  <c r="Z1558" i="27"/>
  <c r="Z1560" i="27"/>
  <c r="Z1561" i="27"/>
  <c r="Z1562" i="27"/>
  <c r="Z1564" i="27"/>
  <c r="Z1565" i="27"/>
  <c r="Z1567" i="27"/>
  <c r="Z1568" i="27"/>
  <c r="Z1570" i="27"/>
  <c r="Z1571" i="27"/>
  <c r="Z1573" i="27"/>
  <c r="Z1574" i="27"/>
  <c r="Z1575" i="27"/>
  <c r="Z1577" i="27"/>
  <c r="Z1578" i="27"/>
  <c r="Z1580" i="27"/>
  <c r="Z1581" i="27"/>
  <c r="Z1583" i="27"/>
  <c r="Z1584" i="27"/>
  <c r="Z1586" i="27"/>
  <c r="Z1587" i="27"/>
  <c r="Z1588" i="27"/>
  <c r="Z1590" i="27"/>
  <c r="Z1591" i="27"/>
  <c r="Z1592" i="27"/>
  <c r="Z1594" i="27"/>
  <c r="Z1595" i="27"/>
  <c r="Z1597" i="27"/>
  <c r="Z1598" i="27"/>
  <c r="Z1600" i="27"/>
  <c r="Z1601" i="27"/>
  <c r="Z1603" i="27"/>
  <c r="Z1604" i="27"/>
  <c r="Z1605" i="27"/>
  <c r="Z1607" i="27"/>
  <c r="Z1608" i="27"/>
  <c r="Z1610" i="27"/>
  <c r="Z1611" i="27"/>
  <c r="Z1613" i="27"/>
  <c r="Z1614" i="27"/>
  <c r="Z1616" i="27"/>
  <c r="Z1617" i="27"/>
  <c r="Z1618" i="27"/>
  <c r="Z1620" i="27"/>
  <c r="Z1621" i="27"/>
  <c r="Z1623" i="27"/>
  <c r="Z1624" i="27"/>
  <c r="Z1626" i="27"/>
  <c r="Z1627" i="27"/>
  <c r="Z1629" i="27"/>
  <c r="Z1630" i="27"/>
  <c r="Z1631" i="27"/>
  <c r="Z1633" i="27"/>
  <c r="Z1634" i="27"/>
  <c r="Z1636" i="27"/>
  <c r="Z1637" i="27"/>
  <c r="Z1639" i="27"/>
  <c r="Z1640" i="27"/>
  <c r="Z1642" i="27"/>
  <c r="Z1643" i="27"/>
  <c r="Z1644" i="27"/>
  <c r="Z1646" i="27"/>
  <c r="Z1647" i="27"/>
  <c r="Z1648" i="27"/>
  <c r="Z1650" i="27"/>
  <c r="Z1651" i="27"/>
  <c r="Z1653" i="27"/>
  <c r="Z1654" i="27"/>
  <c r="Z1656" i="27"/>
  <c r="Z1657" i="27"/>
  <c r="Z1659" i="27"/>
  <c r="Z1660" i="27"/>
  <c r="Z1661" i="27"/>
  <c r="Z1663" i="27"/>
  <c r="Z1664" i="27"/>
  <c r="Z1666" i="27"/>
  <c r="Z1667" i="27"/>
  <c r="Z1669" i="27"/>
  <c r="Z1670" i="27"/>
  <c r="Z1672" i="27"/>
  <c r="Z1673" i="27"/>
  <c r="Z1674" i="27"/>
  <c r="Z1676" i="27"/>
  <c r="Z1677" i="27"/>
  <c r="Z1679" i="27"/>
  <c r="Z1680" i="27"/>
  <c r="Z1682" i="27"/>
  <c r="Z1683" i="27"/>
  <c r="Z1685" i="27"/>
  <c r="Z1686" i="27"/>
  <c r="Z1687" i="27"/>
  <c r="Z1689" i="27"/>
  <c r="Z1690" i="27"/>
  <c r="Z1692" i="27"/>
  <c r="Z1693" i="27"/>
  <c r="Z1695" i="27"/>
  <c r="Z1696" i="27"/>
  <c r="Z1698" i="27"/>
  <c r="Z1699" i="27"/>
  <c r="Z1700" i="27"/>
  <c r="Z1702" i="27"/>
  <c r="Z1703" i="27"/>
  <c r="Z1704" i="27"/>
  <c r="Z1706" i="27"/>
  <c r="Z1707" i="27"/>
  <c r="Z1709" i="27"/>
  <c r="Z1710" i="27"/>
  <c r="Z1712" i="27"/>
  <c r="Z1713" i="27"/>
  <c r="Z1715" i="27"/>
  <c r="Z1716" i="27"/>
  <c r="Z1717" i="27"/>
  <c r="Z1719" i="27"/>
  <c r="Z1720" i="27"/>
  <c r="Z1722" i="27"/>
  <c r="Z1723" i="27"/>
  <c r="Z1725" i="27"/>
  <c r="Z1726" i="27"/>
  <c r="Z1728" i="27"/>
  <c r="Z1729" i="27"/>
  <c r="Z1730" i="27"/>
  <c r="Z1732" i="27"/>
  <c r="Z1733" i="27"/>
  <c r="Z1735" i="27"/>
  <c r="Z1736" i="27"/>
  <c r="Z1738" i="27"/>
  <c r="Z1739" i="27"/>
  <c r="Z1741" i="27"/>
  <c r="Z1742" i="27"/>
  <c r="Z1743" i="27"/>
  <c r="Z1745" i="27"/>
  <c r="Z1746" i="27"/>
  <c r="Z1748" i="27"/>
  <c r="Z1749" i="27"/>
  <c r="Z1751" i="27"/>
  <c r="Z1752" i="27"/>
  <c r="Z1754" i="27"/>
  <c r="Z1755" i="27"/>
  <c r="Z1756" i="27"/>
  <c r="Z1758" i="27"/>
  <c r="Z1759" i="27"/>
  <c r="Z1760" i="27"/>
  <c r="Z1762" i="27"/>
  <c r="Z1763" i="27"/>
  <c r="Z1765" i="27"/>
  <c r="Z1766" i="27"/>
  <c r="Z1768" i="27"/>
  <c r="Z1769" i="27"/>
  <c r="Z1771" i="27"/>
  <c r="Z1772" i="27"/>
  <c r="Z1773" i="27"/>
  <c r="Z1775" i="27"/>
  <c r="Z1776" i="27"/>
  <c r="Z1778" i="27"/>
  <c r="Z1779" i="27"/>
  <c r="Z1781" i="27"/>
  <c r="Z1782" i="27"/>
  <c r="Z1784" i="27"/>
  <c r="Z1785" i="27"/>
  <c r="Z1786" i="27"/>
  <c r="Z1788" i="27"/>
  <c r="Z1789" i="27"/>
  <c r="Z1791" i="27"/>
  <c r="Z1792" i="27"/>
  <c r="Z1794" i="27"/>
  <c r="Z1795" i="27"/>
  <c r="Z1797" i="27"/>
  <c r="Z1798" i="27"/>
  <c r="Z1799" i="27"/>
  <c r="Z1801" i="27"/>
  <c r="Z1802" i="27"/>
  <c r="Z1804" i="27"/>
  <c r="Z1805" i="27"/>
  <c r="Z1807" i="27"/>
  <c r="Z1808" i="27"/>
  <c r="X1809" i="27"/>
  <c r="X1796" i="27"/>
  <c r="X1783" i="27"/>
  <c r="X1770" i="27"/>
  <c r="X1757" i="27"/>
  <c r="X1753" i="27"/>
  <c r="X1740" i="27"/>
  <c r="X1727" i="27"/>
  <c r="X1714" i="27"/>
  <c r="X1701" i="27"/>
  <c r="X1697" i="27"/>
  <c r="X1684" i="27"/>
  <c r="X1671" i="27"/>
  <c r="X1658" i="27"/>
  <c r="X1645" i="27"/>
  <c r="X1641" i="27"/>
  <c r="X1628" i="27"/>
  <c r="X1615" i="27"/>
  <c r="X1602" i="27"/>
  <c r="X1589" i="27"/>
  <c r="X1585" i="27"/>
  <c r="X1572" i="27"/>
  <c r="X1559" i="27"/>
  <c r="X1546" i="27"/>
  <c r="X1533" i="27"/>
  <c r="X1529" i="27"/>
  <c r="X1516" i="27"/>
  <c r="X1503" i="27"/>
  <c r="X1490" i="27"/>
  <c r="X1477" i="27"/>
  <c r="X1473" i="27"/>
  <c r="X1460" i="27"/>
  <c r="X1447" i="27"/>
  <c r="X1434" i="27"/>
  <c r="X1421" i="27"/>
  <c r="X1417" i="27"/>
  <c r="X1404" i="27"/>
  <c r="X1391" i="27"/>
  <c r="X1378" i="27"/>
  <c r="X1365" i="27"/>
  <c r="X1361" i="27"/>
  <c r="X1357" i="27"/>
  <c r="X1344" i="27"/>
  <c r="X1331" i="27"/>
  <c r="X1318" i="27"/>
  <c r="X1305" i="27"/>
  <c r="X1301" i="27"/>
  <c r="X1288" i="27"/>
  <c r="X1275" i="27"/>
  <c r="X1262" i="27"/>
  <c r="X1249" i="27"/>
  <c r="X1245" i="27"/>
  <c r="X1232" i="27"/>
  <c r="X1219" i="27"/>
  <c r="X1206" i="27"/>
  <c r="X1193" i="27"/>
  <c r="X1189" i="27"/>
  <c r="X1176" i="27"/>
  <c r="X1163" i="27"/>
  <c r="X1150" i="27"/>
  <c r="X1137" i="27"/>
  <c r="X1133" i="27"/>
  <c r="X1120" i="27"/>
  <c r="X1107" i="27"/>
  <c r="X1094" i="27"/>
  <c r="X1081" i="27"/>
  <c r="X1077" i="27"/>
  <c r="X1064" i="27"/>
  <c r="X1051" i="27"/>
  <c r="X1038" i="27"/>
  <c r="X1025" i="27"/>
  <c r="X1021" i="27"/>
  <c r="X1008" i="27"/>
  <c r="X995" i="27"/>
  <c r="X982" i="27"/>
  <c r="X969" i="27"/>
  <c r="X965" i="27"/>
  <c r="X952" i="27"/>
  <c r="X939" i="27"/>
  <c r="X909" i="27"/>
  <c r="X913" i="27"/>
  <c r="X926" i="27"/>
  <c r="X904" i="27"/>
  <c r="X891" i="27"/>
  <c r="X878" i="27"/>
  <c r="X865" i="27"/>
  <c r="X852" i="27"/>
  <c r="X848" i="27"/>
  <c r="X835" i="27"/>
  <c r="X822" i="27"/>
  <c r="X809" i="27"/>
  <c r="X796" i="27"/>
  <c r="X792" i="27"/>
  <c r="X779" i="27"/>
  <c r="X766" i="27"/>
  <c r="X740" i="27"/>
  <c r="X753" i="27"/>
  <c r="X736" i="27"/>
  <c r="X723" i="27"/>
  <c r="X710" i="27"/>
  <c r="X697" i="27"/>
  <c r="X684" i="27"/>
  <c r="X680" i="27"/>
  <c r="X667" i="27"/>
  <c r="X654" i="27"/>
  <c r="X641" i="27"/>
  <c r="X628" i="27"/>
  <c r="X624" i="27"/>
  <c r="X611" i="27"/>
  <c r="X598" i="27"/>
  <c r="CF598" i="27" s="1"/>
  <c r="X585" i="27"/>
  <c r="CF585" i="27" s="1"/>
  <c r="X572" i="27"/>
  <c r="CF572" i="27" s="1"/>
  <c r="X568" i="27"/>
  <c r="CF568" i="27" s="1"/>
  <c r="X555" i="27"/>
  <c r="CF555" i="27" s="1"/>
  <c r="X542" i="27"/>
  <c r="CF542" i="27" s="1"/>
  <c r="X529" i="27"/>
  <c r="X516" i="27"/>
  <c r="X512" i="27"/>
  <c r="X499" i="27"/>
  <c r="X486" i="27"/>
  <c r="X473" i="27"/>
  <c r="X460" i="27"/>
  <c r="X456" i="27"/>
  <c r="X452" i="27"/>
  <c r="X439" i="27"/>
  <c r="X426" i="27"/>
  <c r="X400" i="27"/>
  <c r="X344" i="27"/>
  <c r="X288" i="27"/>
  <c r="X232" i="27"/>
  <c r="B22" i="5" l="1"/>
  <c r="B78" i="5"/>
  <c r="B76" i="5"/>
  <c r="B77" i="5" s="1"/>
  <c r="I637" i="27" s="1"/>
  <c r="B24" i="5"/>
  <c r="B109" i="5"/>
  <c r="B108" i="5"/>
  <c r="B106" i="5"/>
  <c r="B104" i="5"/>
  <c r="B103" i="5"/>
  <c r="B99" i="5"/>
  <c r="O717" i="27" s="1"/>
  <c r="B97" i="5"/>
  <c r="B95" i="5"/>
  <c r="M775" i="27" s="1"/>
  <c r="B94" i="5"/>
  <c r="M699" i="27" s="1"/>
  <c r="B55" i="5"/>
  <c r="B54" i="5"/>
  <c r="B52" i="5"/>
  <c r="B50" i="5"/>
  <c r="O308" i="27" s="1"/>
  <c r="B49" i="5"/>
  <c r="O298" i="27" s="1"/>
  <c r="B163" i="5"/>
  <c r="B162" i="5"/>
  <c r="B45" i="5"/>
  <c r="O377" i="27" s="1"/>
  <c r="B43" i="5"/>
  <c r="B41" i="5"/>
  <c r="B40" i="5"/>
  <c r="M415" i="27" s="1"/>
  <c r="B168" i="5"/>
  <c r="B167" i="5"/>
  <c r="B222" i="5"/>
  <c r="B221" i="5"/>
  <c r="B219" i="5"/>
  <c r="B217" i="5"/>
  <c r="B216" i="5"/>
  <c r="B212" i="5"/>
  <c r="B210" i="5"/>
  <c r="B208" i="5"/>
  <c r="B207" i="5"/>
  <c r="B192" i="5"/>
  <c r="I1654" i="27" s="1"/>
  <c r="B191" i="5"/>
  <c r="I1598" i="27" s="1"/>
  <c r="B190" i="5"/>
  <c r="I1542" i="27" s="1"/>
  <c r="B189" i="5"/>
  <c r="I1486" i="27" s="1"/>
  <c r="B160" i="5"/>
  <c r="O1002" i="27" s="1"/>
  <c r="O605" i="27" l="1"/>
  <c r="B25" i="5"/>
  <c r="D165" i="5"/>
  <c r="O17" i="27"/>
  <c r="O130" i="27"/>
  <c r="O582" i="27"/>
  <c r="BT582" i="27" s="1"/>
  <c r="O1091" i="27"/>
  <c r="O242" i="27"/>
  <c r="M811" i="27"/>
  <c r="O354" i="27"/>
  <c r="M435" i="27"/>
  <c r="M267" i="27"/>
  <c r="M323" i="27"/>
  <c r="M1660" i="27"/>
  <c r="M1716" i="27"/>
  <c r="M1772" i="27"/>
  <c r="M1604" i="27"/>
  <c r="O1240" i="27"/>
  <c r="O1213" i="27"/>
  <c r="O1352" i="27"/>
  <c r="O1325" i="27"/>
  <c r="O493" i="27"/>
  <c r="O470" i="27"/>
  <c r="O1375" i="27"/>
  <c r="O1510" i="27"/>
  <c r="O1398" i="27"/>
  <c r="O1804" i="27"/>
  <c r="O1665" i="27"/>
  <c r="O1777" i="27"/>
  <c r="O1692" i="27"/>
  <c r="O447" i="27"/>
  <c r="O420" i="27"/>
  <c r="O335" i="27"/>
  <c r="O885" i="27"/>
  <c r="O773" i="27"/>
  <c r="O750" i="27"/>
  <c r="O862" i="27"/>
  <c r="B23" i="5"/>
  <c r="I581" i="27"/>
  <c r="BN581" i="27" s="1"/>
  <c r="I129" i="27"/>
  <c r="M379" i="27"/>
  <c r="O1487" i="27"/>
  <c r="O1114" i="27"/>
  <c r="O979" i="27"/>
  <c r="O1711" i="27"/>
  <c r="O1599" i="27"/>
  <c r="O1734" i="27"/>
  <c r="O1622" i="27"/>
  <c r="O787" i="27"/>
  <c r="O872" i="27"/>
  <c r="O760" i="27"/>
  <c r="M303" i="27"/>
  <c r="O265" i="27"/>
  <c r="M755" i="27"/>
  <c r="M867" i="27"/>
  <c r="O1338" i="27"/>
  <c r="O1315" i="27"/>
  <c r="O1226" i="27"/>
  <c r="O1203" i="27"/>
  <c r="M887" i="27"/>
  <c r="M831" i="27"/>
  <c r="M719" i="27"/>
  <c r="O40" i="27"/>
  <c r="I241" i="27"/>
  <c r="M247" i="27"/>
  <c r="M359" i="27"/>
  <c r="O899" i="27"/>
  <c r="M1792" i="27"/>
  <c r="M1624" i="27"/>
  <c r="M1736" i="27"/>
  <c r="M1680" i="27"/>
  <c r="O1767" i="27"/>
  <c r="O1655" i="27"/>
  <c r="O1790" i="27"/>
  <c r="O1678" i="27"/>
  <c r="O410" i="27"/>
  <c r="O806" i="27"/>
  <c r="O694" i="27"/>
  <c r="O829" i="27"/>
  <c r="B79" i="5"/>
  <c r="I749" i="27" s="1"/>
  <c r="I693" i="27"/>
  <c r="O153" i="27"/>
  <c r="O321" i="27"/>
  <c r="O433" i="27"/>
  <c r="B101" i="5"/>
  <c r="B96" i="26"/>
  <c r="B47" i="5"/>
  <c r="D160" i="5" s="1"/>
  <c r="F160" i="5" s="1"/>
  <c r="B214" i="5"/>
  <c r="B165" i="5"/>
  <c r="B158" i="5"/>
  <c r="B156" i="5"/>
  <c r="B154" i="5"/>
  <c r="B153" i="5"/>
  <c r="B138" i="5"/>
  <c r="I1202" i="27" s="1"/>
  <c r="B137" i="5"/>
  <c r="I1146" i="27" s="1"/>
  <c r="B136" i="5"/>
  <c r="I1090" i="27" s="1"/>
  <c r="B135" i="5"/>
  <c r="I1034" i="27" s="1"/>
  <c r="B100" i="26"/>
  <c r="B92" i="26"/>
  <c r="G92" i="26"/>
  <c r="H77" i="26"/>
  <c r="H74" i="26"/>
  <c r="C77" i="26"/>
  <c r="C74" i="26"/>
  <c r="B70" i="26"/>
  <c r="B69" i="26"/>
  <c r="B68" i="26"/>
  <c r="B67" i="26"/>
  <c r="B66" i="26"/>
  <c r="B65" i="26"/>
  <c r="B64" i="26"/>
  <c r="B63" i="26"/>
  <c r="B52" i="26"/>
  <c r="B51" i="26"/>
  <c r="B17" i="26"/>
  <c r="B16" i="26"/>
  <c r="B14" i="26"/>
  <c r="B13" i="26"/>
  <c r="B34" i="26"/>
  <c r="B33" i="26"/>
  <c r="B31" i="26"/>
  <c r="B30" i="26"/>
  <c r="I185" i="27" l="1"/>
  <c r="I297" i="27"/>
  <c r="B33" i="5"/>
  <c r="B87" i="5"/>
  <c r="B31" i="5"/>
  <c r="B85" i="5"/>
  <c r="B89" i="5"/>
  <c r="F35" i="5"/>
  <c r="B35" i="5"/>
  <c r="B29" i="5"/>
  <c r="B83" i="5"/>
  <c r="F165" i="5"/>
  <c r="O638" i="27"/>
  <c r="O526" i="27"/>
  <c r="O661" i="27"/>
  <c r="O549" i="27"/>
  <c r="BT549" i="27" s="1"/>
  <c r="M1152" i="27"/>
  <c r="M1320" i="27"/>
  <c r="M1264" i="27"/>
  <c r="M1208" i="27"/>
  <c r="M1340" i="27"/>
  <c r="M1228" i="27"/>
  <c r="M1172" i="27"/>
  <c r="M1284" i="27"/>
  <c r="O1035" i="27"/>
  <c r="O1058" i="27"/>
  <c r="O923" i="27"/>
  <c r="O946" i="27"/>
  <c r="O1282" i="27"/>
  <c r="O1259" i="27"/>
  <c r="O1170" i="27"/>
  <c r="O1147" i="27"/>
  <c r="O1566" i="27"/>
  <c r="O1543" i="27"/>
  <c r="O1454" i="27"/>
  <c r="O209" i="27"/>
  <c r="O186" i="27"/>
  <c r="O97" i="27"/>
  <c r="O1431" i="27"/>
  <c r="O73" i="27"/>
  <c r="BO73" i="27" s="1"/>
  <c r="B75" i="26"/>
  <c r="B196" i="5"/>
  <c r="B104" i="26"/>
  <c r="B224" i="5"/>
  <c r="B57" i="5"/>
  <c r="B111" i="5"/>
  <c r="B200" i="5"/>
  <c r="B172" i="5"/>
  <c r="Q1273" i="27" s="1"/>
  <c r="B226" i="5"/>
  <c r="B59" i="5"/>
  <c r="B113" i="5"/>
  <c r="B198" i="5"/>
  <c r="B148" i="5"/>
  <c r="L401" i="27" s="1"/>
  <c r="B202" i="5"/>
  <c r="B151" i="5"/>
  <c r="B38" i="5"/>
  <c r="B205" i="5"/>
  <c r="B92" i="5"/>
  <c r="B130" i="5"/>
  <c r="G1170" i="27" s="1"/>
  <c r="B71" i="5"/>
  <c r="B184" i="5"/>
  <c r="G1622" i="27" s="1"/>
  <c r="B17" i="5"/>
  <c r="B166" i="5"/>
  <c r="B53" i="5"/>
  <c r="B107" i="5"/>
  <c r="B220" i="5"/>
  <c r="B129" i="5"/>
  <c r="G1055" i="27" s="1"/>
  <c r="B183" i="5"/>
  <c r="G1507" i="27" s="1"/>
  <c r="B159" i="5"/>
  <c r="B100" i="5"/>
  <c r="B46" i="5"/>
  <c r="B213" i="5"/>
  <c r="B161" i="5"/>
  <c r="B215" i="5"/>
  <c r="B48" i="5"/>
  <c r="B102" i="5"/>
  <c r="B140" i="5"/>
  <c r="B194" i="5"/>
  <c r="I1766" i="27" s="1"/>
  <c r="B128" i="5"/>
  <c r="B15" i="5"/>
  <c r="B69" i="5"/>
  <c r="B182" i="5"/>
  <c r="B35" i="26"/>
  <c r="B131" i="5"/>
  <c r="B185" i="5"/>
  <c r="G1731" i="27" s="1"/>
  <c r="B133" i="5"/>
  <c r="I922" i="27" s="1"/>
  <c r="B74" i="5"/>
  <c r="B187" i="5"/>
  <c r="I1374" i="27" s="1"/>
  <c r="B20" i="5"/>
  <c r="B157" i="5"/>
  <c r="B98" i="5"/>
  <c r="B44" i="5"/>
  <c r="B211" i="5"/>
  <c r="G104" i="26"/>
  <c r="B146" i="5"/>
  <c r="B78" i="26"/>
  <c r="G75" i="26"/>
  <c r="B144" i="5"/>
  <c r="B170" i="5"/>
  <c r="B82" i="26"/>
  <c r="B142" i="5"/>
  <c r="B32" i="26"/>
  <c r="G78" i="26"/>
  <c r="B15" i="26"/>
  <c r="B18" i="26"/>
  <c r="B36" i="26"/>
  <c r="B19" i="26"/>
  <c r="B23" i="26"/>
  <c r="B40" i="26"/>
  <c r="C5" i="26"/>
  <c r="D5" i="26"/>
  <c r="B5" i="5"/>
  <c r="B8" i="25"/>
  <c r="E11" i="17"/>
  <c r="E10" i="17"/>
  <c r="D11" i="17"/>
  <c r="D10" i="17"/>
  <c r="C11" i="17"/>
  <c r="C10" i="17"/>
  <c r="B11" i="17"/>
  <c r="B10" i="17"/>
  <c r="G1398" i="27" l="1"/>
  <c r="G946" i="27"/>
  <c r="I16" i="27"/>
  <c r="D148" i="5"/>
  <c r="G40" i="27"/>
  <c r="E35" i="5"/>
  <c r="D118" i="5"/>
  <c r="A103" i="27"/>
  <c r="B126" i="5"/>
  <c r="F302" i="27" s="1"/>
  <c r="Q1030" i="27"/>
  <c r="Q1148" i="27"/>
  <c r="Q980" i="27"/>
  <c r="Q299" i="27"/>
  <c r="I1314" i="27"/>
  <c r="J409" i="27"/>
  <c r="D137" i="5"/>
  <c r="D170" i="5"/>
  <c r="F170" i="5" s="1"/>
  <c r="Q355" i="27"/>
  <c r="Q131" i="27"/>
  <c r="Q243" i="27"/>
  <c r="Q74" i="27"/>
  <c r="BQ74" i="27" s="1"/>
  <c r="Q411" i="27"/>
  <c r="Q187" i="27"/>
  <c r="G1279" i="27"/>
  <c r="H374" i="27"/>
  <c r="M22" i="27"/>
  <c r="D151" i="5"/>
  <c r="F151" i="5" s="1"/>
  <c r="B6" i="5"/>
  <c r="K741" i="27"/>
  <c r="B90" i="5"/>
  <c r="K853" i="27"/>
  <c r="K177" i="27"/>
  <c r="K64" i="27"/>
  <c r="BK64" i="27" s="1"/>
  <c r="B32" i="5"/>
  <c r="D145" i="5" s="1"/>
  <c r="K289" i="27"/>
  <c r="K401" i="27"/>
  <c r="M401" i="27" s="1"/>
  <c r="K629" i="27"/>
  <c r="K517" i="27"/>
  <c r="B86" i="5"/>
  <c r="B37" i="26"/>
  <c r="B180" i="5" s="1"/>
  <c r="E1659" i="27" s="1"/>
  <c r="K461" i="27"/>
  <c r="B84" i="5"/>
  <c r="K480" i="27" s="1"/>
  <c r="K573" i="27"/>
  <c r="BP573" i="27" s="1"/>
  <c r="B30" i="5"/>
  <c r="K121" i="27"/>
  <c r="K8" i="27"/>
  <c r="K233" i="27"/>
  <c r="B34" i="5"/>
  <c r="K345" i="27"/>
  <c r="B6" i="29"/>
  <c r="B6" i="28"/>
  <c r="K797" i="27"/>
  <c r="K685" i="27"/>
  <c r="B88" i="5"/>
  <c r="Q1310" i="27"/>
  <c r="Q987" i="27"/>
  <c r="Q1161" i="27"/>
  <c r="K1422" i="27"/>
  <c r="K1534" i="27"/>
  <c r="O507" i="27"/>
  <c r="O480" i="27"/>
  <c r="O1553" i="27"/>
  <c r="O1468" i="27"/>
  <c r="O1441" i="27"/>
  <c r="O223" i="27"/>
  <c r="O196" i="27"/>
  <c r="O111" i="27"/>
  <c r="O1580" i="27"/>
  <c r="O83" i="27"/>
  <c r="BO83" i="27" s="1"/>
  <c r="Q873" i="27"/>
  <c r="Q761" i="27"/>
  <c r="Q649" i="27"/>
  <c r="Q537" i="27"/>
  <c r="BV537" i="27" s="1"/>
  <c r="Q899" i="27"/>
  <c r="Q787" i="27"/>
  <c r="Q675" i="27"/>
  <c r="Q563" i="27"/>
  <c r="BV563" i="27" s="1"/>
  <c r="Q817" i="27"/>
  <c r="Q705" i="27"/>
  <c r="Q593" i="27"/>
  <c r="BV593" i="27" s="1"/>
  <c r="Q843" i="27"/>
  <c r="Q731" i="27"/>
  <c r="Q619" i="27"/>
  <c r="Q507" i="27"/>
  <c r="Q481" i="27"/>
  <c r="Q678" i="27"/>
  <c r="Q708" i="27"/>
  <c r="Q560" i="27"/>
  <c r="BV560" i="27" s="1"/>
  <c r="Q540" i="27"/>
  <c r="BV540" i="27" s="1"/>
  <c r="Q616" i="27"/>
  <c r="Q646" i="27"/>
  <c r="Q510" i="27"/>
  <c r="Q566" i="27"/>
  <c r="BV566" i="27" s="1"/>
  <c r="Q596" i="27"/>
  <c r="BV596" i="27" s="1"/>
  <c r="Q896" i="27"/>
  <c r="Q876" i="27"/>
  <c r="Q652" i="27"/>
  <c r="Q504" i="27"/>
  <c r="Q534" i="27"/>
  <c r="BV534" i="27" s="1"/>
  <c r="Q846" i="27"/>
  <c r="Q814" i="27"/>
  <c r="Q902" i="27"/>
  <c r="Q484" i="27"/>
  <c r="Q478" i="27"/>
  <c r="Q784" i="27"/>
  <c r="Q764" i="27"/>
  <c r="Q790" i="27"/>
  <c r="Q672" i="27"/>
  <c r="Q728" i="27"/>
  <c r="Q622" i="27"/>
  <c r="Q590" i="27"/>
  <c r="BV590" i="27" s="1"/>
  <c r="Q840" i="27"/>
  <c r="Q870" i="27"/>
  <c r="Q734" i="27"/>
  <c r="Q702" i="27"/>
  <c r="Q820" i="27"/>
  <c r="Q758" i="27"/>
  <c r="Q1049" i="27"/>
  <c r="Q1099" i="27"/>
  <c r="Q1329" i="27"/>
  <c r="O592" i="27"/>
  <c r="BT592" i="27" s="1"/>
  <c r="O619" i="27"/>
  <c r="O140" i="27"/>
  <c r="O54" i="27"/>
  <c r="O27" i="27"/>
  <c r="O167" i="27"/>
  <c r="K1082" i="27"/>
  <c r="K970" i="27"/>
  <c r="O933" i="27"/>
  <c r="O960" i="27"/>
  <c r="O1045" i="27"/>
  <c r="O1072" i="27"/>
  <c r="M475" i="27"/>
  <c r="M643" i="27"/>
  <c r="M531" i="27"/>
  <c r="BR531" i="27" s="1"/>
  <c r="Q447" i="27"/>
  <c r="Q421" i="27"/>
  <c r="Q365" i="27"/>
  <c r="Q279" i="27"/>
  <c r="Q111" i="27"/>
  <c r="Q54" i="27"/>
  <c r="Q200" i="27"/>
  <c r="Q167" i="27"/>
  <c r="Q309" i="27"/>
  <c r="Q197" i="27"/>
  <c r="Q306" i="27"/>
  <c r="Q223" i="27"/>
  <c r="Q194" i="27"/>
  <c r="Q87" i="27"/>
  <c r="Q28" i="27"/>
  <c r="Q368" i="27"/>
  <c r="Q335" i="27"/>
  <c r="Q84" i="27"/>
  <c r="Q391" i="27"/>
  <c r="Q362" i="27"/>
  <c r="Q256" i="27"/>
  <c r="Q144" i="27"/>
  <c r="Q253" i="27"/>
  <c r="Q141" i="27"/>
  <c r="Q220" i="27"/>
  <c r="Q31" i="27"/>
  <c r="Q450" i="27"/>
  <c r="Q25" i="27"/>
  <c r="Q81" i="27"/>
  <c r="BQ81" i="27" s="1"/>
  <c r="Q394" i="27"/>
  <c r="Q170" i="27"/>
  <c r="Q51" i="27"/>
  <c r="Q424" i="27"/>
  <c r="Q138" i="27"/>
  <c r="Q338" i="27"/>
  <c r="Q226" i="27"/>
  <c r="Q418" i="27"/>
  <c r="Q250" i="27"/>
  <c r="Q388" i="27"/>
  <c r="Q332" i="27"/>
  <c r="Q164" i="27"/>
  <c r="Q444" i="27"/>
  <c r="Q108" i="27"/>
  <c r="Q57" i="27"/>
  <c r="Q282" i="27"/>
  <c r="Q312" i="27"/>
  <c r="Q114" i="27"/>
  <c r="Q276" i="27"/>
  <c r="K1478" i="27"/>
  <c r="K1366" i="27"/>
  <c r="Q1211" i="27"/>
  <c r="Q1267" i="27"/>
  <c r="Q1791" i="27"/>
  <c r="Q1712" i="27"/>
  <c r="Q1679" i="27"/>
  <c r="Q1600" i="27"/>
  <c r="Q1567" i="27"/>
  <c r="Q1488" i="27"/>
  <c r="Q1455" i="27"/>
  <c r="Q1738" i="27"/>
  <c r="Q1709" i="27"/>
  <c r="Q1626" i="27"/>
  <c r="Q1597" i="27"/>
  <c r="Q1514" i="27"/>
  <c r="Q1485" i="27"/>
  <c r="Q1376" i="27"/>
  <c r="Q1373" i="27"/>
  <c r="Q1768" i="27"/>
  <c r="Q1735" i="27"/>
  <c r="Q1656" i="27"/>
  <c r="Q1623" i="27"/>
  <c r="Q1544" i="27"/>
  <c r="Q1511" i="27"/>
  <c r="Q1432" i="27"/>
  <c r="Q1402" i="27"/>
  <c r="Q1794" i="27"/>
  <c r="Q1765" i="27"/>
  <c r="Q1682" i="27"/>
  <c r="Q1653" i="27"/>
  <c r="Q1570" i="27"/>
  <c r="Q1541" i="27"/>
  <c r="Q1458" i="27"/>
  <c r="Q1429" i="27"/>
  <c r="Q1399" i="27"/>
  <c r="Q1538" i="27"/>
  <c r="Q1482" i="27"/>
  <c r="Q1426" i="27"/>
  <c r="Q1370" i="27"/>
  <c r="Q1788" i="27"/>
  <c r="Q1732" i="27"/>
  <c r="Q1762" i="27"/>
  <c r="Q1676" i="27"/>
  <c r="Q1620" i="27"/>
  <c r="Q1650" i="27"/>
  <c r="Q1564" i="27"/>
  <c r="Q1508" i="27"/>
  <c r="Q1594" i="27"/>
  <c r="Q1452" i="27"/>
  <c r="Q1396" i="27"/>
  <c r="Q1706" i="27"/>
  <c r="Q1339" i="27"/>
  <c r="Q1260" i="27"/>
  <c r="Q1227" i="27"/>
  <c r="Q1115" i="27"/>
  <c r="Q1036" i="27"/>
  <c r="Q1003" i="27"/>
  <c r="Q921" i="27"/>
  <c r="Q1257" i="27"/>
  <c r="Q1145" i="27"/>
  <c r="Q1033" i="27"/>
  <c r="Q1316" i="27"/>
  <c r="Q1283" i="27"/>
  <c r="Q1204" i="27"/>
  <c r="Q1171" i="27"/>
  <c r="Q1092" i="27"/>
  <c r="Q1059" i="27"/>
  <c r="Q1313" i="27"/>
  <c r="Q1201" i="27"/>
  <c r="Q1089" i="27"/>
  <c r="Q977" i="27"/>
  <c r="Q947" i="27"/>
  <c r="Q924" i="27"/>
  <c r="Q1062" i="27"/>
  <c r="Q950" i="27"/>
  <c r="Q944" i="27"/>
  <c r="Q1000" i="27"/>
  <c r="Q1342" i="27"/>
  <c r="Q1280" i="27"/>
  <c r="Q1174" i="27"/>
  <c r="Q1112" i="27"/>
  <c r="Q1336" i="27"/>
  <c r="Q1230" i="27"/>
  <c r="Q1286" i="27"/>
  <c r="Q1168" i="27"/>
  <c r="Q1056" i="27"/>
  <c r="Q1006" i="27"/>
  <c r="Q1224" i="27"/>
  <c r="Q1118" i="27"/>
  <c r="B70" i="5"/>
  <c r="G493" i="27"/>
  <c r="O989" i="27"/>
  <c r="O1128" i="27"/>
  <c r="O1101" i="27"/>
  <c r="O1016" i="27"/>
  <c r="M1380" i="27"/>
  <c r="M1548" i="27"/>
  <c r="M1436" i="27"/>
  <c r="M1492" i="27"/>
  <c r="Q1386" i="27"/>
  <c r="Q1412" i="27"/>
  <c r="Q1722" i="27"/>
  <c r="Q1610" i="27"/>
  <c r="Q1498" i="27"/>
  <c r="Q1778" i="27"/>
  <c r="Q1692" i="27"/>
  <c r="Q1636" i="27"/>
  <c r="Q1554" i="27"/>
  <c r="Q1468" i="27"/>
  <c r="Q1804" i="27"/>
  <c r="Q1580" i="27"/>
  <c r="Q1666" i="27"/>
  <c r="Q1442" i="27"/>
  <c r="Q1748" i="27"/>
  <c r="Q1524" i="27"/>
  <c r="Q1689" i="27"/>
  <c r="Q1445" i="27"/>
  <c r="Q1807" i="27"/>
  <c r="Q1639" i="27"/>
  <c r="Q1383" i="27"/>
  <c r="Q1725" i="27"/>
  <c r="Q1577" i="27"/>
  <c r="Q1607" i="27"/>
  <c r="Q1669" i="27"/>
  <c r="Q1633" i="27"/>
  <c r="Q1751" i="27"/>
  <c r="Q1527" i="27"/>
  <c r="Q1521" i="27"/>
  <c r="Q1583" i="27"/>
  <c r="Q1465" i="27"/>
  <c r="Q1439" i="27"/>
  <c r="Q1501" i="27"/>
  <c r="Q1695" i="27"/>
  <c r="Q1613" i="27"/>
  <c r="Q1801" i="27"/>
  <c r="Q1745" i="27"/>
  <c r="Q1415" i="27"/>
  <c r="Q1781" i="27"/>
  <c r="Q1471" i="27"/>
  <c r="Q1495" i="27"/>
  <c r="Q1389" i="27"/>
  <c r="Q1409" i="27"/>
  <c r="Q1775" i="27"/>
  <c r="Q1551" i="27"/>
  <c r="Q1557" i="27"/>
  <c r="Q1719" i="27"/>
  <c r="Q1663" i="27"/>
  <c r="Q1217" i="27"/>
  <c r="Q1142" i="27"/>
  <c r="O648" i="27"/>
  <c r="O563" i="27"/>
  <c r="BT563" i="27" s="1"/>
  <c r="O536" i="27"/>
  <c r="BT536" i="27" s="1"/>
  <c r="O675" i="27"/>
  <c r="Q934" i="27"/>
  <c r="Q960" i="27"/>
  <c r="Q1270" i="27"/>
  <c r="Q1158" i="27"/>
  <c r="Q1046" i="27"/>
  <c r="Q1072" i="27"/>
  <c r="Q1184" i="27"/>
  <c r="Q1102" i="27"/>
  <c r="Q990" i="27"/>
  <c r="Q1352" i="27"/>
  <c r="Q1016" i="27"/>
  <c r="Q1296" i="27"/>
  <c r="Q1214" i="27"/>
  <c r="Q1128" i="27"/>
  <c r="Q1131" i="27"/>
  <c r="Q1240" i="27"/>
  <c r="Q1326" i="27"/>
  <c r="Q957" i="27"/>
  <c r="Q1243" i="27"/>
  <c r="Q1349" i="27"/>
  <c r="Q963" i="27"/>
  <c r="Q1069" i="27"/>
  <c r="Q1299" i="27"/>
  <c r="Q1355" i="27"/>
  <c r="Q1125" i="27"/>
  <c r="Q1075" i="27"/>
  <c r="Q1293" i="27"/>
  <c r="Q1237" i="27"/>
  <c r="Q1019" i="27"/>
  <c r="Q1187" i="27"/>
  <c r="Q1181" i="27"/>
  <c r="Q1013" i="27"/>
  <c r="Q937" i="27"/>
  <c r="Q993" i="27"/>
  <c r="Q1254" i="27"/>
  <c r="O1636" i="27"/>
  <c r="O1609" i="27"/>
  <c r="O1748" i="27"/>
  <c r="O1721" i="27"/>
  <c r="K1138" i="27"/>
  <c r="K1250" i="27"/>
  <c r="B75" i="5"/>
  <c r="I525" i="27" s="1"/>
  <c r="I469" i="27"/>
  <c r="O391" i="27"/>
  <c r="O279" i="27"/>
  <c r="O364" i="27"/>
  <c r="O252" i="27"/>
  <c r="M1040" i="27"/>
  <c r="M984" i="27"/>
  <c r="M1096" i="27"/>
  <c r="M928" i="27"/>
  <c r="K1590" i="27"/>
  <c r="K1702" i="27"/>
  <c r="Q1155" i="27"/>
  <c r="Q1105" i="27"/>
  <c r="Q974" i="27"/>
  <c r="M587" i="27"/>
  <c r="BR587" i="27" s="1"/>
  <c r="M191" i="27"/>
  <c r="M78" i="27"/>
  <c r="BM78" i="27" s="1"/>
  <c r="M135" i="27"/>
  <c r="K1026" i="27"/>
  <c r="K914" i="27"/>
  <c r="O843" i="27"/>
  <c r="O731" i="27"/>
  <c r="O816" i="27"/>
  <c r="O704" i="27"/>
  <c r="B18" i="5"/>
  <c r="G265" i="27"/>
  <c r="K1758" i="27"/>
  <c r="K1646" i="27"/>
  <c r="Q471" i="27"/>
  <c r="Q833" i="27"/>
  <c r="Q804" i="27"/>
  <c r="Q721" i="27"/>
  <c r="Q692" i="27"/>
  <c r="Q609" i="27"/>
  <c r="Q580" i="27"/>
  <c r="BV580" i="27" s="1"/>
  <c r="Q497" i="27"/>
  <c r="Q639" i="27"/>
  <c r="Q553" i="27"/>
  <c r="BV553" i="27" s="1"/>
  <c r="Q468" i="27"/>
  <c r="Q886" i="27"/>
  <c r="Q751" i="27"/>
  <c r="Q665" i="27"/>
  <c r="Q583" i="27"/>
  <c r="BV583" i="27" s="1"/>
  <c r="Q494" i="27"/>
  <c r="Q830" i="27"/>
  <c r="Q748" i="27"/>
  <c r="Q662" i="27"/>
  <c r="Q863" i="27"/>
  <c r="Q777" i="27"/>
  <c r="Q695" i="27"/>
  <c r="Q606" i="27"/>
  <c r="Q524" i="27"/>
  <c r="Q860" i="27"/>
  <c r="Q889" i="27"/>
  <c r="Q636" i="27"/>
  <c r="Q718" i="27"/>
  <c r="Q807" i="27"/>
  <c r="Q774" i="27"/>
  <c r="Q550" i="27"/>
  <c r="BV550" i="27" s="1"/>
  <c r="Q527" i="27"/>
  <c r="Q689" i="27"/>
  <c r="Q659" i="27"/>
  <c r="Q603" i="27"/>
  <c r="Q547" i="27"/>
  <c r="BV547" i="27" s="1"/>
  <c r="Q857" i="27"/>
  <c r="Q801" i="27"/>
  <c r="Q521" i="27"/>
  <c r="Q771" i="27"/>
  <c r="Q715" i="27"/>
  <c r="Q745" i="27"/>
  <c r="Q491" i="27"/>
  <c r="Q633" i="27"/>
  <c r="Q883" i="27"/>
  <c r="Q465" i="27"/>
  <c r="Q577" i="27"/>
  <c r="Q827" i="27"/>
  <c r="Q1043" i="27"/>
  <c r="Q1323" i="27"/>
  <c r="Q1086" i="27"/>
  <c r="B72" i="5"/>
  <c r="G826" i="27" s="1"/>
  <c r="G717" i="27"/>
  <c r="O1524" i="27"/>
  <c r="O1497" i="27"/>
  <c r="O1385" i="27"/>
  <c r="O1412" i="27"/>
  <c r="O1269" i="27"/>
  <c r="O1184" i="27"/>
  <c r="O1157" i="27"/>
  <c r="O1296" i="27"/>
  <c r="K1194" i="27"/>
  <c r="K1306" i="27"/>
  <c r="Q408" i="27"/>
  <c r="Q210" i="27"/>
  <c r="Q378" i="27"/>
  <c r="Q266" i="27"/>
  <c r="Q98" i="27"/>
  <c r="Q296" i="27"/>
  <c r="Q128" i="27"/>
  <c r="Q41" i="27"/>
  <c r="Q322" i="27"/>
  <c r="Q154" i="27"/>
  <c r="Q352" i="27"/>
  <c r="Q240" i="27"/>
  <c r="Q349" i="27"/>
  <c r="Q237" i="27"/>
  <c r="Q18" i="27"/>
  <c r="Q184" i="27"/>
  <c r="Q293" i="27"/>
  <c r="Q125" i="27"/>
  <c r="Q15" i="27"/>
  <c r="Q181" i="27"/>
  <c r="Q71" i="27"/>
  <c r="BQ71" i="27" s="1"/>
  <c r="Q434" i="27"/>
  <c r="Q68" i="27"/>
  <c r="BQ68" i="27" s="1"/>
  <c r="Q263" i="27"/>
  <c r="Q381" i="27"/>
  <c r="Q151" i="27"/>
  <c r="Q207" i="27"/>
  <c r="Q431" i="27"/>
  <c r="Q437" i="27"/>
  <c r="Q38" i="27"/>
  <c r="Q95" i="27"/>
  <c r="Q12" i="27"/>
  <c r="Q319" i="27"/>
  <c r="Q213" i="27"/>
  <c r="Q325" i="27"/>
  <c r="Q269" i="27"/>
  <c r="Q157" i="27"/>
  <c r="Q375" i="27"/>
  <c r="Q405" i="27"/>
  <c r="Q101" i="27"/>
  <c r="Q44" i="27"/>
  <c r="Q918" i="27"/>
  <c r="Q931" i="27"/>
  <c r="Q1198" i="27"/>
  <c r="X1744" i="27"/>
  <c r="X1718" i="27"/>
  <c r="X1507" i="27"/>
  <c r="X1481" i="27"/>
  <c r="X1348" i="27"/>
  <c r="X1322" i="27"/>
  <c r="X1111" i="27"/>
  <c r="X1085" i="27"/>
  <c r="X744" i="27"/>
  <c r="X714" i="27"/>
  <c r="X688" i="27"/>
  <c r="X503" i="27"/>
  <c r="X477" i="27"/>
  <c r="X219" i="27"/>
  <c r="X1688" i="27"/>
  <c r="X1662" i="27"/>
  <c r="X1632" i="27"/>
  <c r="X1606" i="27"/>
  <c r="X1395" i="27"/>
  <c r="X1369" i="27"/>
  <c r="X1236" i="27"/>
  <c r="X1210" i="27"/>
  <c r="X999" i="27"/>
  <c r="X973" i="27"/>
  <c r="X839" i="27"/>
  <c r="X813" i="27"/>
  <c r="X602" i="27"/>
  <c r="X576" i="27"/>
  <c r="CF576" i="27" s="1"/>
  <c r="X443" i="27"/>
  <c r="X417" i="27"/>
  <c r="X348" i="27"/>
  <c r="X1787" i="27"/>
  <c r="X1761" i="27"/>
  <c r="X1576" i="27"/>
  <c r="X1550" i="27"/>
  <c r="X1180" i="27"/>
  <c r="X1154" i="27"/>
  <c r="X943" i="27"/>
  <c r="X783" i="27"/>
  <c r="X757" i="27"/>
  <c r="X546" i="27"/>
  <c r="CF546" i="27" s="1"/>
  <c r="X520" i="27"/>
  <c r="X275" i="27"/>
  <c r="X206" i="27"/>
  <c r="X1675" i="27"/>
  <c r="X1649" i="27"/>
  <c r="X1464" i="27"/>
  <c r="X1438" i="27"/>
  <c r="X1279" i="27"/>
  <c r="X1253" i="27"/>
  <c r="X1068" i="27"/>
  <c r="X1042" i="27"/>
  <c r="X917" i="27"/>
  <c r="X882" i="27"/>
  <c r="X856" i="27"/>
  <c r="X671" i="27"/>
  <c r="X645" i="27"/>
  <c r="X404" i="27"/>
  <c r="X1619" i="27"/>
  <c r="X1593" i="27"/>
  <c r="X1408" i="27"/>
  <c r="X1382" i="27"/>
  <c r="X1223" i="27"/>
  <c r="X1197" i="27"/>
  <c r="X1012" i="27"/>
  <c r="X986" i="27"/>
  <c r="X826" i="27"/>
  <c r="X800" i="27"/>
  <c r="X615" i="27"/>
  <c r="X589" i="27"/>
  <c r="CF589" i="27" s="1"/>
  <c r="X430" i="27"/>
  <c r="X331" i="27"/>
  <c r="X262" i="27"/>
  <c r="X124" i="27"/>
  <c r="X11" i="27"/>
  <c r="X318" i="27"/>
  <c r="X249" i="27"/>
  <c r="X193" i="27"/>
  <c r="X80" i="27"/>
  <c r="X1705" i="27"/>
  <c r="X1266" i="27"/>
  <c r="X1800" i="27"/>
  <c r="X1520" i="27"/>
  <c r="X1335" i="27"/>
  <c r="X1292" i="27"/>
  <c r="X1098" i="27"/>
  <c r="X1055" i="27"/>
  <c r="X727" i="27"/>
  <c r="X490" i="27"/>
  <c r="X387" i="27"/>
  <c r="X305" i="27"/>
  <c r="X150" i="27"/>
  <c r="X37" i="27"/>
  <c r="X1537" i="27"/>
  <c r="X50" i="27"/>
  <c r="X1731" i="27"/>
  <c r="X1563" i="27"/>
  <c r="X1425" i="27"/>
  <c r="X1141" i="27"/>
  <c r="X956" i="27"/>
  <c r="X869" i="27"/>
  <c r="X770" i="27"/>
  <c r="X632" i="27"/>
  <c r="X533" i="27"/>
  <c r="CF533" i="27" s="1"/>
  <c r="X374" i="27"/>
  <c r="X292" i="27"/>
  <c r="X236" i="27"/>
  <c r="X107" i="27"/>
  <c r="X361" i="27"/>
  <c r="X180" i="27"/>
  <c r="X67" i="27"/>
  <c r="X1774" i="27"/>
  <c r="X137" i="27"/>
  <c r="X24" i="27"/>
  <c r="X1494" i="27"/>
  <c r="X1451" i="27"/>
  <c r="X1309" i="27"/>
  <c r="X1124" i="27"/>
  <c r="X895" i="27"/>
  <c r="X701" i="27"/>
  <c r="X658" i="27"/>
  <c r="X464" i="27"/>
  <c r="X94" i="27"/>
  <c r="X1167" i="27"/>
  <c r="X1029" i="27"/>
  <c r="X930" i="27"/>
  <c r="X559" i="27"/>
  <c r="CF559" i="27" s="1"/>
  <c r="X163" i="27"/>
  <c r="B16" i="5"/>
  <c r="B21" i="5"/>
  <c r="B149" i="5"/>
  <c r="B203" i="5"/>
  <c r="B147" i="5"/>
  <c r="B201" i="5"/>
  <c r="B173" i="5"/>
  <c r="B227" i="5"/>
  <c r="B60" i="5"/>
  <c r="B114" i="5"/>
  <c r="B122" i="5"/>
  <c r="C910" i="27" s="1"/>
  <c r="B9" i="5"/>
  <c r="B139" i="5"/>
  <c r="I1258" i="27" s="1"/>
  <c r="B26" i="5"/>
  <c r="B80" i="5"/>
  <c r="B193" i="5"/>
  <c r="I1710" i="27" s="1"/>
  <c r="B171" i="5"/>
  <c r="B225" i="5"/>
  <c r="B58" i="5"/>
  <c r="B112" i="5"/>
  <c r="B152" i="5"/>
  <c r="B206" i="5"/>
  <c r="B39" i="5"/>
  <c r="B93" i="5"/>
  <c r="B134" i="5"/>
  <c r="I978" i="27" s="1"/>
  <c r="B188" i="5"/>
  <c r="I1430" i="27" s="1"/>
  <c r="B145" i="5"/>
  <c r="B199" i="5"/>
  <c r="B143" i="5"/>
  <c r="B197" i="5"/>
  <c r="B20" i="26"/>
  <c r="G9" i="26" s="1"/>
  <c r="B6" i="26"/>
  <c r="B118" i="5"/>
  <c r="B26" i="26"/>
  <c r="B125" i="5" s="1"/>
  <c r="D152" i="5" l="1"/>
  <c r="F152" i="5" s="1"/>
  <c r="C4" i="27"/>
  <c r="U3" i="27" s="1"/>
  <c r="D134" i="5"/>
  <c r="F134" i="5" s="1"/>
  <c r="A555" i="27"/>
  <c r="BF555" i="27" s="1"/>
  <c r="CE555" i="27" s="1"/>
  <c r="E1207" i="27"/>
  <c r="A1008" i="27"/>
  <c r="U909" i="27" s="1"/>
  <c r="B103" i="27"/>
  <c r="C103" i="27" s="1"/>
  <c r="F118" i="5"/>
  <c r="F145" i="5"/>
  <c r="D143" i="5"/>
  <c r="F143" i="5" s="1"/>
  <c r="K27" i="27"/>
  <c r="Q586" i="27"/>
  <c r="BV586" i="27" s="1"/>
  <c r="BV577" i="27"/>
  <c r="Q927" i="27"/>
  <c r="G374" i="27"/>
  <c r="D131" i="5"/>
  <c r="F131" i="5" s="1"/>
  <c r="Q302" i="27"/>
  <c r="Q1276" i="27"/>
  <c r="Q1177" i="27"/>
  <c r="Q1319" i="27"/>
  <c r="Q1207" i="27"/>
  <c r="Q1246" i="27"/>
  <c r="Q754" i="27"/>
  <c r="Q285" i="27"/>
  <c r="Q341" i="27"/>
  <c r="B4" i="29"/>
  <c r="B5" i="29"/>
  <c r="K196" i="27"/>
  <c r="K83" i="27"/>
  <c r="BK83" i="27" s="1"/>
  <c r="Q1461" i="27"/>
  <c r="K536" i="27"/>
  <c r="BP536" i="27" s="1"/>
  <c r="K648" i="27"/>
  <c r="G26" i="26"/>
  <c r="B179" i="5" s="1"/>
  <c r="E1436" i="27" s="1"/>
  <c r="Q1039" i="27"/>
  <c r="Q1573" i="27"/>
  <c r="Q625" i="27"/>
  <c r="Q905" i="27"/>
  <c r="K816" i="27"/>
  <c r="K704" i="27"/>
  <c r="K760" i="27"/>
  <c r="K872" i="27"/>
  <c r="Q1095" i="27"/>
  <c r="Q500" i="27"/>
  <c r="Q1491" i="27"/>
  <c r="Q315" i="27"/>
  <c r="Q1065" i="27"/>
  <c r="K140" i="27"/>
  <c r="K592" i="27"/>
  <c r="BP592" i="27" s="1"/>
  <c r="K364" i="27"/>
  <c r="K252" i="27"/>
  <c r="Q1121" i="27"/>
  <c r="Q229" i="27"/>
  <c r="Q134" i="27"/>
  <c r="Q698" i="27"/>
  <c r="Q780" i="27"/>
  <c r="Q1009" i="27"/>
  <c r="Q440" i="27"/>
  <c r="Q642" i="27"/>
  <c r="Q1220" i="27"/>
  <c r="Q599" i="27"/>
  <c r="BV599" i="27" s="1"/>
  <c r="Q668" i="27"/>
  <c r="Q1547" i="27"/>
  <c r="Q983" i="27"/>
  <c r="Q1358" i="27"/>
  <c r="Q1418" i="27"/>
  <c r="Q793" i="27"/>
  <c r="Q530" i="27"/>
  <c r="BV530" i="27" s="1"/>
  <c r="Q1190" i="27"/>
  <c r="Q1530" i="27"/>
  <c r="Q1642" i="27"/>
  <c r="Q1151" i="27"/>
  <c r="Q1517" i="27"/>
  <c r="Q1164" i="27"/>
  <c r="Q1659" i="27"/>
  <c r="Q397" i="27"/>
  <c r="Q328" i="27"/>
  <c r="Q1784" i="27"/>
  <c r="Q1629" i="27"/>
  <c r="Q259" i="27"/>
  <c r="Q849" i="27"/>
  <c r="Q724" i="27"/>
  <c r="Q1560" i="27"/>
  <c r="Q1685" i="27"/>
  <c r="Q1108" i="27"/>
  <c r="Q1405" i="27"/>
  <c r="Q104" i="27"/>
  <c r="Q1603" i="27"/>
  <c r="K1213" i="27"/>
  <c r="K1325" i="27"/>
  <c r="Q569" i="27"/>
  <c r="BV569" i="27" s="1"/>
  <c r="K1441" i="27"/>
  <c r="K1553" i="27"/>
  <c r="K1665" i="27"/>
  <c r="K1777" i="27"/>
  <c r="Q272" i="27"/>
  <c r="Q190" i="27"/>
  <c r="Q612" i="27"/>
  <c r="Q996" i="27"/>
  <c r="Q1078" i="27"/>
  <c r="Q1474" i="27"/>
  <c r="Q1233" i="27"/>
  <c r="Q953" i="27"/>
  <c r="Q147" i="27"/>
  <c r="Q90" i="27"/>
  <c r="Q1052" i="27"/>
  <c r="Q681" i="27"/>
  <c r="K1101" i="27"/>
  <c r="K989" i="27"/>
  <c r="Q216" i="27"/>
  <c r="Q1586" i="27"/>
  <c r="Q1728" i="27"/>
  <c r="Q1715" i="27"/>
  <c r="Q60" i="27"/>
  <c r="Q823" i="27"/>
  <c r="Q513" i="27"/>
  <c r="Q47" i="27"/>
  <c r="Q384" i="27"/>
  <c r="Q836" i="27"/>
  <c r="Q1302" i="27"/>
  <c r="Q1134" i="27"/>
  <c r="Q1771" i="27"/>
  <c r="Q453" i="27"/>
  <c r="Q1741" i="27"/>
  <c r="Q34" i="27"/>
  <c r="Q737" i="27"/>
  <c r="Q767" i="27"/>
  <c r="M551" i="27"/>
  <c r="BR551" i="27" s="1"/>
  <c r="M663" i="27"/>
  <c r="M495" i="27"/>
  <c r="M607" i="27"/>
  <c r="M99" i="27"/>
  <c r="M42" i="27"/>
  <c r="M155" i="27"/>
  <c r="M211" i="27"/>
  <c r="B81" i="5"/>
  <c r="I861" i="27" s="1"/>
  <c r="I805" i="27"/>
  <c r="Q414" i="27"/>
  <c r="Q77" i="27"/>
  <c r="BQ77" i="27" s="1"/>
  <c r="Q474" i="27"/>
  <c r="Q810" i="27"/>
  <c r="Q1022" i="27"/>
  <c r="Q966" i="27"/>
  <c r="Q1616" i="27"/>
  <c r="Q1754" i="27"/>
  <c r="Q1810" i="27"/>
  <c r="Q1345" i="27"/>
  <c r="Q1797" i="27"/>
  <c r="Q427" i="27"/>
  <c r="Q655" i="27"/>
  <c r="Q543" i="27"/>
  <c r="BV543" i="27" s="1"/>
  <c r="G602" i="27"/>
  <c r="G150" i="27"/>
  <c r="K1497" i="27"/>
  <c r="K1385" i="27"/>
  <c r="M1456" i="27"/>
  <c r="M1512" i="27"/>
  <c r="M1568" i="27"/>
  <c r="M1400" i="27"/>
  <c r="B27" i="5"/>
  <c r="I353" i="27"/>
  <c r="K1721" i="27"/>
  <c r="K1609" i="27"/>
  <c r="Q246" i="27"/>
  <c r="Q892" i="27"/>
  <c r="Q866" i="27"/>
  <c r="Q1392" i="27"/>
  <c r="Q1698" i="27"/>
  <c r="Q1448" i="27"/>
  <c r="Q1379" i="27"/>
  <c r="Q371" i="27"/>
  <c r="Q1332" i="27"/>
  <c r="Q879" i="27"/>
  <c r="Q940" i="27"/>
  <c r="K1045" i="27"/>
  <c r="K933" i="27"/>
  <c r="M1116" i="27"/>
  <c r="M948" i="27"/>
  <c r="M1004" i="27"/>
  <c r="M1060" i="27"/>
  <c r="K1269" i="27"/>
  <c r="K1157" i="27"/>
  <c r="Q160" i="27"/>
  <c r="Q358" i="27"/>
  <c r="Q556" i="27"/>
  <c r="BV556" i="27" s="1"/>
  <c r="Q1263" i="27"/>
  <c r="Q1504" i="27"/>
  <c r="Q1672" i="27"/>
  <c r="Q1289" i="27"/>
  <c r="Q1435" i="27"/>
  <c r="Q117" i="27"/>
  <c r="Q173" i="27"/>
  <c r="Q203" i="27"/>
  <c r="Q487" i="27"/>
  <c r="Q711" i="27"/>
  <c r="I72" i="27"/>
  <c r="BI72" i="27" s="1"/>
  <c r="B119" i="5"/>
  <c r="A1460" i="27" s="1"/>
  <c r="B66" i="5"/>
  <c r="B123" i="5"/>
  <c r="B10" i="5"/>
  <c r="B63" i="5"/>
  <c r="C457" i="27" s="1"/>
  <c r="B176" i="5"/>
  <c r="C1362" i="27" s="1"/>
  <c r="E984" i="27"/>
  <c r="B12" i="5"/>
  <c r="E78" i="27" s="1"/>
  <c r="D13" i="11"/>
  <c r="K462" i="27" s="1"/>
  <c r="U456" i="27" l="1"/>
  <c r="AA456" i="27" s="1"/>
  <c r="I409" i="27"/>
  <c r="K409" i="27" s="1"/>
  <c r="C148" i="27"/>
  <c r="D123" i="5"/>
  <c r="F123" i="5" s="1"/>
  <c r="C1053" i="27"/>
  <c r="U1305" i="27" s="1"/>
  <c r="AA1305" i="27" s="1"/>
  <c r="D148" i="27"/>
  <c r="AA3" i="27"/>
  <c r="I374" i="27"/>
  <c r="AA909" i="27"/>
  <c r="U1361" i="27"/>
  <c r="K915" i="27"/>
  <c r="K1759" i="27"/>
  <c r="W1757" i="27" s="1"/>
  <c r="K1307" i="27"/>
  <c r="K854" i="27"/>
  <c r="K402" i="27"/>
  <c r="K1703" i="27"/>
  <c r="W1701" i="27" s="1"/>
  <c r="K1251" i="27"/>
  <c r="K798" i="27"/>
  <c r="K346" i="27"/>
  <c r="K1647" i="27"/>
  <c r="K1195" i="27"/>
  <c r="K742" i="27"/>
  <c r="K290" i="27"/>
  <c r="K1535" i="27"/>
  <c r="K630" i="27"/>
  <c r="K1027" i="27"/>
  <c r="K122" i="27"/>
  <c r="K1591" i="27"/>
  <c r="K1139" i="27"/>
  <c r="K686" i="27"/>
  <c r="K234" i="27"/>
  <c r="K1083" i="27"/>
  <c r="K178" i="27"/>
  <c r="K1479" i="27"/>
  <c r="K574" i="27"/>
  <c r="BP574" i="27" s="1"/>
  <c r="K1423" i="27"/>
  <c r="K971" i="27"/>
  <c r="K518" i="27"/>
  <c r="K65" i="27"/>
  <c r="BK65" i="27" s="1"/>
  <c r="K1367" i="27"/>
  <c r="C459" i="27"/>
  <c r="K9" i="27"/>
  <c r="B67" i="5"/>
  <c r="E754" i="27" s="1"/>
  <c r="E531" i="27"/>
  <c r="C5" i="27"/>
  <c r="C1363" i="27"/>
  <c r="W1361" i="27" s="1"/>
  <c r="C458" i="27"/>
  <c r="C911" i="27"/>
  <c r="B13" i="5"/>
  <c r="B177" i="5"/>
  <c r="C1505" i="27" s="1"/>
  <c r="U1569" i="27" s="1"/>
  <c r="B64" i="5"/>
  <c r="C600" i="27" s="1"/>
  <c r="BH600" i="27" s="1"/>
  <c r="CG600" i="27" s="1"/>
  <c r="U1213" i="27" l="1"/>
  <c r="U1338" i="27"/>
  <c r="U1262" i="27"/>
  <c r="AA1262" i="27" s="1"/>
  <c r="U1226" i="27"/>
  <c r="U1351" i="27"/>
  <c r="U1130" i="27"/>
  <c r="U1282" i="27"/>
  <c r="U1242" i="27"/>
  <c r="U1279" i="27"/>
  <c r="AA1279" i="27" s="1"/>
  <c r="U1328" i="27"/>
  <c r="U1147" i="27"/>
  <c r="U1229" i="27"/>
  <c r="U1295" i="27"/>
  <c r="U1318" i="27"/>
  <c r="AA1318" i="27" s="1"/>
  <c r="U1071" i="27"/>
  <c r="U1245" i="27"/>
  <c r="AA1245" i="27" s="1"/>
  <c r="U1331" i="27"/>
  <c r="AA1331" i="27" s="1"/>
  <c r="U1206" i="27"/>
  <c r="AA1206" i="27" s="1"/>
  <c r="U1256" i="27"/>
  <c r="U1292" i="27"/>
  <c r="AA1292" i="27" s="1"/>
  <c r="U1344" i="27"/>
  <c r="AA1344" i="27" s="1"/>
  <c r="U1186" i="27"/>
  <c r="U1038" i="27"/>
  <c r="AA1038" i="27" s="1"/>
  <c r="U1200" i="27"/>
  <c r="U1236" i="27"/>
  <c r="AA1236" i="27" s="1"/>
  <c r="U1259" i="27"/>
  <c r="U1298" i="27"/>
  <c r="U1312" i="27"/>
  <c r="U1357" i="27"/>
  <c r="AA1357" i="27" s="1"/>
  <c r="U1107" i="27"/>
  <c r="AA1107" i="27" s="1"/>
  <c r="U1183" i="27"/>
  <c r="U1098" i="27"/>
  <c r="AA1098" i="27" s="1"/>
  <c r="U1058" i="27"/>
  <c r="U1144" i="27"/>
  <c r="U1104" i="27"/>
  <c r="U1061" i="27"/>
  <c r="U973" i="27"/>
  <c r="AA973" i="27" s="1"/>
  <c r="U989" i="27"/>
  <c r="U1219" i="27"/>
  <c r="AA1219" i="27" s="1"/>
  <c r="U1197" i="27"/>
  <c r="AA1197" i="27" s="1"/>
  <c r="U1232" i="27"/>
  <c r="AA1232" i="27" s="1"/>
  <c r="U1239" i="27"/>
  <c r="U1275" i="27"/>
  <c r="AA1275" i="27" s="1"/>
  <c r="U1266" i="27"/>
  <c r="AA1266" i="27" s="1"/>
  <c r="U1288" i="27"/>
  <c r="AA1288" i="27" s="1"/>
  <c r="U1285" i="27"/>
  <c r="U1309" i="27"/>
  <c r="AA1309" i="27" s="1"/>
  <c r="U1315" i="27"/>
  <c r="U1322" i="27"/>
  <c r="AA1322" i="27" s="1"/>
  <c r="U1354" i="27"/>
  <c r="U1154" i="27"/>
  <c r="AA1154" i="27" s="1"/>
  <c r="U1189" i="27"/>
  <c r="AA1189" i="27" s="1"/>
  <c r="U1101" i="27"/>
  <c r="U1091" i="27"/>
  <c r="U1048" i="27"/>
  <c r="U1051" i="27"/>
  <c r="AA1051" i="27" s="1"/>
  <c r="U982" i="27"/>
  <c r="AA982" i="27" s="1"/>
  <c r="U1216" i="27"/>
  <c r="U1223" i="27"/>
  <c r="AA1223" i="27" s="1"/>
  <c r="U1203" i="27"/>
  <c r="U1210" i="27"/>
  <c r="AA1210" i="27" s="1"/>
  <c r="U1272" i="27"/>
  <c r="U1253" i="27"/>
  <c r="AA1253" i="27" s="1"/>
  <c r="U1269" i="27"/>
  <c r="U1301" i="27"/>
  <c r="AA1301" i="27" s="1"/>
  <c r="U1325" i="27"/>
  <c r="U1335" i="27"/>
  <c r="AA1335" i="27" s="1"/>
  <c r="U1341" i="27"/>
  <c r="U1348" i="27"/>
  <c r="AA1348" i="27" s="1"/>
  <c r="U1167" i="27"/>
  <c r="AA1167" i="27" s="1"/>
  <c r="U1157" i="27"/>
  <c r="U1176" i="27"/>
  <c r="AA1176" i="27" s="1"/>
  <c r="U1085" i="27"/>
  <c r="AA1085" i="27" s="1"/>
  <c r="U1117" i="27"/>
  <c r="U1055" i="27"/>
  <c r="AA1055" i="27" s="1"/>
  <c r="U1068" i="27"/>
  <c r="AA1068" i="27" s="1"/>
  <c r="U1005" i="27"/>
  <c r="U933" i="27"/>
  <c r="U986" i="27"/>
  <c r="AA986" i="27" s="1"/>
  <c r="U979" i="27"/>
  <c r="U949" i="27"/>
  <c r="U1002" i="27"/>
  <c r="U995" i="27"/>
  <c r="AA995" i="27" s="1"/>
  <c r="U920" i="27"/>
  <c r="U917" i="27"/>
  <c r="AA917" i="27" s="1"/>
  <c r="U946" i="27"/>
  <c r="U939" i="27"/>
  <c r="AA939" i="27" s="1"/>
  <c r="U969" i="27"/>
  <c r="AA969" i="27" s="1"/>
  <c r="U1141" i="27"/>
  <c r="AA1141" i="27" s="1"/>
  <c r="U1150" i="27"/>
  <c r="AA1150" i="27" s="1"/>
  <c r="U1160" i="27"/>
  <c r="U1170" i="27"/>
  <c r="U1094" i="27"/>
  <c r="AA1094" i="27" s="1"/>
  <c r="U1133" i="27"/>
  <c r="AA1133" i="27" s="1"/>
  <c r="U1111" i="27"/>
  <c r="AA1111" i="27" s="1"/>
  <c r="U1088" i="27"/>
  <c r="U1249" i="27"/>
  <c r="AA1249" i="27" s="1"/>
  <c r="U1029" i="27"/>
  <c r="AA1029" i="27" s="1"/>
  <c r="U1074" i="27"/>
  <c r="U1032" i="27"/>
  <c r="U1077" i="27"/>
  <c r="AA1077" i="27" s="1"/>
  <c r="U999" i="27"/>
  <c r="AA999" i="27" s="1"/>
  <c r="U1018" i="27"/>
  <c r="U1012" i="27"/>
  <c r="AA1012" i="27" s="1"/>
  <c r="U1008" i="27"/>
  <c r="AA1008" i="27" s="1"/>
  <c r="U962" i="27"/>
  <c r="U943" i="27"/>
  <c r="AA943" i="27" s="1"/>
  <c r="U930" i="27"/>
  <c r="AA930" i="27" s="1"/>
  <c r="U1025" i="27"/>
  <c r="AA1025" i="27" s="1"/>
  <c r="U1173" i="27"/>
  <c r="U1163" i="27"/>
  <c r="AA1163" i="27" s="1"/>
  <c r="U1180" i="27"/>
  <c r="AA1180" i="27" s="1"/>
  <c r="U1127" i="27"/>
  <c r="U1124" i="27"/>
  <c r="AA1124" i="27" s="1"/>
  <c r="U1120" i="27"/>
  <c r="AA1120" i="27" s="1"/>
  <c r="U1114" i="27"/>
  <c r="U1035" i="27"/>
  <c r="U1045" i="27"/>
  <c r="U1064" i="27"/>
  <c r="AA1064" i="27" s="1"/>
  <c r="U1042" i="27"/>
  <c r="AA1042" i="27" s="1"/>
  <c r="U992" i="27"/>
  <c r="U976" i="27"/>
  <c r="U1021" i="27"/>
  <c r="AA1021" i="27" s="1"/>
  <c r="U1015" i="27"/>
  <c r="U1081" i="27"/>
  <c r="AA1081" i="27" s="1"/>
  <c r="U965" i="27"/>
  <c r="AA965" i="27" s="1"/>
  <c r="U936" i="27"/>
  <c r="U923" i="27"/>
  <c r="U1193" i="27"/>
  <c r="AA1193" i="27" s="1"/>
  <c r="U952" i="27"/>
  <c r="AA952" i="27" s="1"/>
  <c r="U956" i="27"/>
  <c r="AA956" i="27" s="1"/>
  <c r="U959" i="27"/>
  <c r="U1137" i="27"/>
  <c r="AA1137" i="27" s="1"/>
  <c r="U913" i="27"/>
  <c r="AA913" i="27" s="1"/>
  <c r="U926" i="27"/>
  <c r="AA926" i="27" s="1"/>
  <c r="E148" i="27"/>
  <c r="U1457" i="27"/>
  <c r="BJ531" i="27"/>
  <c r="CI531" i="27" s="1"/>
  <c r="U552" i="27"/>
  <c r="U565" i="27"/>
  <c r="E302" i="27"/>
  <c r="U255" i="27" s="1"/>
  <c r="D126" i="5"/>
  <c r="F126" i="5" s="1"/>
  <c r="U67" i="27"/>
  <c r="BE78" i="27"/>
  <c r="AA1361" i="27"/>
  <c r="Z1361" i="27"/>
  <c r="U602" i="27"/>
  <c r="U133" i="27"/>
  <c r="U658" i="27"/>
  <c r="U635" i="27"/>
  <c r="U1582" i="27"/>
  <c r="U1770" i="27"/>
  <c r="U1454" i="27"/>
  <c r="U1780" i="27"/>
  <c r="U608" i="27"/>
  <c r="U611" i="27"/>
  <c r="U1470" i="27"/>
  <c r="U1526" i="27"/>
  <c r="U1675" i="27"/>
  <c r="U1507" i="27"/>
  <c r="U1408" i="27"/>
  <c r="U225" i="27"/>
  <c r="U100" i="27"/>
  <c r="U1411" i="27"/>
  <c r="U1662" i="27"/>
  <c r="U1718" i="27"/>
  <c r="U1602" i="27"/>
  <c r="U180" i="27"/>
  <c r="U110" i="27"/>
  <c r="U1744" i="27"/>
  <c r="U1622" i="27"/>
  <c r="U130" i="27"/>
  <c r="U1559" i="27"/>
  <c r="U704" i="27"/>
  <c r="U730" i="27"/>
  <c r="U723" i="27"/>
  <c r="U701" i="27"/>
  <c r="U707" i="27"/>
  <c r="U747" i="27"/>
  <c r="U744" i="27"/>
  <c r="U717" i="27"/>
  <c r="U727" i="27"/>
  <c r="U733" i="27"/>
  <c r="U779" i="27"/>
  <c r="U760" i="27"/>
  <c r="U684" i="27"/>
  <c r="U792" i="27"/>
  <c r="U773" i="27"/>
  <c r="U753" i="27"/>
  <c r="U740" i="27"/>
  <c r="U766" i="27"/>
  <c r="U776" i="27"/>
  <c r="U710" i="27"/>
  <c r="U763" i="27"/>
  <c r="U688" i="27"/>
  <c r="U694" i="27"/>
  <c r="U750" i="27"/>
  <c r="U789" i="27"/>
  <c r="U714" i="27"/>
  <c r="U720" i="27"/>
  <c r="U757" i="27"/>
  <c r="U691" i="27"/>
  <c r="U736" i="27"/>
  <c r="U697" i="27"/>
  <c r="U770" i="27"/>
  <c r="U786" i="27"/>
  <c r="U783" i="27"/>
  <c r="U813" i="27"/>
  <c r="U806" i="27"/>
  <c r="U1477" i="27"/>
  <c r="U1649" i="27"/>
  <c r="U1688" i="27"/>
  <c r="U1783" i="27"/>
  <c r="U1796" i="27"/>
  <c r="U1490" i="27"/>
  <c r="U1494" i="27"/>
  <c r="U1724" i="27"/>
  <c r="U1721" i="27"/>
  <c r="U59" i="27"/>
  <c r="U677" i="27"/>
  <c r="U595" i="27"/>
  <c r="U605" i="27"/>
  <c r="U579" i="27"/>
  <c r="U1375" i="27"/>
  <c r="U1382" i="27"/>
  <c r="U1606" i="27"/>
  <c r="U1632" i="27"/>
  <c r="U215" i="27"/>
  <c r="U212" i="27"/>
  <c r="U163" i="27"/>
  <c r="U166" i="27"/>
  <c r="U143" i="27"/>
  <c r="U888" i="27"/>
  <c r="U856" i="27"/>
  <c r="U1425" i="27"/>
  <c r="U1428" i="27"/>
  <c r="U107" i="27"/>
  <c r="U86" i="27"/>
  <c r="U1572" i="27"/>
  <c r="U1537" i="27"/>
  <c r="U829" i="27"/>
  <c r="U1652" i="27"/>
  <c r="U1665" i="27"/>
  <c r="U1761" i="27"/>
  <c r="U1774" i="27"/>
  <c r="U1500" i="27"/>
  <c r="U1503" i="27"/>
  <c r="U1727" i="27"/>
  <c r="U1731" i="27"/>
  <c r="U671" i="27"/>
  <c r="U674" i="27"/>
  <c r="U592" i="27"/>
  <c r="U615" i="27"/>
  <c r="U628" i="27"/>
  <c r="U1372" i="27"/>
  <c r="U1417" i="27"/>
  <c r="U1609" i="27"/>
  <c r="U1641" i="27"/>
  <c r="U189" i="27"/>
  <c r="U186" i="27"/>
  <c r="U124" i="27"/>
  <c r="U127" i="27"/>
  <c r="U140" i="27"/>
  <c r="U865" i="27"/>
  <c r="U878" i="27"/>
  <c r="U1447" i="27"/>
  <c r="U1464" i="27"/>
  <c r="U70" i="27"/>
  <c r="U89" i="27"/>
  <c r="U1556" i="27"/>
  <c r="U1546" i="27"/>
  <c r="U842" i="27"/>
  <c r="U1579" i="27"/>
  <c r="U43" i="27"/>
  <c r="U819" i="27"/>
  <c r="U816" i="27"/>
  <c r="U46" i="27"/>
  <c r="U1678" i="27"/>
  <c r="U1691" i="27"/>
  <c r="U1787" i="27"/>
  <c r="U1800" i="27"/>
  <c r="U1516" i="27"/>
  <c r="U1487" i="27"/>
  <c r="U1753" i="27"/>
  <c r="U1734" i="27"/>
  <c r="U638" i="27"/>
  <c r="U621" i="27"/>
  <c r="U589" i="27"/>
  <c r="U641" i="27"/>
  <c r="U572" i="27"/>
  <c r="U1385" i="27"/>
  <c r="U1401" i="27"/>
  <c r="U1612" i="27"/>
  <c r="U1635" i="27"/>
  <c r="U202" i="27"/>
  <c r="U193" i="27"/>
  <c r="U150" i="27"/>
  <c r="U169" i="27"/>
  <c r="U895" i="27"/>
  <c r="U904" i="27"/>
  <c r="U1460" i="27"/>
  <c r="U1444" i="27"/>
  <c r="U94" i="27"/>
  <c r="U80" i="27"/>
  <c r="U1540" i="27"/>
  <c r="U1566" i="27"/>
  <c r="U885" i="27"/>
  <c r="U845" i="27"/>
  <c r="U1668" i="27"/>
  <c r="U1655" i="27"/>
  <c r="U40" i="27"/>
  <c r="U1764" i="27"/>
  <c r="U1803" i="27"/>
  <c r="U1484" i="27"/>
  <c r="U1497" i="27"/>
  <c r="U1708" i="27"/>
  <c r="U1737" i="27"/>
  <c r="U624" i="27"/>
  <c r="U598" i="27"/>
  <c r="U645" i="27"/>
  <c r="U664" i="27"/>
  <c r="U1391" i="27"/>
  <c r="U1404" i="27"/>
  <c r="U1615" i="27"/>
  <c r="U1638" i="27"/>
  <c r="U206" i="27"/>
  <c r="U199" i="27"/>
  <c r="U159" i="27"/>
  <c r="U137" i="27"/>
  <c r="U872" i="27"/>
  <c r="U875" i="27"/>
  <c r="U852" i="27"/>
  <c r="U1441" i="27"/>
  <c r="U76" i="27"/>
  <c r="U1585" i="27"/>
  <c r="U1553" i="27"/>
  <c r="U835" i="27"/>
  <c r="U1365" i="27"/>
  <c r="U7" i="27"/>
  <c r="U27" i="27"/>
  <c r="U11" i="27"/>
  <c r="U30" i="27"/>
  <c r="U50" i="27"/>
  <c r="U37" i="27"/>
  <c r="U24" i="27"/>
  <c r="U14" i="27"/>
  <c r="U17" i="27"/>
  <c r="U800" i="27"/>
  <c r="U822" i="27"/>
  <c r="U796" i="27"/>
  <c r="U1694" i="27"/>
  <c r="U1681" i="27"/>
  <c r="U33" i="27"/>
  <c r="U1790" i="27"/>
  <c r="U1806" i="27"/>
  <c r="U1510" i="27"/>
  <c r="U1481" i="27"/>
  <c r="U1705" i="27"/>
  <c r="U1747" i="27"/>
  <c r="U648" i="27"/>
  <c r="U680" i="27"/>
  <c r="U661" i="27"/>
  <c r="U654" i="27"/>
  <c r="U1398" i="27"/>
  <c r="U1395" i="27"/>
  <c r="U1593" i="27"/>
  <c r="U1619" i="27"/>
  <c r="U196" i="27"/>
  <c r="U222" i="27"/>
  <c r="U146" i="27"/>
  <c r="U156" i="27"/>
  <c r="U869" i="27"/>
  <c r="U862" i="27"/>
  <c r="U1467" i="27"/>
  <c r="U1473" i="27"/>
  <c r="U116" i="27"/>
  <c r="U83" i="27"/>
  <c r="U1543" i="27"/>
  <c r="U1550" i="27"/>
  <c r="U891" i="27"/>
  <c r="U826" i="27"/>
  <c r="U1421" i="27"/>
  <c r="U1671" i="27"/>
  <c r="U1658" i="27"/>
  <c r="U1767" i="27"/>
  <c r="U1809" i="27"/>
  <c r="U1520" i="27"/>
  <c r="U1513" i="27"/>
  <c r="U1711" i="27"/>
  <c r="U1750" i="27"/>
  <c r="U632" i="27"/>
  <c r="U582" i="27"/>
  <c r="U585" i="27"/>
  <c r="U1414" i="27"/>
  <c r="U1369" i="27"/>
  <c r="U1599" i="27"/>
  <c r="U1625" i="27"/>
  <c r="U219" i="27"/>
  <c r="U228" i="27"/>
  <c r="U176" i="27"/>
  <c r="U120" i="27"/>
  <c r="U901" i="27"/>
  <c r="U859" i="27"/>
  <c r="U1451" i="27"/>
  <c r="U1434" i="27"/>
  <c r="U113" i="27"/>
  <c r="U97" i="27"/>
  <c r="U63" i="27"/>
  <c r="U53" i="27"/>
  <c r="U839" i="27"/>
  <c r="U1701" i="27"/>
  <c r="U1589" i="27"/>
  <c r="U1645" i="27"/>
  <c r="U1757" i="27"/>
  <c r="U832" i="27"/>
  <c r="U803" i="27"/>
  <c r="U809" i="27"/>
  <c r="U848" i="27"/>
  <c r="U529" i="27"/>
  <c r="U568" i="27"/>
  <c r="U496" i="27"/>
  <c r="U506" i="27"/>
  <c r="U533" i="27"/>
  <c r="U549" i="27"/>
  <c r="U542" i="27"/>
  <c r="U464" i="27"/>
  <c r="U480" i="27"/>
  <c r="U460" i="27"/>
  <c r="U523" i="27"/>
  <c r="U516" i="27"/>
  <c r="U470" i="27"/>
  <c r="U467" i="27"/>
  <c r="U536" i="27"/>
  <c r="U559" i="27"/>
  <c r="U486" i="27"/>
  <c r="U503" i="27"/>
  <c r="U555" i="27"/>
  <c r="U526" i="27"/>
  <c r="U546" i="27"/>
  <c r="U483" i="27"/>
  <c r="U493" i="27"/>
  <c r="U539" i="27"/>
  <c r="U520" i="27"/>
  <c r="U473" i="27"/>
  <c r="U512" i="27"/>
  <c r="U509" i="27"/>
  <c r="U499" i="27"/>
  <c r="U562" i="27"/>
  <c r="U490" i="27"/>
  <c r="U477" i="27"/>
  <c r="U1697" i="27"/>
  <c r="U1684" i="27"/>
  <c r="U1777" i="27"/>
  <c r="U1793" i="27"/>
  <c r="U56" i="27"/>
  <c r="U1529" i="27"/>
  <c r="U1523" i="27"/>
  <c r="U1714" i="27"/>
  <c r="U1740" i="27"/>
  <c r="U651" i="27"/>
  <c r="U667" i="27"/>
  <c r="U618" i="27"/>
  <c r="U576" i="27"/>
  <c r="U1388" i="27"/>
  <c r="U1378" i="27"/>
  <c r="U1596" i="27"/>
  <c r="U1628" i="27"/>
  <c r="U183" i="27"/>
  <c r="U209" i="27"/>
  <c r="U172" i="27"/>
  <c r="U153" i="27"/>
  <c r="U898" i="27"/>
  <c r="U882" i="27"/>
  <c r="U1438" i="27"/>
  <c r="U1431" i="27"/>
  <c r="U73" i="27"/>
  <c r="U103" i="27"/>
  <c r="U1563" i="27"/>
  <c r="U1576" i="27"/>
  <c r="U1533" i="27"/>
  <c r="V908" i="27" l="1"/>
  <c r="U239" i="27"/>
  <c r="U278" i="27"/>
  <c r="U242" i="27"/>
  <c r="U262" i="27"/>
  <c r="AA262" i="27" s="1"/>
  <c r="BY555" i="27"/>
  <c r="CA555" i="27"/>
  <c r="BY576" i="27"/>
  <c r="CA576" i="27"/>
  <c r="BY546" i="27"/>
  <c r="CA546" i="27"/>
  <c r="BY533" i="27"/>
  <c r="CA533" i="27"/>
  <c r="BY585" i="27"/>
  <c r="CA585" i="27"/>
  <c r="AA33" i="27"/>
  <c r="AA24" i="27"/>
  <c r="AA11" i="27"/>
  <c r="AA658" i="27"/>
  <c r="AA67" i="27"/>
  <c r="BY565" i="27"/>
  <c r="CA565" i="27"/>
  <c r="AA103" i="27"/>
  <c r="BY539" i="27"/>
  <c r="CA539" i="27"/>
  <c r="BY559" i="27"/>
  <c r="CA559" i="27"/>
  <c r="BY582" i="27"/>
  <c r="CA582" i="27"/>
  <c r="BT83" i="27"/>
  <c r="AA37" i="27"/>
  <c r="BT76" i="27"/>
  <c r="BY589" i="27"/>
  <c r="CA589" i="27"/>
  <c r="AA46" i="27"/>
  <c r="BY592" i="27"/>
  <c r="CA592" i="27"/>
  <c r="BY579" i="27"/>
  <c r="CA579" i="27"/>
  <c r="AA59" i="27"/>
  <c r="AA180" i="27"/>
  <c r="AA611" i="27"/>
  <c r="BY552" i="27"/>
  <c r="CA552" i="27"/>
  <c r="BY598" i="27"/>
  <c r="CA598" i="27"/>
  <c r="AA89" i="27"/>
  <c r="AA107" i="27"/>
  <c r="AA602" i="27"/>
  <c r="BT73" i="27"/>
  <c r="BY536" i="27"/>
  <c r="CA536" i="27"/>
  <c r="BY542" i="27"/>
  <c r="CA542" i="27"/>
  <c r="AA116" i="27"/>
  <c r="BY562" i="27"/>
  <c r="CA562" i="27"/>
  <c r="BY549" i="27"/>
  <c r="CA549" i="27"/>
  <c r="BY568" i="27"/>
  <c r="CA568" i="27"/>
  <c r="AA94" i="27"/>
  <c r="BY572" i="27"/>
  <c r="CA572" i="27"/>
  <c r="BT70" i="27"/>
  <c r="BY595" i="27"/>
  <c r="CA595" i="27"/>
  <c r="AA133" i="27"/>
  <c r="U232" i="27"/>
  <c r="U271" i="27"/>
  <c r="U258" i="27"/>
  <c r="U357" i="27"/>
  <c r="U265" i="27"/>
  <c r="U252" i="27"/>
  <c r="U249" i="27"/>
  <c r="U281" i="27"/>
  <c r="U236" i="27"/>
  <c r="U268" i="27"/>
  <c r="U396" i="27"/>
  <c r="U288" i="27"/>
  <c r="U284" i="27"/>
  <c r="U245" i="27"/>
  <c r="AA1662" i="27"/>
  <c r="U380" i="27"/>
  <c r="U275" i="27"/>
  <c r="U364" i="27"/>
  <c r="U387" i="27"/>
  <c r="U361" i="27"/>
  <c r="U377" i="27"/>
  <c r="U351" i="27"/>
  <c r="U367" i="27"/>
  <c r="BT67" i="27"/>
  <c r="U348" i="27"/>
  <c r="U393" i="27"/>
  <c r="U383" i="27"/>
  <c r="U354" i="27"/>
  <c r="U390" i="27"/>
  <c r="U374" i="27"/>
  <c r="U370" i="27"/>
  <c r="G302" i="27"/>
  <c r="U400" i="27"/>
  <c r="U344" i="27"/>
  <c r="AA63" i="27"/>
  <c r="BT63" i="27"/>
  <c r="AA80" i="27"/>
  <c r="BT80" i="27"/>
  <c r="AA1408" i="27"/>
  <c r="AA1645" i="27"/>
  <c r="AA1589" i="27"/>
  <c r="AA1365" i="27"/>
  <c r="AA1718" i="27"/>
  <c r="AA1507" i="27"/>
  <c r="AA1770" i="27"/>
  <c r="AA1701" i="27"/>
  <c r="AA1421" i="27"/>
  <c r="AA1559" i="27"/>
  <c r="AA1744" i="27"/>
  <c r="AA1602" i="27"/>
  <c r="AA1675" i="27"/>
  <c r="AA76" i="27"/>
  <c r="AA1671" i="27"/>
  <c r="AA172" i="27"/>
  <c r="AA1438" i="27"/>
  <c r="AA499" i="27"/>
  <c r="AA546" i="27"/>
  <c r="CH546" i="27" s="1"/>
  <c r="AA176" i="27"/>
  <c r="AA1658" i="27"/>
  <c r="AA146" i="27"/>
  <c r="AA796" i="27"/>
  <c r="AA1391" i="27"/>
  <c r="AA193" i="27"/>
  <c r="AA1516" i="27"/>
  <c r="AA124" i="27"/>
  <c r="AA1425" i="27"/>
  <c r="AA1649" i="27"/>
  <c r="AA736" i="27"/>
  <c r="AA688" i="27"/>
  <c r="AA792" i="27"/>
  <c r="AA533" i="27"/>
  <c r="CH533" i="27" s="1"/>
  <c r="AA228" i="27"/>
  <c r="AA654" i="27"/>
  <c r="AA852" i="27"/>
  <c r="AA684" i="27"/>
  <c r="AA1533" i="27"/>
  <c r="AA1740" i="27"/>
  <c r="AA1684" i="27"/>
  <c r="AA512" i="27"/>
  <c r="AA555" i="27"/>
  <c r="CH555" i="27" s="1"/>
  <c r="AA516" i="27"/>
  <c r="AA219" i="27"/>
  <c r="AA891" i="27"/>
  <c r="AA800" i="27"/>
  <c r="AA645" i="27"/>
  <c r="AA904" i="27"/>
  <c r="AA572" i="27"/>
  <c r="CH572" i="27" s="1"/>
  <c r="AA1464" i="27"/>
  <c r="AA189" i="27"/>
  <c r="AA1783" i="27"/>
  <c r="AA757" i="27"/>
  <c r="AA710" i="27"/>
  <c r="AA701" i="27"/>
  <c r="AA822" i="27"/>
  <c r="AA1417" i="27"/>
  <c r="AA1576" i="27"/>
  <c r="AA1628" i="27"/>
  <c r="AA1714" i="27"/>
  <c r="AA1697" i="27"/>
  <c r="AA473" i="27"/>
  <c r="AA503" i="27"/>
  <c r="AA1434" i="27"/>
  <c r="AA632" i="27"/>
  <c r="AA1473" i="27"/>
  <c r="AA680" i="27"/>
  <c r="AA1705" i="27"/>
  <c r="AA7" i="27"/>
  <c r="AA835" i="27"/>
  <c r="AA598" i="27"/>
  <c r="CH598" i="27" s="1"/>
  <c r="AA895" i="27"/>
  <c r="AA641" i="27"/>
  <c r="AA1447" i="27"/>
  <c r="AA628" i="27"/>
  <c r="AA1537" i="27"/>
  <c r="AA1632" i="27"/>
  <c r="AA779" i="27"/>
  <c r="AA723" i="27"/>
  <c r="Z1757" i="27"/>
  <c r="AA1757" i="27"/>
  <c r="AA202" i="27"/>
  <c r="AA477" i="27"/>
  <c r="AA520" i="27"/>
  <c r="AA486" i="27"/>
  <c r="AA460" i="27"/>
  <c r="AA568" i="27"/>
  <c r="CH568" i="27" s="1"/>
  <c r="AA1451" i="27"/>
  <c r="AA1481" i="27"/>
  <c r="AA137" i="27"/>
  <c r="AA624" i="27"/>
  <c r="AA589" i="27"/>
  <c r="CH589" i="27" s="1"/>
  <c r="AA1800" i="27"/>
  <c r="AA878" i="27"/>
  <c r="AA615" i="27"/>
  <c r="AA1774" i="27"/>
  <c r="AA1572" i="27"/>
  <c r="AA1606" i="27"/>
  <c r="AA1494" i="27"/>
  <c r="AA1477" i="27"/>
  <c r="AA783" i="27"/>
  <c r="AA714" i="27"/>
  <c r="AA766" i="27"/>
  <c r="AA882" i="27"/>
  <c r="AA856" i="27"/>
  <c r="AA1378" i="27"/>
  <c r="AA1529" i="27"/>
  <c r="AA490" i="27"/>
  <c r="AA559" i="27"/>
  <c r="CH559" i="27" s="1"/>
  <c r="AA529" i="27"/>
  <c r="AA1520" i="27"/>
  <c r="AA1619" i="27"/>
  <c r="AA1585" i="27"/>
  <c r="AA159" i="27"/>
  <c r="AA1787" i="27"/>
  <c r="AA865" i="27"/>
  <c r="AA1731" i="27"/>
  <c r="AA1761" i="27"/>
  <c r="AA163" i="27"/>
  <c r="AA1382" i="27"/>
  <c r="AA1490" i="27"/>
  <c r="AA740" i="27"/>
  <c r="AA727" i="27"/>
  <c r="AA585" i="27"/>
  <c r="CH585" i="27" s="1"/>
  <c r="AA1796" i="27"/>
  <c r="AA1563" i="27"/>
  <c r="AA464" i="27"/>
  <c r="AA848" i="27"/>
  <c r="AA839" i="27"/>
  <c r="Z1701" i="27"/>
  <c r="AA869" i="27"/>
  <c r="AA1593" i="27"/>
  <c r="AA1615" i="27"/>
  <c r="AA1753" i="27"/>
  <c r="AA1546" i="27"/>
  <c r="AA1727" i="27"/>
  <c r="AA813" i="27"/>
  <c r="AA770" i="27"/>
  <c r="AA753" i="27"/>
  <c r="AA667" i="27"/>
  <c r="AA1809" i="27"/>
  <c r="AA1460" i="27"/>
  <c r="U1813" i="27"/>
  <c r="AA576" i="27"/>
  <c r="CH576" i="27" s="1"/>
  <c r="AA542" i="27"/>
  <c r="CH542" i="27" s="1"/>
  <c r="AA809" i="27"/>
  <c r="AA120" i="27"/>
  <c r="AA1369" i="27"/>
  <c r="AA826" i="27"/>
  <c r="AA1550" i="27"/>
  <c r="AA1395" i="27"/>
  <c r="AA50" i="27"/>
  <c r="AA206" i="27"/>
  <c r="AA1404" i="27"/>
  <c r="AA150" i="27"/>
  <c r="AA1641" i="27"/>
  <c r="AA671" i="27"/>
  <c r="AA1503" i="27"/>
  <c r="AA215" i="27"/>
  <c r="AA1688" i="27"/>
  <c r="AA697" i="27"/>
  <c r="AA744" i="27"/>
  <c r="D76" i="11"/>
  <c r="B252" i="5" s="1"/>
  <c r="D77" i="11"/>
  <c r="B253" i="5" s="1"/>
  <c r="AA271" i="27" l="1"/>
  <c r="AA400" i="27"/>
  <c r="AA348" i="27"/>
  <c r="AA275" i="27"/>
  <c r="AA361" i="27"/>
  <c r="AA284" i="27"/>
  <c r="AA236" i="27"/>
  <c r="AA232" i="27"/>
  <c r="AA370" i="27"/>
  <c r="AA383" i="27"/>
  <c r="AA387" i="27"/>
  <c r="AA288" i="27"/>
  <c r="AA344" i="27"/>
  <c r="AA374" i="27"/>
  <c r="AA396" i="27"/>
  <c r="AA249" i="27"/>
  <c r="AA258" i="27"/>
  <c r="AA357" i="27"/>
  <c r="AA245" i="27"/>
  <c r="E12" i="17"/>
  <c r="C12" i="17"/>
  <c r="D12" i="17"/>
  <c r="B12" i="17"/>
  <c r="D57" i="11"/>
  <c r="D59" i="11"/>
  <c r="D60" i="11"/>
  <c r="D61" i="11"/>
  <c r="D62" i="11"/>
  <c r="D58" i="11"/>
  <c r="D66" i="11"/>
  <c r="D71" i="11"/>
  <c r="D45" i="11"/>
  <c r="D17" i="11"/>
  <c r="X1691" i="27" l="1"/>
  <c r="AA1691" i="27" s="1"/>
  <c r="X1665" i="27"/>
  <c r="AA1665" i="27" s="1"/>
  <c r="X1454" i="27"/>
  <c r="AA1454" i="27" s="1"/>
  <c r="X1428" i="27"/>
  <c r="AA1428" i="27" s="1"/>
  <c r="X1295" i="27"/>
  <c r="AA1295" i="27" s="1"/>
  <c r="X1269" i="27"/>
  <c r="AA1269" i="27" s="1"/>
  <c r="X1058" i="27"/>
  <c r="AA1058" i="27" s="1"/>
  <c r="X1032" i="27"/>
  <c r="AA1032" i="27" s="1"/>
  <c r="X898" i="27"/>
  <c r="AA898" i="27" s="1"/>
  <c r="X872" i="27"/>
  <c r="AA872" i="27" s="1"/>
  <c r="X661" i="27"/>
  <c r="AA661" i="27" s="1"/>
  <c r="X635" i="27"/>
  <c r="AA635" i="27" s="1"/>
  <c r="X390" i="27"/>
  <c r="AA390" i="27" s="1"/>
  <c r="X321" i="27"/>
  <c r="X252" i="27"/>
  <c r="AA252" i="27" s="1"/>
  <c r="X1635" i="27"/>
  <c r="AA1635" i="27" s="1"/>
  <c r="X1609" i="27"/>
  <c r="AA1609" i="27" s="1"/>
  <c r="X1790" i="27"/>
  <c r="AA1790" i="27" s="1"/>
  <c r="X1764" i="27"/>
  <c r="AA1764" i="27" s="1"/>
  <c r="X1579" i="27"/>
  <c r="AA1579" i="27" s="1"/>
  <c r="X1553" i="27"/>
  <c r="AA1553" i="27" s="1"/>
  <c r="X1183" i="27"/>
  <c r="AA1183" i="27" s="1"/>
  <c r="X1157" i="27"/>
  <c r="AA1157" i="27" s="1"/>
  <c r="X946" i="27"/>
  <c r="AA946" i="27" s="1"/>
  <c r="X786" i="27"/>
  <c r="AA786" i="27" s="1"/>
  <c r="X760" i="27"/>
  <c r="AA760" i="27" s="1"/>
  <c r="X549" i="27"/>
  <c r="X523" i="27"/>
  <c r="AA523" i="27" s="1"/>
  <c r="X1734" i="27"/>
  <c r="AA1734" i="27" s="1"/>
  <c r="X1708" i="27"/>
  <c r="AA1708" i="27" s="1"/>
  <c r="X1523" i="27"/>
  <c r="AA1523" i="27" s="1"/>
  <c r="X1497" i="27"/>
  <c r="AA1497" i="27" s="1"/>
  <c r="X1338" i="27"/>
  <c r="AA1338" i="27" s="1"/>
  <c r="X1312" i="27"/>
  <c r="AA1312" i="27" s="1"/>
  <c r="X1127" i="27"/>
  <c r="AA1127" i="27" s="1"/>
  <c r="X1101" i="27"/>
  <c r="AA1101" i="27" s="1"/>
  <c r="X730" i="27"/>
  <c r="AA730" i="27" s="1"/>
  <c r="X704" i="27"/>
  <c r="AA704" i="27" s="1"/>
  <c r="X493" i="27"/>
  <c r="AA493" i="27" s="1"/>
  <c r="X467" i="27"/>
  <c r="AA467" i="27" s="1"/>
  <c r="X377" i="27"/>
  <c r="AA377" i="27" s="1"/>
  <c r="X308" i="27"/>
  <c r="X239" i="27"/>
  <c r="AA239" i="27" s="1"/>
  <c r="X1622" i="27"/>
  <c r="AA1622" i="27" s="1"/>
  <c r="X1596" i="27"/>
  <c r="AA1596" i="27" s="1"/>
  <c r="X1411" i="27"/>
  <c r="AA1411" i="27" s="1"/>
  <c r="X1385" i="27"/>
  <c r="AA1385" i="27" s="1"/>
  <c r="X1226" i="27"/>
  <c r="AA1226" i="27" s="1"/>
  <c r="X1200" i="27"/>
  <c r="AA1200" i="27" s="1"/>
  <c r="X1015" i="27"/>
  <c r="AA1015" i="27" s="1"/>
  <c r="X989" i="27"/>
  <c r="AA989" i="27" s="1"/>
  <c r="X829" i="27"/>
  <c r="AA829" i="27" s="1"/>
  <c r="X803" i="27"/>
  <c r="AA803" i="27" s="1"/>
  <c r="X618" i="27"/>
  <c r="AA618" i="27" s="1"/>
  <c r="X592" i="27"/>
  <c r="X433" i="27"/>
  <c r="X334" i="27"/>
  <c r="X265" i="27"/>
  <c r="AA265" i="27" s="1"/>
  <c r="X196" i="27"/>
  <c r="AA196" i="27" s="1"/>
  <c r="X1803" i="27"/>
  <c r="AA1803" i="27" s="1"/>
  <c r="X1777" i="27"/>
  <c r="AA1777" i="27" s="1"/>
  <c r="X1566" i="27"/>
  <c r="AA1566" i="27" s="1"/>
  <c r="X1540" i="27"/>
  <c r="AA1540" i="27" s="1"/>
  <c r="X1170" i="27"/>
  <c r="AA1170" i="27" s="1"/>
  <c r="X1144" i="27"/>
  <c r="AA1144" i="27" s="1"/>
  <c r="X959" i="27"/>
  <c r="AA959" i="27" s="1"/>
  <c r="X933" i="27"/>
  <c r="AA933" i="27" s="1"/>
  <c r="X773" i="27"/>
  <c r="AA773" i="27" s="1"/>
  <c r="X562" i="27"/>
  <c r="X536" i="27"/>
  <c r="X364" i="27"/>
  <c r="AA364" i="27" s="1"/>
  <c r="X295" i="27"/>
  <c r="X1652" i="27"/>
  <c r="AA1652" i="27" s="1"/>
  <c r="X1484" i="27"/>
  <c r="AA1484" i="27" s="1"/>
  <c r="X1441" i="27"/>
  <c r="AA1441" i="27" s="1"/>
  <c r="X1398" i="27"/>
  <c r="AA1398" i="27" s="1"/>
  <c r="X1351" i="27"/>
  <c r="AA1351" i="27" s="1"/>
  <c r="X1213" i="27"/>
  <c r="AA1213" i="27" s="1"/>
  <c r="X1114" i="27"/>
  <c r="AA1114" i="27" s="1"/>
  <c r="X976" i="27"/>
  <c r="AA976" i="27" s="1"/>
  <c r="X885" i="27"/>
  <c r="AA885" i="27" s="1"/>
  <c r="X842" i="27"/>
  <c r="AA842" i="27" s="1"/>
  <c r="X747" i="27"/>
  <c r="AA747" i="27" s="1"/>
  <c r="X691" i="27"/>
  <c r="AA691" i="27" s="1"/>
  <c r="X648" i="27"/>
  <c r="AA648" i="27" s="1"/>
  <c r="X605" i="27"/>
  <c r="AA605" i="27" s="1"/>
  <c r="X506" i="27"/>
  <c r="AA506" i="27" s="1"/>
  <c r="X83" i="27"/>
  <c r="AA83" i="27" s="1"/>
  <c r="X1747" i="27"/>
  <c r="AA1747" i="27" s="1"/>
  <c r="X1256" i="27"/>
  <c r="AA1256" i="27" s="1"/>
  <c r="X153" i="27"/>
  <c r="AA153" i="27" s="1"/>
  <c r="X40" i="27"/>
  <c r="AA40" i="27" s="1"/>
  <c r="X1071" i="27"/>
  <c r="AA1071" i="27" s="1"/>
  <c r="X127" i="27"/>
  <c r="AA127" i="27" s="1"/>
  <c r="X14" i="27"/>
  <c r="X446" i="27"/>
  <c r="X110" i="27"/>
  <c r="AA110" i="27" s="1"/>
  <c r="X183" i="27"/>
  <c r="AA183" i="27" s="1"/>
  <c r="X1467" i="27"/>
  <c r="AA1467" i="27" s="1"/>
  <c r="X920" i="27"/>
  <c r="X674" i="27"/>
  <c r="AA674" i="27" s="1"/>
  <c r="X70" i="27"/>
  <c r="AA70" i="27" s="1"/>
  <c r="X209" i="27"/>
  <c r="AA209" i="27" s="1"/>
  <c r="X1678" i="27"/>
  <c r="AA1678" i="27" s="1"/>
  <c r="X1510" i="27"/>
  <c r="AA1510" i="27" s="1"/>
  <c r="X1372" i="27"/>
  <c r="AA1372" i="27" s="1"/>
  <c r="X1325" i="27"/>
  <c r="AA1325" i="27" s="1"/>
  <c r="X1282" i="27"/>
  <c r="AA1282" i="27" s="1"/>
  <c r="X1239" i="27"/>
  <c r="AA1239" i="27" s="1"/>
  <c r="X1088" i="27"/>
  <c r="AA1088" i="27" s="1"/>
  <c r="X1045" i="27"/>
  <c r="AA1045" i="27" s="1"/>
  <c r="X1002" i="27"/>
  <c r="AA1002" i="27" s="1"/>
  <c r="X816" i="27"/>
  <c r="AA816" i="27" s="1"/>
  <c r="X717" i="27"/>
  <c r="AA717" i="27" s="1"/>
  <c r="X579" i="27"/>
  <c r="X480" i="27"/>
  <c r="AA480" i="27" s="1"/>
  <c r="X140" i="27"/>
  <c r="AA140" i="27" s="1"/>
  <c r="X27" i="27"/>
  <c r="AA27" i="27" s="1"/>
  <c r="X1721" i="27"/>
  <c r="AA1721" i="27" s="1"/>
  <c r="X859" i="27"/>
  <c r="AA859" i="27" s="1"/>
  <c r="X351" i="27"/>
  <c r="AA351" i="27" s="1"/>
  <c r="X222" i="27"/>
  <c r="AA222" i="27" s="1"/>
  <c r="X97" i="27"/>
  <c r="AA97" i="27" s="1"/>
  <c r="X420" i="27"/>
  <c r="X278" i="27"/>
  <c r="AA278" i="27" s="1"/>
  <c r="X166" i="27"/>
  <c r="AA166" i="27" s="1"/>
  <c r="X53" i="27"/>
  <c r="AA53" i="27" s="1"/>
  <c r="X407" i="27"/>
  <c r="X962" i="27"/>
  <c r="AA962" i="27" s="1"/>
  <c r="X1556" i="27"/>
  <c r="AA1556" i="27" s="1"/>
  <c r="X17" i="27"/>
  <c r="AA17" i="27" s="1"/>
  <c r="X819" i="27"/>
  <c r="AA819" i="27" s="1"/>
  <c r="X1582" i="27"/>
  <c r="AA1582" i="27" s="1"/>
  <c r="X1681" i="27"/>
  <c r="AA1681" i="27" s="1"/>
  <c r="X539" i="27"/>
  <c r="X1117" i="27"/>
  <c r="AA1117" i="27" s="1"/>
  <c r="X694" i="27"/>
  <c r="AA694" i="27" s="1"/>
  <c r="X1625" i="27"/>
  <c r="AA1625" i="27" s="1"/>
  <c r="X1091" i="27"/>
  <c r="AA1091" i="27" s="1"/>
  <c r="X1186" i="27"/>
  <c r="AA1186" i="27" s="1"/>
  <c r="X1612" i="27"/>
  <c r="AA1612" i="27" s="1"/>
  <c r="X1216" i="27"/>
  <c r="AA1216" i="27" s="1"/>
  <c r="X354" i="27"/>
  <c r="AA354" i="27" s="1"/>
  <c r="X1711" i="27"/>
  <c r="AA1711" i="27" s="1"/>
  <c r="X1315" i="27"/>
  <c r="AA1315" i="27" s="1"/>
  <c r="X1074" i="27"/>
  <c r="AA1074" i="27" s="1"/>
  <c r="X677" i="27"/>
  <c r="AA677" i="27" s="1"/>
  <c r="X1780" i="27"/>
  <c r="AA1780" i="27" s="1"/>
  <c r="X367" i="27"/>
  <c r="AA367" i="27" s="1"/>
  <c r="X255" i="27"/>
  <c r="AA255" i="27" s="1"/>
  <c r="X1160" i="27"/>
  <c r="AA1160" i="27" s="1"/>
  <c r="X113" i="27"/>
  <c r="AA113" i="27" s="1"/>
  <c r="X1431" i="27"/>
  <c r="AA1431" i="27" s="1"/>
  <c r="X875" i="27"/>
  <c r="AA875" i="27" s="1"/>
  <c r="X242" i="27"/>
  <c r="AA242" i="27" s="1"/>
  <c r="X949" i="27"/>
  <c r="AA949" i="27" s="1"/>
  <c r="X56" i="27"/>
  <c r="AA56" i="27" s="1"/>
  <c r="X1229" i="27"/>
  <c r="AA1229" i="27" s="1"/>
  <c r="X621" i="27"/>
  <c r="AA621" i="27" s="1"/>
  <c r="X608" i="27"/>
  <c r="AA608" i="27" s="1"/>
  <c r="X1793" i="27"/>
  <c r="AA1793" i="27" s="1"/>
  <c r="X707" i="27"/>
  <c r="AA707" i="27" s="1"/>
  <c r="X1470" i="27"/>
  <c r="AA1470" i="27" s="1"/>
  <c r="X1147" i="27"/>
  <c r="AA1147" i="27" s="1"/>
  <c r="X1750" i="27"/>
  <c r="AA1750" i="27" s="1"/>
  <c r="X100" i="27"/>
  <c r="AA100" i="27" s="1"/>
  <c r="X1668" i="27"/>
  <c r="AA1668" i="27" s="1"/>
  <c r="X1005" i="27"/>
  <c r="AA1005" i="27" s="1"/>
  <c r="X582" i="27"/>
  <c r="X1767" i="27"/>
  <c r="AA1767" i="27" s="1"/>
  <c r="X923" i="27"/>
  <c r="AA923" i="27" s="1"/>
  <c r="X1569" i="27"/>
  <c r="AA1569" i="27" s="1"/>
  <c r="X638" i="27"/>
  <c r="AA638" i="27" s="1"/>
  <c r="X664" i="27"/>
  <c r="AA664" i="27" s="1"/>
  <c r="X992" i="27"/>
  <c r="AA992" i="27" s="1"/>
  <c r="X337" i="27"/>
  <c r="X1242" i="27"/>
  <c r="AA1242" i="27" s="1"/>
  <c r="X733" i="27"/>
  <c r="AA733" i="27" s="1"/>
  <c r="X380" i="27"/>
  <c r="AA380" i="27" s="1"/>
  <c r="X1048" i="27"/>
  <c r="AA1048" i="27" s="1"/>
  <c r="X651" i="27"/>
  <c r="AA651" i="27" s="1"/>
  <c r="X1173" i="27"/>
  <c r="AA1173" i="27" s="1"/>
  <c r="X298" i="27"/>
  <c r="X509" i="27"/>
  <c r="AA509" i="27" s="1"/>
  <c r="X199" i="27"/>
  <c r="AA199" i="27" s="1"/>
  <c r="X1061" i="27"/>
  <c r="AA1061" i="27" s="1"/>
  <c r="X1388" i="27"/>
  <c r="AA1388" i="27" s="1"/>
  <c r="X832" i="27"/>
  <c r="AA832" i="27" s="1"/>
  <c r="X186" i="27"/>
  <c r="AA186" i="27" s="1"/>
  <c r="X901" i="27"/>
  <c r="AA901" i="27" s="1"/>
  <c r="X776" i="27"/>
  <c r="AA776" i="27" s="1"/>
  <c r="X1354" i="27"/>
  <c r="AA1354" i="27" s="1"/>
  <c r="X156" i="27"/>
  <c r="AA156" i="27" s="1"/>
  <c r="X789" i="27"/>
  <c r="AA789" i="27" s="1"/>
  <c r="X763" i="27"/>
  <c r="AA763" i="27" s="1"/>
  <c r="X212" i="27"/>
  <c r="AA212" i="27" s="1"/>
  <c r="X1401" i="27"/>
  <c r="AA1401" i="27" s="1"/>
  <c r="X1130" i="27"/>
  <c r="AA1130" i="27" s="1"/>
  <c r="X311" i="27"/>
  <c r="X1444" i="27"/>
  <c r="AA1444" i="27" s="1"/>
  <c r="X1724" i="27"/>
  <c r="AA1724" i="27" s="1"/>
  <c r="X1328" i="27"/>
  <c r="AA1328" i="27" s="1"/>
  <c r="X73" i="27"/>
  <c r="AA73" i="27" s="1"/>
  <c r="X1457" i="27"/>
  <c r="AA1457" i="27" s="1"/>
  <c r="X1599" i="27"/>
  <c r="AA1599" i="27" s="1"/>
  <c r="X1638" i="27"/>
  <c r="AA1638" i="27" s="1"/>
  <c r="X1806" i="27"/>
  <c r="AA1806" i="27" s="1"/>
  <c r="X1487" i="27"/>
  <c r="AA1487" i="27" s="1"/>
  <c r="X1298" i="27"/>
  <c r="AA1298" i="27" s="1"/>
  <c r="X1018" i="27"/>
  <c r="AA1018" i="27" s="1"/>
  <c r="X436" i="27"/>
  <c r="X1272" i="27"/>
  <c r="AA1272" i="27" s="1"/>
  <c r="X483" i="27"/>
  <c r="AA483" i="27" s="1"/>
  <c r="X1035" i="27"/>
  <c r="AA1035" i="27" s="1"/>
  <c r="X1526" i="27"/>
  <c r="AA1526" i="27" s="1"/>
  <c r="X552" i="27"/>
  <c r="X143" i="27"/>
  <c r="AA143" i="27" s="1"/>
  <c r="X130" i="27"/>
  <c r="AA130" i="27" s="1"/>
  <c r="X1694" i="27"/>
  <c r="AA1694" i="27" s="1"/>
  <c r="X169" i="27"/>
  <c r="AA169" i="27" s="1"/>
  <c r="X423" i="27"/>
  <c r="X324" i="27"/>
  <c r="X1375" i="27"/>
  <c r="AA1375" i="27" s="1"/>
  <c r="X979" i="27"/>
  <c r="AA979" i="27" s="1"/>
  <c r="X1500" i="27"/>
  <c r="AA1500" i="27" s="1"/>
  <c r="X1104" i="27"/>
  <c r="AA1104" i="27" s="1"/>
  <c r="X1285" i="27"/>
  <c r="AA1285" i="27" s="1"/>
  <c r="X888" i="27"/>
  <c r="AA888" i="27" s="1"/>
  <c r="X410" i="27"/>
  <c r="X1543" i="27"/>
  <c r="AA1543" i="27" s="1"/>
  <c r="X750" i="27"/>
  <c r="AA750" i="27" s="1"/>
  <c r="X43" i="27"/>
  <c r="AA43" i="27" s="1"/>
  <c r="X393" i="27"/>
  <c r="AA393" i="27" s="1"/>
  <c r="X268" i="27"/>
  <c r="AA268" i="27" s="1"/>
  <c r="X1203" i="27"/>
  <c r="AA1203" i="27" s="1"/>
  <c r="X595" i="27"/>
  <c r="X526" i="27"/>
  <c r="AA526" i="27" s="1"/>
  <c r="X86" i="27"/>
  <c r="AA86" i="27" s="1"/>
  <c r="X845" i="27"/>
  <c r="AA845" i="27" s="1"/>
  <c r="X496" i="27"/>
  <c r="AA496" i="27" s="1"/>
  <c r="X1259" i="27"/>
  <c r="AA1259" i="27" s="1"/>
  <c r="X862" i="27"/>
  <c r="AA862" i="27" s="1"/>
  <c r="X565" i="27"/>
  <c r="X720" i="27"/>
  <c r="AA720" i="27" s="1"/>
  <c r="X30" i="27"/>
  <c r="AA30" i="27" s="1"/>
  <c r="X281" i="27"/>
  <c r="AA281" i="27" s="1"/>
  <c r="X1414" i="27"/>
  <c r="AA1414" i="27" s="1"/>
  <c r="X806" i="27"/>
  <c r="AA806" i="27" s="1"/>
  <c r="X449" i="27"/>
  <c r="X470" i="27"/>
  <c r="AA470" i="27" s="1"/>
  <c r="X936" i="27"/>
  <c r="AA936" i="27" s="1"/>
  <c r="X1513" i="27"/>
  <c r="AA1513" i="27" s="1"/>
  <c r="X225" i="27"/>
  <c r="AA225" i="27" s="1"/>
  <c r="X1737" i="27"/>
  <c r="AA1737" i="27" s="1"/>
  <c r="X1341" i="27"/>
  <c r="AA1341" i="27" s="1"/>
  <c r="X1655" i="27"/>
  <c r="AA1655" i="27" s="1"/>
  <c r="O115" i="15"/>
  <c r="O100" i="15"/>
  <c r="O85" i="15"/>
  <c r="O70" i="15"/>
  <c r="O52" i="15"/>
  <c r="O37" i="15"/>
  <c r="O22" i="15"/>
  <c r="O7" i="15"/>
  <c r="J21" i="15"/>
  <c r="J20" i="15"/>
  <c r="J23" i="15" s="1"/>
  <c r="J51" i="15"/>
  <c r="J50" i="15"/>
  <c r="J53" i="15" s="1"/>
  <c r="J114" i="15"/>
  <c r="J113" i="15"/>
  <c r="J116" i="15" s="1"/>
  <c r="J35" i="15"/>
  <c r="J38" i="15" s="1"/>
  <c r="J5" i="15"/>
  <c r="J8" i="15" s="1"/>
  <c r="J98" i="15"/>
  <c r="J101" i="15" s="1"/>
  <c r="J84" i="15"/>
  <c r="J83" i="15"/>
  <c r="J86" i="15" s="1"/>
  <c r="J68" i="15"/>
  <c r="J71" i="15" s="1"/>
  <c r="H4" i="13"/>
  <c r="G7" i="13" s="1"/>
  <c r="J6" i="15" l="1"/>
  <c r="J69" i="15"/>
  <c r="J99" i="15"/>
  <c r="J36" i="15"/>
  <c r="AA552" i="27"/>
  <c r="CH552" i="27" s="1"/>
  <c r="CF552" i="27"/>
  <c r="AA565" i="27"/>
  <c r="CH565" i="27" s="1"/>
  <c r="CF565" i="27"/>
  <c r="AA539" i="27"/>
  <c r="CH539" i="27" s="1"/>
  <c r="CF539" i="27"/>
  <c r="AA579" i="27"/>
  <c r="CH579" i="27" s="1"/>
  <c r="CF579" i="27"/>
  <c r="AA592" i="27"/>
  <c r="CH592" i="27" s="1"/>
  <c r="CF592" i="27"/>
  <c r="AA549" i="27"/>
  <c r="CH549" i="27" s="1"/>
  <c r="CF549" i="27"/>
  <c r="AA595" i="27"/>
  <c r="CH595" i="27" s="1"/>
  <c r="CF595" i="27"/>
  <c r="AA536" i="27"/>
  <c r="CH536" i="27" s="1"/>
  <c r="CF536" i="27"/>
  <c r="AA582" i="27"/>
  <c r="CH582" i="27" s="1"/>
  <c r="CF582" i="27"/>
  <c r="AA562" i="27"/>
  <c r="CH562" i="27" s="1"/>
  <c r="CF562" i="27"/>
  <c r="AA920" i="27"/>
  <c r="AA1813" i="27" s="1"/>
  <c r="E4" i="16" s="1"/>
  <c r="X1813" i="27"/>
  <c r="AA14" i="27"/>
  <c r="X908" i="27"/>
  <c r="G69" i="13"/>
  <c r="G68" i="13"/>
  <c r="G60" i="13"/>
  <c r="G52" i="13"/>
  <c r="G44" i="13"/>
  <c r="G36" i="13"/>
  <c r="G28" i="13"/>
  <c r="G20" i="13"/>
  <c r="G12" i="13"/>
  <c r="G67" i="13"/>
  <c r="G59" i="13"/>
  <c r="G51" i="13"/>
  <c r="G43" i="13"/>
  <c r="G35" i="13"/>
  <c r="G27" i="13"/>
  <c r="G19" i="13"/>
  <c r="G11" i="13"/>
  <c r="G54" i="13"/>
  <c r="G30" i="13"/>
  <c r="G14" i="13"/>
  <c r="G5" i="13"/>
  <c r="G45" i="13"/>
  <c r="G29" i="13"/>
  <c r="G13" i="13"/>
  <c r="G58" i="13"/>
  <c r="G34" i="13"/>
  <c r="G10" i="13"/>
  <c r="G57" i="13"/>
  <c r="G33" i="13"/>
  <c r="G8" i="13"/>
  <c r="G62" i="13"/>
  <c r="G46" i="13"/>
  <c r="G38" i="13"/>
  <c r="G22" i="13"/>
  <c r="G6" i="13"/>
  <c r="G61" i="13"/>
  <c r="G53" i="13"/>
  <c r="G37" i="13"/>
  <c r="G21" i="13"/>
  <c r="G66" i="13"/>
  <c r="G50" i="13"/>
  <c r="G42" i="13"/>
  <c r="G26" i="13"/>
  <c r="G18" i="13"/>
  <c r="G65" i="13"/>
  <c r="G49" i="13"/>
  <c r="G41" i="13"/>
  <c r="G25" i="13"/>
  <c r="G17" i="13"/>
  <c r="G9" i="13"/>
  <c r="G64" i="13"/>
  <c r="G56" i="13"/>
  <c r="G48" i="13"/>
  <c r="G40" i="13"/>
  <c r="G32" i="13"/>
  <c r="G24" i="13"/>
  <c r="G16" i="13"/>
  <c r="G63" i="13"/>
  <c r="G55" i="13"/>
  <c r="G47" i="13"/>
  <c r="G39" i="13"/>
  <c r="G31" i="13"/>
  <c r="G23" i="13"/>
  <c r="G15" i="13"/>
  <c r="O124" i="15"/>
  <c r="O121" i="15"/>
  <c r="O118" i="15"/>
  <c r="O109" i="15"/>
  <c r="O106" i="15"/>
  <c r="O103" i="15"/>
  <c r="O94" i="15"/>
  <c r="O91" i="15"/>
  <c r="O88" i="15"/>
  <c r="O79" i="15"/>
  <c r="O76" i="15"/>
  <c r="O73" i="15"/>
  <c r="O61" i="15"/>
  <c r="O58" i="15"/>
  <c r="O55" i="15"/>
  <c r="O46" i="15"/>
  <c r="O43" i="15"/>
  <c r="O40" i="15"/>
  <c r="O31" i="15"/>
  <c r="O28" i="15"/>
  <c r="O25" i="15"/>
  <c r="O16" i="15"/>
  <c r="O13" i="15"/>
  <c r="O10" i="15"/>
  <c r="D9" i="11"/>
  <c r="H86" i="15"/>
  <c r="H89" i="15" s="1"/>
  <c r="H116" i="15"/>
  <c r="H119" i="15" s="1"/>
  <c r="H53" i="15"/>
  <c r="H56" i="15" s="1"/>
  <c r="F119" i="15"/>
  <c r="F104" i="15"/>
  <c r="F110" i="15" s="1"/>
  <c r="F89" i="15"/>
  <c r="F74" i="15"/>
  <c r="F80" i="15" s="1"/>
  <c r="D110" i="15"/>
  <c r="D123" i="15" s="1"/>
  <c r="H107" i="15"/>
  <c r="H101" i="15"/>
  <c r="H77" i="15"/>
  <c r="H71" i="15"/>
  <c r="H44" i="15"/>
  <c r="H38" i="15"/>
  <c r="H14" i="15"/>
  <c r="H23" i="15"/>
  <c r="H26" i="15" s="1"/>
  <c r="H8" i="15"/>
  <c r="D14" i="15"/>
  <c r="D77" i="15"/>
  <c r="B22" i="15"/>
  <c r="F56" i="15"/>
  <c r="D44" i="15"/>
  <c r="D60" i="15" s="1"/>
  <c r="F41" i="15"/>
  <c r="F47" i="15" s="1"/>
  <c r="B86" i="15"/>
  <c r="C4" i="35" l="1"/>
  <c r="O97" i="15"/>
  <c r="O34" i="15"/>
  <c r="O4" i="15"/>
  <c r="O67" i="15"/>
  <c r="B119" i="15"/>
  <c r="M109" i="15" s="1"/>
  <c r="M70" i="15"/>
  <c r="M67" i="15"/>
  <c r="B10" i="13"/>
  <c r="G70" i="13"/>
  <c r="B5" i="13" s="1"/>
  <c r="G71" i="13"/>
  <c r="B6" i="13" s="1"/>
  <c r="B15" i="13"/>
  <c r="F11" i="15"/>
  <c r="F17" i="15" s="1"/>
  <c r="M16" i="15" s="1"/>
  <c r="B52" i="15"/>
  <c r="D93" i="15"/>
  <c r="M82" i="15" s="1"/>
  <c r="M79" i="15"/>
  <c r="F95" i="15"/>
  <c r="F92" i="15" s="1"/>
  <c r="M76" i="15"/>
  <c r="F32" i="15"/>
  <c r="F26" i="15"/>
  <c r="F62" i="15"/>
  <c r="F59" i="15" s="1"/>
  <c r="F125" i="15"/>
  <c r="H41" i="15"/>
  <c r="H74" i="15"/>
  <c r="M73" i="15" s="1"/>
  <c r="H104" i="15"/>
  <c r="H11" i="15"/>
  <c r="D28" i="15"/>
  <c r="D19" i="11"/>
  <c r="A1009" i="27" l="1"/>
  <c r="B87" i="15"/>
  <c r="N94" i="15" s="1"/>
  <c r="B23" i="15"/>
  <c r="M118" i="15"/>
  <c r="Q118" i="15" s="1"/>
  <c r="M22" i="15"/>
  <c r="M85" i="15"/>
  <c r="M7" i="15"/>
  <c r="M4" i="15"/>
  <c r="M112" i="15"/>
  <c r="M97" i="15"/>
  <c r="Q97" i="15" s="1"/>
  <c r="M100" i="15"/>
  <c r="Q100" i="15" s="1"/>
  <c r="M115" i="15"/>
  <c r="M103" i="15"/>
  <c r="Q103" i="15" s="1"/>
  <c r="M106" i="15"/>
  <c r="Q106" i="15" s="1"/>
  <c r="M19" i="15"/>
  <c r="M49" i="15"/>
  <c r="M34" i="15"/>
  <c r="Q34" i="15" s="1"/>
  <c r="M37" i="15"/>
  <c r="M52" i="15"/>
  <c r="M124" i="15"/>
  <c r="P124" i="15" s="1"/>
  <c r="Q67" i="15"/>
  <c r="Q70" i="15"/>
  <c r="M10" i="15"/>
  <c r="Q10" i="15" s="1"/>
  <c r="M13" i="15"/>
  <c r="Q13" i="15" s="1"/>
  <c r="Q79" i="15"/>
  <c r="Q109" i="15"/>
  <c r="Q73" i="15"/>
  <c r="M31" i="15"/>
  <c r="Q31" i="15" s="1"/>
  <c r="M88" i="15"/>
  <c r="F122" i="15"/>
  <c r="M121" i="15" s="1"/>
  <c r="Q76" i="15"/>
  <c r="M25" i="15"/>
  <c r="M91" i="15"/>
  <c r="F29" i="15"/>
  <c r="M28" i="15" s="1"/>
  <c r="M58" i="15"/>
  <c r="M46" i="15"/>
  <c r="M43" i="15"/>
  <c r="M55" i="15"/>
  <c r="M40" i="15"/>
  <c r="M61" i="15"/>
  <c r="M94" i="15"/>
  <c r="Q16" i="15"/>
  <c r="D48" i="11"/>
  <c r="D46" i="11"/>
  <c r="D20" i="11"/>
  <c r="D39" i="11"/>
  <c r="D40" i="11"/>
  <c r="D41" i="11"/>
  <c r="D47" i="11"/>
  <c r="D52" i="11"/>
  <c r="D53" i="11"/>
  <c r="D70" i="11"/>
  <c r="D72" i="11"/>
  <c r="D4" i="11"/>
  <c r="Q1798" i="27" l="1"/>
  <c r="Q1772" i="27"/>
  <c r="Q1742" i="27"/>
  <c r="Q1716" i="27"/>
  <c r="Q1686" i="27"/>
  <c r="Q1660" i="27"/>
  <c r="Q1630" i="27"/>
  <c r="Q1604" i="27"/>
  <c r="Q1574" i="27"/>
  <c r="Q1548" i="27"/>
  <c r="Q1518" i="27"/>
  <c r="Q1492" i="27"/>
  <c r="Q1462" i="27"/>
  <c r="Q1436" i="27"/>
  <c r="Q1406" i="27"/>
  <c r="Q1380" i="27"/>
  <c r="Q1346" i="27"/>
  <c r="Q1320" i="27"/>
  <c r="Q1290" i="27"/>
  <c r="Q1264" i="27"/>
  <c r="Q1234" i="27"/>
  <c r="Q1208" i="27"/>
  <c r="Q1178" i="27"/>
  <c r="Q1152" i="27"/>
  <c r="Q1122" i="27"/>
  <c r="Q1096" i="27"/>
  <c r="Q1066" i="27"/>
  <c r="Q1040" i="27"/>
  <c r="Q1010" i="27"/>
  <c r="Q984" i="27"/>
  <c r="Q954" i="27"/>
  <c r="Q928" i="27"/>
  <c r="Q893" i="27"/>
  <c r="Q867" i="27"/>
  <c r="Q837" i="27"/>
  <c r="Q811" i="27"/>
  <c r="Q781" i="27"/>
  <c r="Q755" i="27"/>
  <c r="Q725" i="27"/>
  <c r="Q699" i="27"/>
  <c r="Q669" i="27"/>
  <c r="Q643" i="27"/>
  <c r="Q613" i="27"/>
  <c r="Q587" i="27"/>
  <c r="BV587" i="27" s="1"/>
  <c r="Q557" i="27"/>
  <c r="BV557" i="27" s="1"/>
  <c r="Q531" i="27"/>
  <c r="BV531" i="27" s="1"/>
  <c r="Q501" i="27"/>
  <c r="Q475" i="27"/>
  <c r="Q441" i="27"/>
  <c r="Q415" i="27"/>
  <c r="Q385" i="27"/>
  <c r="Q359" i="27"/>
  <c r="Q329" i="27"/>
  <c r="Q303" i="27"/>
  <c r="Q273" i="27"/>
  <c r="Q247" i="27"/>
  <c r="Q217" i="27"/>
  <c r="Q191" i="27"/>
  <c r="Q161" i="27"/>
  <c r="Q135" i="27"/>
  <c r="Q105" i="27"/>
  <c r="Q78" i="27"/>
  <c r="BQ78" i="27" s="1"/>
  <c r="Q48" i="27"/>
  <c r="Q22" i="27"/>
  <c r="Q1811" i="27"/>
  <c r="Q1785" i="27"/>
  <c r="Q1755" i="27"/>
  <c r="Q1729" i="27"/>
  <c r="Q1699" i="27"/>
  <c r="Q1673" i="27"/>
  <c r="Q1643" i="27"/>
  <c r="Q1617" i="27"/>
  <c r="Q1587" i="27"/>
  <c r="Q1561" i="27"/>
  <c r="Q1531" i="27"/>
  <c r="Q1505" i="27"/>
  <c r="Q1475" i="27"/>
  <c r="Q1449" i="27"/>
  <c r="Q1419" i="27"/>
  <c r="Q1393" i="27"/>
  <c r="Q1359" i="27"/>
  <c r="Q1333" i="27"/>
  <c r="Q1303" i="27"/>
  <c r="Q1277" i="27"/>
  <c r="Q1247" i="27"/>
  <c r="Q1221" i="27"/>
  <c r="Q1191" i="27"/>
  <c r="Q1165" i="27"/>
  <c r="Q1135" i="27"/>
  <c r="Q1109" i="27"/>
  <c r="Q1079" i="27"/>
  <c r="Q1053" i="27"/>
  <c r="Q1023" i="27"/>
  <c r="Q997" i="27"/>
  <c r="Q967" i="27"/>
  <c r="Q941" i="27"/>
  <c r="Q906" i="27"/>
  <c r="Q880" i="27"/>
  <c r="Q850" i="27"/>
  <c r="Q824" i="27"/>
  <c r="Q794" i="27"/>
  <c r="Q768" i="27"/>
  <c r="Q738" i="27"/>
  <c r="Q712" i="27"/>
  <c r="Q682" i="27"/>
  <c r="Q656" i="27"/>
  <c r="Q626" i="27"/>
  <c r="Q600" i="27"/>
  <c r="BV600" i="27" s="1"/>
  <c r="Q570" i="27"/>
  <c r="BV570" i="27" s="1"/>
  <c r="Q544" i="27"/>
  <c r="BV544" i="27" s="1"/>
  <c r="Q514" i="27"/>
  <c r="Q488" i="27"/>
  <c r="Q454" i="27"/>
  <c r="Q428" i="27"/>
  <c r="Q398" i="27"/>
  <c r="Q372" i="27"/>
  <c r="Q342" i="27"/>
  <c r="Q316" i="27"/>
  <c r="Q286" i="27"/>
  <c r="Q260" i="27"/>
  <c r="Q230" i="27"/>
  <c r="Q204" i="27"/>
  <c r="Q174" i="27"/>
  <c r="Q148" i="27"/>
  <c r="Q118" i="27"/>
  <c r="Q91" i="27"/>
  <c r="Q61" i="27"/>
  <c r="Q35" i="27"/>
  <c r="Q1792" i="27"/>
  <c r="Q1568" i="27"/>
  <c r="Q1340" i="27"/>
  <c r="Q1116" i="27"/>
  <c r="Q887" i="27"/>
  <c r="Q663" i="27"/>
  <c r="Q435" i="27"/>
  <c r="Q211" i="27"/>
  <c r="Q818" i="27"/>
  <c r="Q85" i="27"/>
  <c r="Q900" i="27"/>
  <c r="Q1443" i="27"/>
  <c r="Q1185" i="27"/>
  <c r="Q538" i="27"/>
  <c r="BV538" i="27" s="1"/>
  <c r="Q1766" i="27"/>
  <c r="Q1542" i="27"/>
  <c r="Q1314" i="27"/>
  <c r="Q1090" i="27"/>
  <c r="Q861" i="27"/>
  <c r="Q637" i="27"/>
  <c r="Q409" i="27"/>
  <c r="Q185" i="27"/>
  <c r="Q280" i="27"/>
  <c r="Q650" i="27"/>
  <c r="Q1581" i="27"/>
  <c r="Q336" i="27"/>
  <c r="Q1215" i="27"/>
  <c r="Q1805" i="27"/>
  <c r="Q961" i="27"/>
  <c r="Q1327" i="27"/>
  <c r="Q1736" i="27"/>
  <c r="Q1512" i="27"/>
  <c r="Q1284" i="27"/>
  <c r="Q1060" i="27"/>
  <c r="Q831" i="27"/>
  <c r="Q607" i="27"/>
  <c r="Q379" i="27"/>
  <c r="Q155" i="27"/>
  <c r="Q1749" i="27"/>
  <c r="Q1693" i="27"/>
  <c r="Q448" i="27"/>
  <c r="Q991" i="27"/>
  <c r="Q1103" i="27"/>
  <c r="Q732" i="27"/>
  <c r="Q310" i="27"/>
  <c r="Q1400" i="27"/>
  <c r="Q495" i="27"/>
  <c r="Q42" i="27"/>
  <c r="Q1271" i="27"/>
  <c r="Q29" i="27"/>
  <c r="Q168" i="27"/>
  <c r="Q676" i="27"/>
  <c r="Q1146" i="27"/>
  <c r="Q16" i="27"/>
  <c r="Q765" i="27"/>
  <c r="Q254" i="27"/>
  <c r="Q1413" i="27"/>
  <c r="Q1710" i="27"/>
  <c r="Q1486" i="27"/>
  <c r="Q1258" i="27"/>
  <c r="Q1034" i="27"/>
  <c r="Q805" i="27"/>
  <c r="Q581" i="27"/>
  <c r="BV581" i="27" s="1"/>
  <c r="Q353" i="27"/>
  <c r="Q129" i="27"/>
  <c r="Q1525" i="27"/>
  <c r="Q55" i="27"/>
  <c r="Q422" i="27"/>
  <c r="Q1469" i="27"/>
  <c r="Q112" i="27"/>
  <c r="Q224" i="27"/>
  <c r="Q594" i="27"/>
  <c r="BV594" i="27" s="1"/>
  <c r="Q620" i="27"/>
  <c r="Q1611" i="27"/>
  <c r="Q1353" i="27"/>
  <c r="Q948" i="27"/>
  <c r="Q788" i="27"/>
  <c r="Q1374" i="27"/>
  <c r="Q1218" i="27"/>
  <c r="Q564" i="27"/>
  <c r="BV564" i="27" s="1"/>
  <c r="Q706" i="27"/>
  <c r="Q1680" i="27"/>
  <c r="Q1456" i="27"/>
  <c r="Q1228" i="27"/>
  <c r="Q1004" i="27"/>
  <c r="Q775" i="27"/>
  <c r="Q551" i="27"/>
  <c r="BV551" i="27" s="1"/>
  <c r="Q323" i="27"/>
  <c r="Q99" i="27"/>
  <c r="Q1297" i="27"/>
  <c r="Q1723" i="27"/>
  <c r="Q1241" i="27"/>
  <c r="Q1779" i="27"/>
  <c r="Q482" i="27"/>
  <c r="Q366" i="27"/>
  <c r="Q1387" i="27"/>
  <c r="Q1172" i="27"/>
  <c r="Q719" i="27"/>
  <c r="Q267" i="27"/>
  <c r="Q844" i="27"/>
  <c r="Q1637" i="27"/>
  <c r="Q935" i="27"/>
  <c r="Q693" i="27"/>
  <c r="Q469" i="27"/>
  <c r="Q1330" i="27"/>
  <c r="Q508" i="27"/>
  <c r="Q1667" i="27"/>
  <c r="Q1129" i="27"/>
  <c r="Q1654" i="27"/>
  <c r="Q1430" i="27"/>
  <c r="Q1202" i="27"/>
  <c r="Q978" i="27"/>
  <c r="Q749" i="27"/>
  <c r="Q525" i="27"/>
  <c r="Q297" i="27"/>
  <c r="Q72" i="27"/>
  <c r="BQ72" i="27" s="1"/>
  <c r="Q1073" i="27"/>
  <c r="Q1499" i="27"/>
  <c r="Q198" i="27"/>
  <c r="Q1017" i="27"/>
  <c r="Q762" i="27"/>
  <c r="Q874" i="27"/>
  <c r="Q142" i="27"/>
  <c r="Q392" i="27"/>
  <c r="Q1159" i="27"/>
  <c r="Q1555" i="27"/>
  <c r="Q1624" i="27"/>
  <c r="Q922" i="27"/>
  <c r="Q241" i="27"/>
  <c r="Q821" i="27"/>
  <c r="Q1047" i="27"/>
  <c r="Q313" i="27"/>
  <c r="Q1598" i="27"/>
  <c r="Q1696" i="27"/>
  <c r="Q227" i="27"/>
  <c r="Q283" i="27"/>
  <c r="Q1614" i="27"/>
  <c r="Q58" i="27"/>
  <c r="Q1106" i="27"/>
  <c r="Q1528" i="27"/>
  <c r="Q567" i="27"/>
  <c r="BV567" i="27" s="1"/>
  <c r="Q597" i="27"/>
  <c r="BV597" i="27" s="1"/>
  <c r="Q1776" i="27"/>
  <c r="Q1552" i="27"/>
  <c r="Q1324" i="27"/>
  <c r="Q1100" i="27"/>
  <c r="Q871" i="27"/>
  <c r="Q647" i="27"/>
  <c r="Q419" i="27"/>
  <c r="Q195" i="27"/>
  <c r="Q1739" i="27"/>
  <c r="Q1317" i="27"/>
  <c r="Q890" i="27"/>
  <c r="Q1515" i="27"/>
  <c r="Q1037" i="27"/>
  <c r="Q1733" i="27"/>
  <c r="Q1509" i="27"/>
  <c r="Q1281" i="27"/>
  <c r="Q1057" i="27"/>
  <c r="Q828" i="27"/>
  <c r="Q604" i="27"/>
  <c r="Q376" i="27"/>
  <c r="Q152" i="27"/>
  <c r="Q696" i="27"/>
  <c r="Q1752" i="27"/>
  <c r="Q847" i="27"/>
  <c r="Q115" i="27"/>
  <c r="Q1020" i="27"/>
  <c r="Q877" i="27"/>
  <c r="Q201" i="27"/>
  <c r="Q1808" i="27"/>
  <c r="Q1746" i="27"/>
  <c r="Q1522" i="27"/>
  <c r="Q841" i="27"/>
  <c r="Q617" i="27"/>
  <c r="Q1683" i="27"/>
  <c r="Q1261" i="27"/>
  <c r="Q834" i="27"/>
  <c r="Q1459" i="27"/>
  <c r="Q981" i="27"/>
  <c r="Q1707" i="27"/>
  <c r="Q1483" i="27"/>
  <c r="Q1255" i="27"/>
  <c r="Q1031" i="27"/>
  <c r="Q802" i="27"/>
  <c r="Q578" i="27"/>
  <c r="BV578" i="27" s="1"/>
  <c r="Q350" i="27"/>
  <c r="Q126" i="27"/>
  <c r="Q132" i="27"/>
  <c r="Q188" i="27"/>
  <c r="Q75" i="27"/>
  <c r="BQ75" i="27" s="1"/>
  <c r="Q485" i="27"/>
  <c r="Q554" i="27"/>
  <c r="BV554" i="27" s="1"/>
  <c r="Q171" i="27"/>
  <c r="Q1390" i="27"/>
  <c r="Q1472" i="27"/>
  <c r="Q1502" i="27"/>
  <c r="Q1726" i="27"/>
  <c r="Q653" i="27"/>
  <c r="Q1720" i="27"/>
  <c r="Q1496" i="27"/>
  <c r="Q1268" i="27"/>
  <c r="Q1044" i="27"/>
  <c r="Q815" i="27"/>
  <c r="Q591" i="27"/>
  <c r="BV591" i="27" s="1"/>
  <c r="Q363" i="27"/>
  <c r="Q139" i="27"/>
  <c r="Q1657" i="27"/>
  <c r="Q1205" i="27"/>
  <c r="Q778" i="27"/>
  <c r="Q1403" i="27"/>
  <c r="Q925" i="27"/>
  <c r="Q1677" i="27"/>
  <c r="Q1453" i="27"/>
  <c r="Q1225" i="27"/>
  <c r="Q1001" i="27"/>
  <c r="Q772" i="27"/>
  <c r="Q548" i="27"/>
  <c r="BV548" i="27" s="1"/>
  <c r="Q320" i="27"/>
  <c r="Q96" i="27"/>
  <c r="Q244" i="27"/>
  <c r="Q214" i="27"/>
  <c r="Q425" i="27"/>
  <c r="Q964" i="27"/>
  <c r="Q1274" i="27"/>
  <c r="Q791" i="27"/>
  <c r="Q395" i="27"/>
  <c r="Q1132" i="27"/>
  <c r="Q1188" i="27"/>
  <c r="Q1690" i="27"/>
  <c r="Q1466" i="27"/>
  <c r="Q785" i="27"/>
  <c r="Q561" i="27"/>
  <c r="BV561" i="27" s="1"/>
  <c r="Q1601" i="27"/>
  <c r="Q1149" i="27"/>
  <c r="Q722" i="27"/>
  <c r="Q1343" i="27"/>
  <c r="Q864" i="27"/>
  <c r="Q1651" i="27"/>
  <c r="Q1427" i="27"/>
  <c r="Q1199" i="27"/>
  <c r="Q975" i="27"/>
  <c r="Q746" i="27"/>
  <c r="Q522" i="27"/>
  <c r="Q294" i="27"/>
  <c r="Q69" i="27"/>
  <c r="BQ69" i="27" s="1"/>
  <c r="Q498" i="27"/>
  <c r="Q102" i="27"/>
  <c r="Q610" i="27"/>
  <c r="Q679" i="27"/>
  <c r="Q938" i="27"/>
  <c r="Q145" i="27"/>
  <c r="Q1446" i="27"/>
  <c r="Q903" i="27"/>
  <c r="Q1584" i="27"/>
  <c r="Q1640" i="27"/>
  <c r="Q1664" i="27"/>
  <c r="Q1440" i="27"/>
  <c r="Q1212" i="27"/>
  <c r="Q988" i="27"/>
  <c r="Q759" i="27"/>
  <c r="Q535" i="27"/>
  <c r="BV535" i="27" s="1"/>
  <c r="Q307" i="27"/>
  <c r="Q82" i="27"/>
  <c r="BQ82" i="27" s="1"/>
  <c r="Q1545" i="27"/>
  <c r="Q1119" i="27"/>
  <c r="Q1769" i="27"/>
  <c r="Q1287" i="27"/>
  <c r="Q808" i="27"/>
  <c r="Q1621" i="27"/>
  <c r="Q1397" i="27"/>
  <c r="Q1169" i="27"/>
  <c r="Q945" i="27"/>
  <c r="Q716" i="27"/>
  <c r="Q492" i="27"/>
  <c r="Q264" i="27"/>
  <c r="Q39" i="27"/>
  <c r="Q270" i="27"/>
  <c r="Q472" i="27"/>
  <c r="Q382" i="27"/>
  <c r="Q735" i="27"/>
  <c r="Q1050" i="27"/>
  <c r="Q257" i="27"/>
  <c r="Q1802" i="27"/>
  <c r="Q1795" i="27"/>
  <c r="Q1571" i="27"/>
  <c r="Q1311" i="27"/>
  <c r="Q634" i="27"/>
  <c r="Q584" i="27"/>
  <c r="BV584" i="27" s="1"/>
  <c r="Q369" i="27"/>
  <c r="Q412" i="27"/>
  <c r="Q1416" i="27"/>
  <c r="Q541" i="27"/>
  <c r="BV541" i="27" s="1"/>
  <c r="Q623" i="27"/>
  <c r="Q1782" i="27"/>
  <c r="Q994" i="27"/>
  <c r="Q1076" i="27"/>
  <c r="Q1634" i="27"/>
  <c r="Q1410" i="27"/>
  <c r="Q729" i="27"/>
  <c r="Q505" i="27"/>
  <c r="Q1489" i="27"/>
  <c r="Q1063" i="27"/>
  <c r="Q1713" i="27"/>
  <c r="Q1231" i="27"/>
  <c r="Q752" i="27"/>
  <c r="Q1595" i="27"/>
  <c r="Q1371" i="27"/>
  <c r="Q1143" i="27"/>
  <c r="Q919" i="27"/>
  <c r="Q690" i="27"/>
  <c r="Q466" i="27"/>
  <c r="Q238" i="27"/>
  <c r="Q13" i="27"/>
  <c r="Q45" i="27"/>
  <c r="Q19" i="27"/>
  <c r="Q158" i="27"/>
  <c r="Q1244" i="27"/>
  <c r="Q1356" i="27"/>
  <c r="Q451" i="27"/>
  <c r="Q897" i="27"/>
  <c r="Q951" i="27"/>
  <c r="Q1093" i="27"/>
  <c r="Q1539" i="27"/>
  <c r="Q858" i="27"/>
  <c r="Q406" i="27"/>
  <c r="Q640" i="27"/>
  <c r="Q1162" i="27"/>
  <c r="Q356" i="27"/>
  <c r="Q709" i="27"/>
  <c r="Q32" i="27"/>
  <c r="Q1300" i="27"/>
  <c r="Q511" i="27"/>
  <c r="Q1558" i="27"/>
  <c r="Q1608" i="27"/>
  <c r="Q1384" i="27"/>
  <c r="Q1156" i="27"/>
  <c r="Q932" i="27"/>
  <c r="Q703" i="27"/>
  <c r="Q479" i="27"/>
  <c r="Q251" i="27"/>
  <c r="Q26" i="27"/>
  <c r="Q1433" i="27"/>
  <c r="Q1007" i="27"/>
  <c r="Q1627" i="27"/>
  <c r="Q1175" i="27"/>
  <c r="Q1789" i="27"/>
  <c r="Q1565" i="27"/>
  <c r="Q1337" i="27"/>
  <c r="Q1113" i="27"/>
  <c r="Q884" i="27"/>
  <c r="Q660" i="27"/>
  <c r="Q432" i="27"/>
  <c r="Q208" i="27"/>
  <c r="Q666" i="27"/>
  <c r="Q300" i="27"/>
  <c r="Q438" i="27"/>
  <c r="Q528" i="27"/>
  <c r="Q1670" i="27"/>
  <c r="Q339" i="27"/>
  <c r="Q1578" i="27"/>
  <c r="Q673" i="27"/>
  <c r="Q1377" i="27"/>
  <c r="Q1763" i="27"/>
  <c r="Q1087" i="27"/>
  <c r="Q182" i="27"/>
  <c r="Q326" i="27"/>
  <c r="Q88" i="27"/>
  <c r="G718" i="27"/>
  <c r="E79" i="27"/>
  <c r="E1437" i="27"/>
  <c r="E532" i="27"/>
  <c r="BJ532" i="27" s="1"/>
  <c r="CI532" i="27" s="1"/>
  <c r="E985" i="27"/>
  <c r="G1623" i="27"/>
  <c r="G947" i="27"/>
  <c r="G1171" i="27"/>
  <c r="G494" i="27"/>
  <c r="W1249" i="27"/>
  <c r="W1305" i="27"/>
  <c r="W909" i="27"/>
  <c r="G266" i="27"/>
  <c r="B16" i="13"/>
  <c r="B11" i="13"/>
  <c r="Q124" i="15"/>
  <c r="O112" i="15"/>
  <c r="Q112" i="15" s="1"/>
  <c r="O49" i="15"/>
  <c r="Q49" i="15" s="1"/>
  <c r="O82" i="15"/>
  <c r="O19" i="15"/>
  <c r="M127" i="15"/>
  <c r="M64" i="15"/>
  <c r="Q4" i="15"/>
  <c r="F81" i="15"/>
  <c r="F18" i="15"/>
  <c r="Q7" i="15"/>
  <c r="Q61" i="15"/>
  <c r="D15" i="15"/>
  <c r="F123" i="15"/>
  <c r="N121" i="15" s="1"/>
  <c r="P121" i="15" s="1"/>
  <c r="F93" i="15"/>
  <c r="N91" i="15" s="1"/>
  <c r="P91" i="15" s="1"/>
  <c r="H27" i="15"/>
  <c r="H120" i="15"/>
  <c r="N118" i="15" s="1"/>
  <c r="P118" i="15" s="1"/>
  <c r="H90" i="15"/>
  <c r="N88" i="15" s="1"/>
  <c r="P88" i="15" s="1"/>
  <c r="F60" i="15"/>
  <c r="F111" i="15"/>
  <c r="H57" i="15"/>
  <c r="F48" i="15"/>
  <c r="F30" i="15"/>
  <c r="H12" i="15"/>
  <c r="H42" i="15"/>
  <c r="H105" i="15"/>
  <c r="H75" i="15"/>
  <c r="Q88" i="15"/>
  <c r="Q121" i="15"/>
  <c r="Q55" i="15"/>
  <c r="Q43" i="15"/>
  <c r="Q46" i="15"/>
  <c r="P94" i="15"/>
  <c r="Q94" i="15"/>
  <c r="Q58" i="15"/>
  <c r="Q91" i="15"/>
  <c r="Q28" i="15"/>
  <c r="Q37" i="15"/>
  <c r="Q25" i="15"/>
  <c r="Q40" i="15"/>
  <c r="O18" i="27" l="1"/>
  <c r="Q1294" i="27"/>
  <c r="Q1070" i="27"/>
  <c r="Q389" i="27"/>
  <c r="Q165" i="27"/>
  <c r="Q1238" i="27"/>
  <c r="Q1014" i="27"/>
  <c r="Q333" i="27"/>
  <c r="Q109" i="27"/>
  <c r="Q1126" i="27"/>
  <c r="Q445" i="27"/>
  <c r="Q1182" i="27"/>
  <c r="Q958" i="27"/>
  <c r="Q277" i="27"/>
  <c r="Q52" i="27"/>
  <c r="Q1350" i="27"/>
  <c r="Q221" i="27"/>
  <c r="G41" i="27"/>
  <c r="G1399" i="27"/>
  <c r="W1411" i="27" s="1"/>
  <c r="W1351" i="27"/>
  <c r="Z1351" i="27" s="1"/>
  <c r="W1806" i="27"/>
  <c r="Z1806" i="27" s="1"/>
  <c r="W1800" i="27"/>
  <c r="Z1800" i="27" s="1"/>
  <c r="W1357" i="27"/>
  <c r="Z1357" i="27" s="1"/>
  <c r="W1747" i="27"/>
  <c r="Z1747" i="27" s="1"/>
  <c r="W1750" i="27"/>
  <c r="Z1750" i="27" s="1"/>
  <c r="W1301" i="27"/>
  <c r="Z1301" i="27" s="1"/>
  <c r="W1744" i="27"/>
  <c r="Z1744" i="27" s="1"/>
  <c r="W1298" i="27"/>
  <c r="Z1298" i="27" s="1"/>
  <c r="W1753" i="27"/>
  <c r="Z1753" i="27" s="1"/>
  <c r="W1809" i="27"/>
  <c r="Z1809" i="27" s="1"/>
  <c r="W1295" i="27"/>
  <c r="Z1295" i="27" s="1"/>
  <c r="W1354" i="27"/>
  <c r="Z1354" i="27" s="1"/>
  <c r="W1803" i="27"/>
  <c r="Z1803" i="27" s="1"/>
  <c r="W1189" i="27"/>
  <c r="W1183" i="27"/>
  <c r="W1186" i="27"/>
  <c r="Z1305" i="27"/>
  <c r="Z1249" i="27"/>
  <c r="BE79" i="27"/>
  <c r="W1239" i="27"/>
  <c r="W1245" i="27"/>
  <c r="W1242" i="27"/>
  <c r="W1137" i="27"/>
  <c r="W1193" i="27"/>
  <c r="W1021" i="27"/>
  <c r="W1018" i="27"/>
  <c r="W959" i="27"/>
  <c r="W965" i="27"/>
  <c r="W962" i="27"/>
  <c r="W1015" i="27"/>
  <c r="W969" i="27"/>
  <c r="W913" i="27"/>
  <c r="W1694" i="27"/>
  <c r="W1638" i="27"/>
  <c r="W1688" i="27"/>
  <c r="W1635" i="27"/>
  <c r="W1632" i="27"/>
  <c r="W1691" i="27"/>
  <c r="W1641" i="27"/>
  <c r="W1697" i="27"/>
  <c r="W1589" i="27"/>
  <c r="W1645" i="27"/>
  <c r="H117" i="15"/>
  <c r="N112" i="15" s="1"/>
  <c r="P112" i="15" s="1"/>
  <c r="O1735" i="27"/>
  <c r="O1455" i="27"/>
  <c r="O1712" i="27"/>
  <c r="O1567" i="27"/>
  <c r="W1569" i="27" s="1"/>
  <c r="O1544" i="27"/>
  <c r="O1623" i="27"/>
  <c r="W1625" i="27" s="1"/>
  <c r="O1283" i="27"/>
  <c r="O807" i="27"/>
  <c r="O662" i="27"/>
  <c r="O550" i="27"/>
  <c r="O1656" i="27"/>
  <c r="O1260" i="27"/>
  <c r="O1115" i="27"/>
  <c r="W1120" i="27" s="1"/>
  <c r="O639" i="27"/>
  <c r="O434" i="27"/>
  <c r="O1376" i="27"/>
  <c r="O1227" i="27"/>
  <c r="W1232" i="27" s="1"/>
  <c r="O886" i="27"/>
  <c r="O751" i="27"/>
  <c r="O1600" i="27"/>
  <c r="O1092" i="27"/>
  <c r="O980" i="27"/>
  <c r="O718" i="27"/>
  <c r="O583" i="27"/>
  <c r="BT583" i="27" s="1"/>
  <c r="O494" i="27"/>
  <c r="O1791" i="27"/>
  <c r="O1511" i="27"/>
  <c r="W1507" i="27" s="1"/>
  <c r="O1171" i="27"/>
  <c r="O924" i="27"/>
  <c r="O830" i="27"/>
  <c r="O1432" i="27"/>
  <c r="O131" i="27"/>
  <c r="O1399" i="27"/>
  <c r="O1148" i="27"/>
  <c r="O1059" i="27"/>
  <c r="W1064" i="27" s="1"/>
  <c r="O299" i="27"/>
  <c r="O187" i="27"/>
  <c r="O1036" i="27"/>
  <c r="O695" i="27"/>
  <c r="O378" i="27"/>
  <c r="O266" i="27"/>
  <c r="O98" i="27"/>
  <c r="O1768" i="27"/>
  <c r="O1339" i="27"/>
  <c r="O1003" i="27"/>
  <c r="W1005" i="27" s="1"/>
  <c r="O527" i="27"/>
  <c r="O355" i="27"/>
  <c r="O243" i="27"/>
  <c r="O74" i="27"/>
  <c r="BO74" i="27" s="1"/>
  <c r="O1488" i="27"/>
  <c r="O1204" i="27"/>
  <c r="O1316" i="27"/>
  <c r="O606" i="27"/>
  <c r="O947" i="27"/>
  <c r="W946" i="27" s="1"/>
  <c r="O322" i="27"/>
  <c r="O411" i="27"/>
  <c r="O471" i="27"/>
  <c r="O154" i="27"/>
  <c r="O863" i="27"/>
  <c r="O210" i="27"/>
  <c r="O41" i="27"/>
  <c r="O1679" i="27"/>
  <c r="W1681" i="27" s="1"/>
  <c r="O774" i="27"/>
  <c r="W1133" i="27"/>
  <c r="W1130" i="27"/>
  <c r="W1077" i="27"/>
  <c r="W1127" i="27"/>
  <c r="W1074" i="27"/>
  <c r="W1071" i="27"/>
  <c r="W1025" i="27"/>
  <c r="W1081" i="27"/>
  <c r="Z909" i="27"/>
  <c r="W1585" i="27"/>
  <c r="W1582" i="27"/>
  <c r="W1529" i="27"/>
  <c r="W1579" i="27"/>
  <c r="W1526" i="27"/>
  <c r="W1576" i="27"/>
  <c r="W1523" i="27"/>
  <c r="W1520" i="27"/>
  <c r="W1533" i="27"/>
  <c r="W1477" i="27"/>
  <c r="M1605" i="27"/>
  <c r="W1615" i="27" s="1"/>
  <c r="M1381" i="27"/>
  <c r="M1661" i="27"/>
  <c r="W1671" i="27" s="1"/>
  <c r="M1773" i="27"/>
  <c r="M1493" i="27"/>
  <c r="M1717" i="27"/>
  <c r="M1437" i="27"/>
  <c r="M1153" i="27"/>
  <c r="W1163" i="27" s="1"/>
  <c r="M985" i="27"/>
  <c r="W995" i="27" s="1"/>
  <c r="M756" i="27"/>
  <c r="M588" i="27"/>
  <c r="BR588" i="27" s="1"/>
  <c r="M1097" i="27"/>
  <c r="M929" i="27"/>
  <c r="W930" i="27" s="1"/>
  <c r="M1209" i="27"/>
  <c r="W1213" i="27" s="1"/>
  <c r="M868" i="27"/>
  <c r="M1321" i="27"/>
  <c r="M1041" i="27"/>
  <c r="W1051" i="27" s="1"/>
  <c r="M700" i="27"/>
  <c r="M476" i="27"/>
  <c r="M812" i="27"/>
  <c r="M360" i="27"/>
  <c r="M532" i="27"/>
  <c r="BR532" i="27" s="1"/>
  <c r="M79" i="27"/>
  <c r="M644" i="27"/>
  <c r="M136" i="27"/>
  <c r="M1549" i="27"/>
  <c r="W1556" i="27" s="1"/>
  <c r="M1265" i="27"/>
  <c r="M416" i="27"/>
  <c r="M192" i="27"/>
  <c r="M23" i="27"/>
  <c r="M248" i="27"/>
  <c r="M304" i="27"/>
  <c r="O64" i="15"/>
  <c r="Q19" i="15"/>
  <c r="O127" i="15"/>
  <c r="Q82" i="15"/>
  <c r="Q115" i="15"/>
  <c r="Q52" i="15"/>
  <c r="H54" i="15"/>
  <c r="H24" i="15"/>
  <c r="D78" i="15"/>
  <c r="H87" i="15"/>
  <c r="D45" i="15"/>
  <c r="D111" i="15"/>
  <c r="H72" i="15"/>
  <c r="H9" i="15"/>
  <c r="H39" i="15"/>
  <c r="H102" i="15"/>
  <c r="F12" i="15"/>
  <c r="F105" i="15"/>
  <c r="F75" i="15"/>
  <c r="F42" i="15"/>
  <c r="W1473" i="27" l="1"/>
  <c r="Z1473" i="27" s="1"/>
  <c r="W1055" i="27"/>
  <c r="Z1055" i="27" s="1"/>
  <c r="W1417" i="27"/>
  <c r="Z1417" i="27" s="1"/>
  <c r="W1365" i="27"/>
  <c r="Z1365" i="27" s="1"/>
  <c r="W1464" i="27"/>
  <c r="Z1464" i="27" s="1"/>
  <c r="W1421" i="27"/>
  <c r="Z1421" i="27" s="1"/>
  <c r="W1470" i="27"/>
  <c r="Z1470" i="27" s="1"/>
  <c r="W1401" i="27"/>
  <c r="Z1401" i="27" s="1"/>
  <c r="W1467" i="27"/>
  <c r="Z1467" i="27" s="1"/>
  <c r="W1408" i="27"/>
  <c r="Z1408" i="27" s="1"/>
  <c r="W1414" i="27"/>
  <c r="Z1414" i="27" s="1"/>
  <c r="W1460" i="27"/>
  <c r="Z1460" i="27" s="1"/>
  <c r="W1012" i="27"/>
  <c r="Z1012" i="27" s="1"/>
  <c r="W1292" i="27"/>
  <c r="W1180" i="27"/>
  <c r="W1124" i="27"/>
  <c r="W1236" i="27"/>
  <c r="Z1236" i="27" s="1"/>
  <c r="W1068" i="27"/>
  <c r="W956" i="27"/>
  <c r="Z956" i="27" s="1"/>
  <c r="W1348" i="27"/>
  <c r="BT550" i="27"/>
  <c r="W1513" i="27"/>
  <c r="Z1513" i="27" s="1"/>
  <c r="W1058" i="27"/>
  <c r="Z1058" i="27" s="1"/>
  <c r="W1516" i="27"/>
  <c r="Z1516" i="27" s="1"/>
  <c r="W1510" i="27"/>
  <c r="Z1510" i="27" s="1"/>
  <c r="Z1556" i="27"/>
  <c r="Z1213" i="27"/>
  <c r="Z1523" i="27"/>
  <c r="Z1529" i="27"/>
  <c r="Z1127" i="27"/>
  <c r="Z1133" i="27"/>
  <c r="Z1681" i="27"/>
  <c r="Z946" i="27"/>
  <c r="Z1625" i="27"/>
  <c r="Z1589" i="27"/>
  <c r="Z1632" i="27"/>
  <c r="Z1694" i="27"/>
  <c r="Z962" i="27"/>
  <c r="Z1021" i="27"/>
  <c r="Z1245" i="27"/>
  <c r="Z1051" i="27"/>
  <c r="Z930" i="27"/>
  <c r="Z995" i="27"/>
  <c r="W1481" i="27"/>
  <c r="Z1615" i="27"/>
  <c r="Z1576" i="27"/>
  <c r="Z1582" i="27"/>
  <c r="Z1071" i="27"/>
  <c r="Z1077" i="27"/>
  <c r="Z1005" i="27"/>
  <c r="Z1232" i="27"/>
  <c r="Z1120" i="27"/>
  <c r="Z1697" i="27"/>
  <c r="Z1635" i="27"/>
  <c r="Z913" i="27"/>
  <c r="Z965" i="27"/>
  <c r="Z1193" i="27"/>
  <c r="Z1239" i="27"/>
  <c r="Z1163" i="27"/>
  <c r="Z1477" i="27"/>
  <c r="Z1520" i="27"/>
  <c r="Z1526" i="27"/>
  <c r="Z1585" i="27"/>
  <c r="Z1081" i="27"/>
  <c r="Z1130" i="27"/>
  <c r="Z1411" i="27"/>
  <c r="Z1186" i="27"/>
  <c r="Z1569" i="27"/>
  <c r="Z1641" i="27"/>
  <c r="Z1688" i="27"/>
  <c r="Z969" i="27"/>
  <c r="Z959" i="27"/>
  <c r="Z1137" i="27"/>
  <c r="Z1671" i="27"/>
  <c r="Z1533" i="27"/>
  <c r="Z1579" i="27"/>
  <c r="Z1025" i="27"/>
  <c r="Z1074" i="27"/>
  <c r="Z1064" i="27"/>
  <c r="Z1507" i="27"/>
  <c r="Z1645" i="27"/>
  <c r="Z1691" i="27"/>
  <c r="Z1638" i="27"/>
  <c r="Z1015" i="27"/>
  <c r="Z1018" i="27"/>
  <c r="Z1242" i="27"/>
  <c r="W1061" i="27"/>
  <c r="BM79" i="27"/>
  <c r="W1451" i="27"/>
  <c r="W1111" i="27"/>
  <c r="W1114" i="27"/>
  <c r="W1454" i="27"/>
  <c r="W1457" i="27"/>
  <c r="W1378" i="27"/>
  <c r="W1563" i="27"/>
  <c r="W1566" i="27"/>
  <c r="W1572" i="27"/>
  <c r="W1546" i="27"/>
  <c r="W1088" i="27"/>
  <c r="W1117" i="27"/>
  <c r="N115" i="15"/>
  <c r="P115" i="15" s="1"/>
  <c r="W1428" i="27"/>
  <c r="W1494" i="27"/>
  <c r="W1540" i="27"/>
  <c r="W1537" i="27"/>
  <c r="W933" i="27"/>
  <c r="W1167" i="27"/>
  <c r="W1150" i="27"/>
  <c r="W1094" i="27"/>
  <c r="W939" i="27"/>
  <c r="W1157" i="27"/>
  <c r="W1441" i="27"/>
  <c r="W923" i="27"/>
  <c r="W1606" i="27"/>
  <c r="W1612" i="27"/>
  <c r="W1322" i="27"/>
  <c r="W1331" i="27"/>
  <c r="W1315" i="27"/>
  <c r="W1309" i="27"/>
  <c r="W1325" i="27"/>
  <c r="W1318" i="27"/>
  <c r="W1312" i="27"/>
  <c r="W1328" i="27"/>
  <c r="W1543" i="27"/>
  <c r="W1553" i="27"/>
  <c r="W1559" i="27"/>
  <c r="W1035" i="27"/>
  <c r="W1098" i="27"/>
  <c r="W1104" i="27"/>
  <c r="W1382" i="27"/>
  <c r="W1391" i="27"/>
  <c r="W1372" i="27"/>
  <c r="W1622" i="27"/>
  <c r="W982" i="27"/>
  <c r="W952" i="27"/>
  <c r="W973" i="27"/>
  <c r="W1200" i="27"/>
  <c r="W1176" i="27"/>
  <c r="W1740" i="27"/>
  <c r="W1737" i="27"/>
  <c r="W1734" i="27"/>
  <c r="W1731" i="27"/>
  <c r="W1404" i="27"/>
  <c r="W1398" i="27"/>
  <c r="W1285" i="27"/>
  <c r="W1288" i="27"/>
  <c r="W1282" i="27"/>
  <c r="W1279" i="27"/>
  <c r="W1678" i="27"/>
  <c r="W1649" i="27"/>
  <c r="W1658" i="27"/>
  <c r="W1665" i="27"/>
  <c r="W917" i="27"/>
  <c r="W1008" i="27"/>
  <c r="W999" i="27"/>
  <c r="W1141" i="27"/>
  <c r="W1173" i="27"/>
  <c r="W1203" i="27"/>
  <c r="W1210" i="27"/>
  <c r="W1718" i="27"/>
  <c r="W1714" i="27"/>
  <c r="W1711" i="27"/>
  <c r="W1708" i="27"/>
  <c r="W1727" i="27"/>
  <c r="W1705" i="27"/>
  <c r="W1724" i="27"/>
  <c r="W1721" i="27"/>
  <c r="W1484" i="27"/>
  <c r="W1497" i="27"/>
  <c r="W1503" i="27"/>
  <c r="W1038" i="27"/>
  <c r="W1048" i="27"/>
  <c r="W1029" i="27"/>
  <c r="W1388" i="27"/>
  <c r="W1444" i="27"/>
  <c r="W1425" i="27"/>
  <c r="W1652" i="27"/>
  <c r="W1675" i="27"/>
  <c r="W1684" i="27"/>
  <c r="W943" i="27"/>
  <c r="W926" i="27"/>
  <c r="W986" i="27"/>
  <c r="W949" i="27"/>
  <c r="W1216" i="27"/>
  <c r="W1229" i="27"/>
  <c r="W1341" i="27"/>
  <c r="W1335" i="27"/>
  <c r="W1344" i="27"/>
  <c r="W1338" i="27"/>
  <c r="W1619" i="27"/>
  <c r="W1593" i="27"/>
  <c r="W1602" i="27"/>
  <c r="W1609" i="27"/>
  <c r="W989" i="27"/>
  <c r="W976" i="27"/>
  <c r="W1147" i="27"/>
  <c r="W1144" i="27"/>
  <c r="W1154" i="27"/>
  <c r="W1160" i="27"/>
  <c r="W1596" i="27"/>
  <c r="W1770" i="27"/>
  <c r="W1767" i="27"/>
  <c r="W1764" i="27"/>
  <c r="W1761" i="27"/>
  <c r="W1780" i="27"/>
  <c r="W1783" i="27"/>
  <c r="W1777" i="27"/>
  <c r="W1774" i="27"/>
  <c r="W1550" i="27"/>
  <c r="W1085" i="27"/>
  <c r="W1091" i="27"/>
  <c r="W1101" i="27"/>
  <c r="W1107" i="27"/>
  <c r="W1431" i="27"/>
  <c r="W1385" i="27"/>
  <c r="W1369" i="27"/>
  <c r="W1375" i="27"/>
  <c r="W1668" i="27"/>
  <c r="W1628" i="27"/>
  <c r="W920" i="27"/>
  <c r="W992" i="27"/>
  <c r="W1002" i="27"/>
  <c r="W1219" i="27"/>
  <c r="W1170" i="27"/>
  <c r="W1266" i="27"/>
  <c r="W1259" i="27"/>
  <c r="W1275" i="27"/>
  <c r="W1272" i="27"/>
  <c r="W1269" i="27"/>
  <c r="W1262" i="27"/>
  <c r="W1256" i="27"/>
  <c r="W1253" i="27"/>
  <c r="W1487" i="27"/>
  <c r="W1434" i="27"/>
  <c r="W1395" i="27"/>
  <c r="W1599" i="27"/>
  <c r="W1655" i="27"/>
  <c r="W1662" i="27"/>
  <c r="W936" i="27"/>
  <c r="W1197" i="27"/>
  <c r="W1206" i="27"/>
  <c r="W1490" i="27"/>
  <c r="W1500" i="27"/>
  <c r="W1042" i="27"/>
  <c r="W1032" i="27"/>
  <c r="W1045" i="27"/>
  <c r="W1438" i="27"/>
  <c r="W1447" i="27"/>
  <c r="W1796" i="27"/>
  <c r="W1793" i="27"/>
  <c r="W1790" i="27"/>
  <c r="W1787" i="27"/>
  <c r="W979" i="27"/>
  <c r="W1226" i="27"/>
  <c r="W1223" i="27"/>
  <c r="N70" i="15"/>
  <c r="N67" i="15"/>
  <c r="N100" i="15"/>
  <c r="P100" i="15" s="1"/>
  <c r="N97" i="15"/>
  <c r="P97" i="15" s="1"/>
  <c r="N85" i="15"/>
  <c r="P85" i="15" s="1"/>
  <c r="N82" i="15"/>
  <c r="P82" i="15" s="1"/>
  <c r="Q22" i="15"/>
  <c r="Q85" i="15"/>
  <c r="N109" i="15"/>
  <c r="P109" i="15" s="1"/>
  <c r="N106" i="15"/>
  <c r="P106" i="15" s="1"/>
  <c r="N103" i="15"/>
  <c r="P103" i="15" s="1"/>
  <c r="N73" i="15"/>
  <c r="P73" i="15" s="1"/>
  <c r="N76" i="15"/>
  <c r="P76" i="15" s="1"/>
  <c r="N79" i="15"/>
  <c r="P79" i="15" s="1"/>
  <c r="Z1292" i="27" l="1"/>
  <c r="Z1068" i="27"/>
  <c r="Z1348" i="27"/>
  <c r="Z1124" i="27"/>
  <c r="Z1780" i="27"/>
  <c r="Z989" i="27"/>
  <c r="Z1341" i="27"/>
  <c r="Z926" i="27"/>
  <c r="Z1652" i="27"/>
  <c r="Z1029" i="27"/>
  <c r="Z1484" i="27"/>
  <c r="Z1718" i="27"/>
  <c r="Z1203" i="27"/>
  <c r="Z1649" i="27"/>
  <c r="Z1734" i="27"/>
  <c r="Z982" i="27"/>
  <c r="Z1312" i="27"/>
  <c r="Z992" i="27"/>
  <c r="Z1774" i="27"/>
  <c r="Z1609" i="27"/>
  <c r="Z943" i="27"/>
  <c r="Z1425" i="27"/>
  <c r="Z1048" i="27"/>
  <c r="Z1708" i="27"/>
  <c r="Z1173" i="27"/>
  <c r="Z1678" i="27"/>
  <c r="Z1737" i="27"/>
  <c r="Z1200" i="27"/>
  <c r="Z1104" i="27"/>
  <c r="Z1318" i="27"/>
  <c r="Z1157" i="27"/>
  <c r="Z1428" i="27"/>
  <c r="Z1117" i="27"/>
  <c r="Z1572" i="27"/>
  <c r="Z1111" i="27"/>
  <c r="Z1223" i="27"/>
  <c r="Z1790" i="27"/>
  <c r="Z1438" i="27"/>
  <c r="Z1490" i="27"/>
  <c r="Z1662" i="27"/>
  <c r="Z1434" i="27"/>
  <c r="Z1262" i="27"/>
  <c r="Z1259" i="27"/>
  <c r="Z1170" i="27"/>
  <c r="Z920" i="27"/>
  <c r="Z1369" i="27"/>
  <c r="Z1101" i="27"/>
  <c r="Z1777" i="27"/>
  <c r="Z1764" i="27"/>
  <c r="Z1596" i="27"/>
  <c r="Z1147" i="27"/>
  <c r="Z1602" i="27"/>
  <c r="Z1344" i="27"/>
  <c r="Z949" i="27"/>
  <c r="Z1684" i="27"/>
  <c r="Z1444" i="27"/>
  <c r="Z1038" i="27"/>
  <c r="Z1503" i="27"/>
  <c r="Z1724" i="27"/>
  <c r="Z1711" i="27"/>
  <c r="Z1141" i="27"/>
  <c r="Z1665" i="27"/>
  <c r="Z1279" i="27"/>
  <c r="Z1398" i="27"/>
  <c r="Z1740" i="27"/>
  <c r="Z973" i="27"/>
  <c r="Z1372" i="27"/>
  <c r="Z1098" i="27"/>
  <c r="Z1543" i="27"/>
  <c r="Z1325" i="27"/>
  <c r="Z1322" i="27"/>
  <c r="Z923" i="27"/>
  <c r="Z939" i="27"/>
  <c r="Z1150" i="27"/>
  <c r="Z933" i="27"/>
  <c r="Z1537" i="27"/>
  <c r="Z1546" i="27"/>
  <c r="Z1457" i="27"/>
  <c r="Z1481" i="27"/>
  <c r="Z979" i="27"/>
  <c r="Z1796" i="27"/>
  <c r="Z1032" i="27"/>
  <c r="Z1197" i="27"/>
  <c r="Z1599" i="27"/>
  <c r="Z1253" i="27"/>
  <c r="Z1272" i="27"/>
  <c r="Z1002" i="27"/>
  <c r="Z1668" i="27"/>
  <c r="Z1431" i="27"/>
  <c r="Z1085" i="27"/>
  <c r="Z1550" i="27"/>
  <c r="Z1770" i="27"/>
  <c r="Z1154" i="27"/>
  <c r="Z1619" i="27"/>
  <c r="Z1229" i="27"/>
  <c r="Z1727" i="27"/>
  <c r="Z1008" i="27"/>
  <c r="Z1288" i="27"/>
  <c r="Z1176" i="27"/>
  <c r="Z1382" i="27"/>
  <c r="Z1559" i="27"/>
  <c r="Z1315" i="27"/>
  <c r="Z1612" i="27"/>
  <c r="Z1378" i="27"/>
  <c r="Z1114" i="27"/>
  <c r="Z1787" i="27"/>
  <c r="Z1447" i="27"/>
  <c r="Z1042" i="27"/>
  <c r="Z1500" i="27"/>
  <c r="Z936" i="27"/>
  <c r="Z1395" i="27"/>
  <c r="Z1256" i="27"/>
  <c r="Z1275" i="27"/>
  <c r="Z1180" i="27"/>
  <c r="Z1375" i="27"/>
  <c r="Z1107" i="27"/>
  <c r="Z1761" i="27"/>
  <c r="Z1144" i="27"/>
  <c r="Z1338" i="27"/>
  <c r="Z1216" i="27"/>
  <c r="Z1721" i="27"/>
  <c r="Z1285" i="27"/>
  <c r="Z1622" i="27"/>
  <c r="Z1553" i="27"/>
  <c r="Z1331" i="27"/>
  <c r="Z1606" i="27"/>
  <c r="Z1167" i="27"/>
  <c r="Z1566" i="27"/>
  <c r="Z1226" i="27"/>
  <c r="Z1793" i="27"/>
  <c r="Z1045" i="27"/>
  <c r="Z1206" i="27"/>
  <c r="Z1655" i="27"/>
  <c r="Z1487" i="27"/>
  <c r="Z1269" i="27"/>
  <c r="Z1266" i="27"/>
  <c r="Z1219" i="27"/>
  <c r="Z1628" i="27"/>
  <c r="Z1385" i="27"/>
  <c r="Z1091" i="27"/>
  <c r="Z1783" i="27"/>
  <c r="Z1767" i="27"/>
  <c r="Z1160" i="27"/>
  <c r="Z976" i="27"/>
  <c r="Z1593" i="27"/>
  <c r="Z1335" i="27"/>
  <c r="Z986" i="27"/>
  <c r="Z1675" i="27"/>
  <c r="Z1388" i="27"/>
  <c r="Z1497" i="27"/>
  <c r="Z1705" i="27"/>
  <c r="Z1714" i="27"/>
  <c r="Z1210" i="27"/>
  <c r="Z999" i="27"/>
  <c r="Z1658" i="27"/>
  <c r="Z1282" i="27"/>
  <c r="Z1404" i="27"/>
  <c r="Z1731" i="27"/>
  <c r="Z1183" i="27"/>
  <c r="Z952" i="27"/>
  <c r="Z1391" i="27"/>
  <c r="Z1035" i="27"/>
  <c r="Z1328" i="27"/>
  <c r="Z1309" i="27"/>
  <c r="Z1441" i="27"/>
  <c r="Z1094" i="27"/>
  <c r="Z1189" i="27"/>
  <c r="Z1540" i="27"/>
  <c r="Z1494" i="27"/>
  <c r="Z1088" i="27"/>
  <c r="Z1563" i="27"/>
  <c r="Z1454" i="27"/>
  <c r="Z1451" i="27"/>
  <c r="Z1061" i="27"/>
  <c r="Z917" i="27"/>
  <c r="W1813" i="27"/>
  <c r="P67" i="15"/>
  <c r="N127" i="15"/>
  <c r="Q127" i="15"/>
  <c r="Q64" i="15"/>
  <c r="P70" i="15"/>
  <c r="Z1813" i="27" l="1"/>
  <c r="B4" i="16" s="1"/>
  <c r="P127" i="15"/>
  <c r="D4" i="35" l="1"/>
  <c r="L4" i="35" s="1"/>
  <c r="B36" i="5"/>
  <c r="K420" i="27" l="1"/>
  <c r="K308" i="27"/>
  <c r="U446" i="27" l="1"/>
  <c r="U410" i="27"/>
  <c r="U417" i="27"/>
  <c r="U426" i="27"/>
  <c r="U404" i="27"/>
  <c r="U439" i="27"/>
  <c r="U423" i="27"/>
  <c r="U420" i="27"/>
  <c r="U433" i="27"/>
  <c r="U430" i="27"/>
  <c r="U443" i="27"/>
  <c r="U436" i="27"/>
  <c r="U407" i="27"/>
  <c r="U413" i="27"/>
  <c r="U327" i="27"/>
  <c r="U340" i="27"/>
  <c r="U321" i="27"/>
  <c r="U334" i="27"/>
  <c r="U292" i="27"/>
  <c r="U305" i="27"/>
  <c r="U331" i="27"/>
  <c r="U318" i="27"/>
  <c r="U295" i="27"/>
  <c r="U324" i="27"/>
  <c r="U314" i="27"/>
  <c r="U311" i="27"/>
  <c r="U301" i="27"/>
  <c r="U298" i="27"/>
  <c r="U337" i="27"/>
  <c r="U308" i="27"/>
  <c r="U452" i="27"/>
  <c r="U449" i="27"/>
  <c r="Q21" i="27"/>
  <c r="U20" i="27" s="1"/>
  <c r="AA337" i="27" l="1"/>
  <c r="AA439" i="27"/>
  <c r="AA410" i="27"/>
  <c r="AA308" i="27"/>
  <c r="AA318" i="27"/>
  <c r="AA407" i="27"/>
  <c r="AA305" i="27"/>
  <c r="AA443" i="27"/>
  <c r="AA301" i="27"/>
  <c r="AA292" i="27"/>
  <c r="AA331" i="27"/>
  <c r="AA426" i="27"/>
  <c r="AA311" i="27"/>
  <c r="AA334" i="27"/>
  <c r="AA446" i="27"/>
  <c r="AA298" i="27"/>
  <c r="AA417" i="27"/>
  <c r="AA413" i="27"/>
  <c r="AA314" i="27"/>
  <c r="AA321" i="27"/>
  <c r="AA430" i="27"/>
  <c r="AA423" i="27"/>
  <c r="AA449" i="27"/>
  <c r="AA452" i="27"/>
  <c r="AA433" i="27"/>
  <c r="AA324" i="27"/>
  <c r="AA340" i="27"/>
  <c r="AA436" i="27"/>
  <c r="AA20" i="27"/>
  <c r="U908" i="27"/>
  <c r="AA420" i="27"/>
  <c r="AA404" i="27"/>
  <c r="AA295" i="27"/>
  <c r="AA327" i="27"/>
  <c r="AA908" i="27" l="1"/>
  <c r="E3" i="16" s="1"/>
  <c r="E6" i="16" s="1"/>
  <c r="E10" i="32"/>
  <c r="A29" i="15"/>
  <c r="N25" i="15" s="1"/>
  <c r="P25" i="15" s="1"/>
  <c r="A556" i="27"/>
  <c r="W806" i="27" s="1"/>
  <c r="Z806" i="27" s="1"/>
  <c r="A104" i="27"/>
  <c r="W150" i="27" s="1"/>
  <c r="Z150" i="27" s="1"/>
  <c r="C17" i="16" l="1"/>
  <c r="E4" i="35"/>
  <c r="N10" i="15"/>
  <c r="P10" i="15" s="1"/>
  <c r="W598" i="27"/>
  <c r="N13" i="15"/>
  <c r="P13" i="15" s="1"/>
  <c r="W533" i="27"/>
  <c r="W852" i="27"/>
  <c r="Z852" i="27" s="1"/>
  <c r="W245" i="27"/>
  <c r="Z245" i="27" s="1"/>
  <c r="W295" i="27"/>
  <c r="Z295" i="27" s="1"/>
  <c r="W674" i="27"/>
  <c r="Z674" i="27" s="1"/>
  <c r="W875" i="27"/>
  <c r="Z875" i="27" s="1"/>
  <c r="W710" i="27"/>
  <c r="Z710" i="27" s="1"/>
  <c r="W753" i="27"/>
  <c r="Z753" i="27" s="1"/>
  <c r="W878" i="27"/>
  <c r="Z878" i="27" s="1"/>
  <c r="W645" i="27"/>
  <c r="Z645" i="27" s="1"/>
  <c r="W667" i="27"/>
  <c r="Z667" i="27" s="1"/>
  <c r="W872" i="27"/>
  <c r="Z872" i="27" s="1"/>
  <c r="W552" i="27"/>
  <c r="W661" i="27"/>
  <c r="Z661" i="27" s="1"/>
  <c r="W615" i="27"/>
  <c r="Z615" i="27" s="1"/>
  <c r="W736" i="27"/>
  <c r="Z736" i="27" s="1"/>
  <c r="W723" i="27"/>
  <c r="Z723" i="27" s="1"/>
  <c r="W496" i="27"/>
  <c r="Z496" i="27" s="1"/>
  <c r="W888" i="27"/>
  <c r="Z888" i="27" s="1"/>
  <c r="W559" i="27"/>
  <c r="W658" i="27"/>
  <c r="Z658" i="27" s="1"/>
  <c r="W638" i="27"/>
  <c r="Z638" i="27" s="1"/>
  <c r="W904" i="27"/>
  <c r="Z904" i="27" s="1"/>
  <c r="W856" i="27"/>
  <c r="Z856" i="27" s="1"/>
  <c r="W717" i="27"/>
  <c r="Z717" i="27" s="1"/>
  <c r="W506" i="27"/>
  <c r="Z506" i="27" s="1"/>
  <c r="W589" i="27"/>
  <c r="W803" i="27"/>
  <c r="Z803" i="27" s="1"/>
  <c r="W835" i="27"/>
  <c r="Z835" i="27" s="1"/>
  <c r="W750" i="27"/>
  <c r="Z750" i="27" s="1"/>
  <c r="W730" i="27"/>
  <c r="Z730" i="27" s="1"/>
  <c r="W618" i="27"/>
  <c r="Z618" i="27" s="1"/>
  <c r="W760" i="27"/>
  <c r="Z760" i="27" s="1"/>
  <c r="W605" i="27"/>
  <c r="Z605" i="27" s="1"/>
  <c r="W701" i="27"/>
  <c r="Z701" i="27" s="1"/>
  <c r="W470" i="27"/>
  <c r="Z470" i="27" s="1"/>
  <c r="BF556" i="27"/>
  <c r="CE556" i="27" s="1"/>
  <c r="W704" i="27"/>
  <c r="Z704" i="27" s="1"/>
  <c r="W460" i="27"/>
  <c r="Z460" i="27" s="1"/>
  <c r="W562" i="27"/>
  <c r="W829" i="27"/>
  <c r="Z829" i="27" s="1"/>
  <c r="W733" i="27"/>
  <c r="Z733" i="27" s="1"/>
  <c r="W740" i="27"/>
  <c r="Z740" i="27" s="1"/>
  <c r="W648" i="27"/>
  <c r="Z648" i="27" s="1"/>
  <c r="W891" i="27"/>
  <c r="Z891" i="27" s="1"/>
  <c r="W882" i="27"/>
  <c r="Z882" i="27" s="1"/>
  <c r="W654" i="27"/>
  <c r="Z654" i="27" s="1"/>
  <c r="W869" i="27"/>
  <c r="Z869" i="27" s="1"/>
  <c r="W536" i="27"/>
  <c r="W809" i="27"/>
  <c r="Z809" i="27" s="1"/>
  <c r="W766" i="27"/>
  <c r="Z766" i="27" s="1"/>
  <c r="W582" i="27"/>
  <c r="W845" i="27"/>
  <c r="Z845" i="27" s="1"/>
  <c r="W848" i="27"/>
  <c r="Z848" i="27" s="1"/>
  <c r="W773" i="27"/>
  <c r="Z773" i="27" s="1"/>
  <c r="W898" i="27"/>
  <c r="Z898" i="27" s="1"/>
  <c r="W691" i="27"/>
  <c r="Z691" i="27" s="1"/>
  <c r="W826" i="27"/>
  <c r="Z826" i="27" s="1"/>
  <c r="W480" i="27"/>
  <c r="Z480" i="27" s="1"/>
  <c r="W684" i="27"/>
  <c r="Z684" i="27" s="1"/>
  <c r="W744" i="27"/>
  <c r="Z744" i="27" s="1"/>
  <c r="W859" i="27"/>
  <c r="Z859" i="27" s="1"/>
  <c r="W632" i="27"/>
  <c r="Z632" i="27" s="1"/>
  <c r="W707" i="27"/>
  <c r="Z707" i="27" s="1"/>
  <c r="W499" i="27"/>
  <c r="Z499" i="27" s="1"/>
  <c r="W694" i="27"/>
  <c r="Z694" i="27" s="1"/>
  <c r="W664" i="27"/>
  <c r="Z664" i="27" s="1"/>
  <c r="W529" i="27"/>
  <c r="Z529" i="27" s="1"/>
  <c r="W635" i="27"/>
  <c r="Z635" i="27" s="1"/>
  <c r="W509" i="27"/>
  <c r="Z509" i="27" s="1"/>
  <c r="W568" i="27"/>
  <c r="W832" i="27"/>
  <c r="Z832" i="27" s="1"/>
  <c r="W895" i="27"/>
  <c r="Z895" i="27" s="1"/>
  <c r="W779" i="27"/>
  <c r="Z779" i="27" s="1"/>
  <c r="W770" i="27"/>
  <c r="Z770" i="27" s="1"/>
  <c r="W585" i="27"/>
  <c r="W516" i="27"/>
  <c r="Z516" i="27" s="1"/>
  <c r="W789" i="27"/>
  <c r="Z789" i="27" s="1"/>
  <c r="W520" i="27"/>
  <c r="Z520" i="27" s="1"/>
  <c r="W641" i="27"/>
  <c r="Z641" i="27" s="1"/>
  <c r="W483" i="27"/>
  <c r="Z483" i="27" s="1"/>
  <c r="W565" i="27"/>
  <c r="W464" i="27"/>
  <c r="Z464" i="27" s="1"/>
  <c r="W671" i="27"/>
  <c r="Z671" i="27" s="1"/>
  <c r="W456" i="27"/>
  <c r="Z456" i="27" s="1"/>
  <c r="W467" i="27"/>
  <c r="Z467" i="27" s="1"/>
  <c r="W546" i="27"/>
  <c r="W608" i="27"/>
  <c r="Z608" i="27" s="1"/>
  <c r="W816" i="27"/>
  <c r="Z816" i="27" s="1"/>
  <c r="W493" i="27"/>
  <c r="Z493" i="27" s="1"/>
  <c r="W621" i="27"/>
  <c r="Z621" i="27" s="1"/>
  <c r="W549" i="27"/>
  <c r="W727" i="27"/>
  <c r="Z727" i="27" s="1"/>
  <c r="W579" i="27"/>
  <c r="W885" i="27"/>
  <c r="Z885" i="27" s="1"/>
  <c r="W757" i="27"/>
  <c r="Z757" i="27" s="1"/>
  <c r="W800" i="27"/>
  <c r="Z800" i="27" s="1"/>
  <c r="W611" i="27"/>
  <c r="Z611" i="27" s="1"/>
  <c r="W714" i="27"/>
  <c r="Z714" i="27" s="1"/>
  <c r="W486" i="27"/>
  <c r="Z486" i="27" s="1"/>
  <c r="W813" i="27"/>
  <c r="Z813" i="27" s="1"/>
  <c r="W901" i="27"/>
  <c r="Z901" i="27" s="1"/>
  <c r="W512" i="27"/>
  <c r="Z512" i="27" s="1"/>
  <c r="W776" i="27"/>
  <c r="Z776" i="27" s="1"/>
  <c r="W792" i="27"/>
  <c r="Z792" i="27" s="1"/>
  <c r="W526" i="27"/>
  <c r="Z526" i="27" s="1"/>
  <c r="W555" i="27"/>
  <c r="W602" i="27"/>
  <c r="Z602" i="27" s="1"/>
  <c r="W697" i="27"/>
  <c r="Z697" i="27" s="1"/>
  <c r="W542" i="27"/>
  <c r="W680" i="27"/>
  <c r="Z680" i="27" s="1"/>
  <c r="W763" i="27"/>
  <c r="Z763" i="27" s="1"/>
  <c r="W720" i="27"/>
  <c r="Z720" i="27" s="1"/>
  <c r="W865" i="27"/>
  <c r="Z865" i="27" s="1"/>
  <c r="W819" i="27"/>
  <c r="Z819" i="27" s="1"/>
  <c r="W783" i="27"/>
  <c r="Z783" i="27" s="1"/>
  <c r="W473" i="27"/>
  <c r="Z473" i="27" s="1"/>
  <c r="W503" i="27"/>
  <c r="Z503" i="27" s="1"/>
  <c r="W592" i="27"/>
  <c r="W862" i="27"/>
  <c r="Z862" i="27" s="1"/>
  <c r="W677" i="27"/>
  <c r="Z677" i="27" s="1"/>
  <c r="W490" i="27"/>
  <c r="Z490" i="27" s="1"/>
  <c r="W688" i="27"/>
  <c r="Z688" i="27" s="1"/>
  <c r="W572" i="27"/>
  <c r="W839" i="27"/>
  <c r="Z839" i="27" s="1"/>
  <c r="W539" i="27"/>
  <c r="W796" i="27"/>
  <c r="Z796" i="27" s="1"/>
  <c r="W822" i="27"/>
  <c r="Z822" i="27" s="1"/>
  <c r="W595" i="27"/>
  <c r="W624" i="27"/>
  <c r="Z624" i="27" s="1"/>
  <c r="W628" i="27"/>
  <c r="Z628" i="27" s="1"/>
  <c r="W523" i="27"/>
  <c r="Z523" i="27" s="1"/>
  <c r="W340" i="27"/>
  <c r="Z340" i="27" s="1"/>
  <c r="N49" i="15"/>
  <c r="P49" i="15" s="1"/>
  <c r="W477" i="27"/>
  <c r="Z477" i="27" s="1"/>
  <c r="W576" i="27"/>
  <c r="N28" i="15"/>
  <c r="P28" i="15" s="1"/>
  <c r="N46" i="15"/>
  <c r="P46" i="15" s="1"/>
  <c r="N22" i="15"/>
  <c r="P22" i="15" s="1"/>
  <c r="N31" i="15"/>
  <c r="P31" i="15" s="1"/>
  <c r="N7" i="15"/>
  <c r="P7" i="15" s="1"/>
  <c r="N19" i="15"/>
  <c r="P19" i="15" s="1"/>
  <c r="N55" i="15"/>
  <c r="P55" i="15" s="1"/>
  <c r="N43" i="15"/>
  <c r="P43" i="15" s="1"/>
  <c r="N16" i="15"/>
  <c r="P16" i="15" s="1"/>
  <c r="N52" i="15"/>
  <c r="P52" i="15" s="1"/>
  <c r="N40" i="15"/>
  <c r="P40" i="15" s="1"/>
  <c r="N4" i="15"/>
  <c r="N37" i="15"/>
  <c r="P37" i="15" s="1"/>
  <c r="N34" i="15"/>
  <c r="P34" i="15" s="1"/>
  <c r="N61" i="15"/>
  <c r="P61" i="15" s="1"/>
  <c r="N58" i="15"/>
  <c r="P58" i="15" s="1"/>
  <c r="W305" i="27"/>
  <c r="Z305" i="27" s="1"/>
  <c r="W80" i="27"/>
  <c r="Z80" i="27" s="1"/>
  <c r="W278" i="27"/>
  <c r="Z278" i="27" s="1"/>
  <c r="W14" i="27"/>
  <c r="Z14" i="27" s="1"/>
  <c r="W107" i="27"/>
  <c r="Z107" i="27" s="1"/>
  <c r="W423" i="27"/>
  <c r="Z423" i="27" s="1"/>
  <c r="W301" i="27"/>
  <c r="Z301" i="27" s="1"/>
  <c r="W7" i="27"/>
  <c r="Z7" i="27" s="1"/>
  <c r="W103" i="27"/>
  <c r="Z103" i="27" s="1"/>
  <c r="W380" i="27"/>
  <c r="Z380" i="27" s="1"/>
  <c r="W153" i="27"/>
  <c r="Z153" i="27" s="1"/>
  <c r="W146" i="27"/>
  <c r="Z146" i="27" s="1"/>
  <c r="W410" i="27"/>
  <c r="Z410" i="27" s="1"/>
  <c r="W439" i="27"/>
  <c r="Z439" i="27" s="1"/>
  <c r="W133" i="27"/>
  <c r="Z133" i="27" s="1"/>
  <c r="W436" i="27"/>
  <c r="Z436" i="27" s="1"/>
  <c r="W393" i="27"/>
  <c r="Z393" i="27" s="1"/>
  <c r="W308" i="27"/>
  <c r="Z308" i="27" s="1"/>
  <c r="W430" i="27"/>
  <c r="Z430" i="27" s="1"/>
  <c r="W324" i="27"/>
  <c r="Z324" i="27" s="1"/>
  <c r="W292" i="27"/>
  <c r="Z292" i="27" s="1"/>
  <c r="W17" i="27"/>
  <c r="Z17" i="27" s="1"/>
  <c r="W124" i="27"/>
  <c r="Z124" i="27" s="1"/>
  <c r="W334" i="27"/>
  <c r="Z334" i="27" s="1"/>
  <c r="W417" i="27"/>
  <c r="Z417" i="27" s="1"/>
  <c r="W46" i="27"/>
  <c r="Z46" i="27" s="1"/>
  <c r="W314" i="27"/>
  <c r="Z314" i="27" s="1"/>
  <c r="W100" i="27"/>
  <c r="Z100" i="27" s="1"/>
  <c r="W193" i="27"/>
  <c r="Z193" i="27" s="1"/>
  <c r="W420" i="27"/>
  <c r="Z420" i="27" s="1"/>
  <c r="W318" i="27"/>
  <c r="Z318" i="27" s="1"/>
  <c r="W50" i="27"/>
  <c r="Z50" i="27" s="1"/>
  <c r="W156" i="27"/>
  <c r="Z156" i="27" s="1"/>
  <c r="W228" i="27"/>
  <c r="Z228" i="27" s="1"/>
  <c r="W163" i="27"/>
  <c r="Z163" i="27" s="1"/>
  <c r="W43" i="27"/>
  <c r="Z43" i="27" s="1"/>
  <c r="W258" i="27"/>
  <c r="Z258" i="27" s="1"/>
  <c r="W196" i="27"/>
  <c r="Z196" i="27" s="1"/>
  <c r="W351" i="27"/>
  <c r="Z351" i="27" s="1"/>
  <c r="W361" i="27"/>
  <c r="Z361" i="27" s="1"/>
  <c r="W120" i="27"/>
  <c r="Z120" i="27" s="1"/>
  <c r="W344" i="27"/>
  <c r="Z344" i="27" s="1"/>
  <c r="W97" i="27"/>
  <c r="Z97" i="27" s="1"/>
  <c r="W76" i="27"/>
  <c r="Z76" i="27" s="1"/>
  <c r="W176" i="27"/>
  <c r="Z176" i="27" s="1"/>
  <c r="W212" i="27"/>
  <c r="Z212" i="27" s="1"/>
  <c r="W271" i="27"/>
  <c r="Z271" i="27" s="1"/>
  <c r="W53" i="27"/>
  <c r="Z53" i="27" s="1"/>
  <c r="W27" i="27"/>
  <c r="Z27" i="27" s="1"/>
  <c r="W255" i="27"/>
  <c r="Z255" i="27" s="1"/>
  <c r="W357" i="27"/>
  <c r="Z357" i="27" s="1"/>
  <c r="W281" i="27"/>
  <c r="Z281" i="27" s="1"/>
  <c r="W225" i="27"/>
  <c r="Z225" i="27" s="1"/>
  <c r="W206" i="27"/>
  <c r="Z206" i="27" s="1"/>
  <c r="W413" i="27"/>
  <c r="Z413" i="27" s="1"/>
  <c r="W426" i="27"/>
  <c r="Z426" i="27" s="1"/>
  <c r="W262" i="27"/>
  <c r="Z262" i="27" s="1"/>
  <c r="W396" i="27"/>
  <c r="Z396" i="27" s="1"/>
  <c r="W265" i="27"/>
  <c r="Z265" i="27" s="1"/>
  <c r="W169" i="27"/>
  <c r="Z169" i="27" s="1"/>
  <c r="W321" i="27"/>
  <c r="Z321" i="27" s="1"/>
  <c r="W20" i="27"/>
  <c r="Z20" i="27" s="1"/>
  <c r="W364" i="27"/>
  <c r="Z364" i="27" s="1"/>
  <c r="W219" i="27"/>
  <c r="Z219" i="27" s="1"/>
  <c r="W443" i="27"/>
  <c r="Z443" i="27" s="1"/>
  <c r="W370" i="27"/>
  <c r="Z370" i="27" s="1"/>
  <c r="W140" i="27"/>
  <c r="Z140" i="27" s="1"/>
  <c r="W268" i="27"/>
  <c r="Z268" i="27" s="1"/>
  <c r="W215" i="27"/>
  <c r="Z215" i="27" s="1"/>
  <c r="W252" i="27"/>
  <c r="Z252" i="27" s="1"/>
  <c r="W83" i="27"/>
  <c r="Z83" i="27" s="1"/>
  <c r="W63" i="27"/>
  <c r="Z63" i="27" s="1"/>
  <c r="W239" i="27"/>
  <c r="Z239" i="27" s="1"/>
  <c r="W249" i="27"/>
  <c r="Z249" i="27" s="1"/>
  <c r="W40" i="27"/>
  <c r="Z40" i="27" s="1"/>
  <c r="W407" i="27"/>
  <c r="Z407" i="27" s="1"/>
  <c r="W172" i="27"/>
  <c r="Z172" i="27" s="1"/>
  <c r="W116" i="27"/>
  <c r="Z116" i="27" s="1"/>
  <c r="W166" i="27"/>
  <c r="Z166" i="27" s="1"/>
  <c r="W377" i="27"/>
  <c r="Z377" i="27" s="1"/>
  <c r="W298" i="27"/>
  <c r="Z298" i="27" s="1"/>
  <c r="W70" i="27"/>
  <c r="Z70" i="27" s="1"/>
  <c r="W367" i="27"/>
  <c r="Z367" i="27" s="1"/>
  <c r="W137" i="27"/>
  <c r="Z137" i="27" s="1"/>
  <c r="W159" i="27"/>
  <c r="Z159" i="27" s="1"/>
  <c r="W94" i="27"/>
  <c r="Z94" i="27" s="1"/>
  <c r="W113" i="27"/>
  <c r="Z113" i="27" s="1"/>
  <c r="W242" i="27"/>
  <c r="Z242" i="27" s="1"/>
  <c r="W86" i="27"/>
  <c r="Z86" i="27" s="1"/>
  <c r="W404" i="27"/>
  <c r="Z404" i="27" s="1"/>
  <c r="W449" i="27"/>
  <c r="Z449" i="27" s="1"/>
  <c r="W331" i="27"/>
  <c r="Z331" i="27" s="1"/>
  <c r="W383" i="27"/>
  <c r="Z383" i="27" s="1"/>
  <c r="W202" i="27"/>
  <c r="Z202" i="27" s="1"/>
  <c r="W327" i="27"/>
  <c r="Z327" i="27" s="1"/>
  <c r="W59" i="27"/>
  <c r="Z59" i="27" s="1"/>
  <c r="W236" i="27"/>
  <c r="Z236" i="27" s="1"/>
  <c r="W354" i="27"/>
  <c r="Z354" i="27" s="1"/>
  <c r="W232" i="27"/>
  <c r="Z232" i="27" s="1"/>
  <c r="W222" i="27"/>
  <c r="Z222" i="27" s="1"/>
  <c r="W127" i="27"/>
  <c r="Z127" i="27" s="1"/>
  <c r="W288" i="27"/>
  <c r="Z288" i="27" s="1"/>
  <c r="W209" i="27"/>
  <c r="Z209" i="27" s="1"/>
  <c r="W37" i="27"/>
  <c r="Z37" i="27" s="1"/>
  <c r="W374" i="27"/>
  <c r="Z374" i="27" s="1"/>
  <c r="W275" i="27"/>
  <c r="Z275" i="27" s="1"/>
  <c r="W446" i="27"/>
  <c r="Z446" i="27" s="1"/>
  <c r="W110" i="27"/>
  <c r="Z110" i="27" s="1"/>
  <c r="W33" i="27"/>
  <c r="Z33" i="27" s="1"/>
  <c r="W89" i="27"/>
  <c r="Z89" i="27" s="1"/>
  <c r="W400" i="27"/>
  <c r="Z400" i="27" s="1"/>
  <c r="W67" i="27"/>
  <c r="Z67" i="27" s="1"/>
  <c r="W3" i="27"/>
  <c r="W199" i="27"/>
  <c r="Z199" i="27" s="1"/>
  <c r="W183" i="27"/>
  <c r="Z183" i="27" s="1"/>
  <c r="W130" i="27"/>
  <c r="Z130" i="27" s="1"/>
  <c r="W11" i="27"/>
  <c r="Z11" i="27" s="1"/>
  <c r="W24" i="27"/>
  <c r="Z24" i="27" s="1"/>
  <c r="W186" i="27"/>
  <c r="Z186" i="27" s="1"/>
  <c r="W189" i="27"/>
  <c r="Z189" i="27" s="1"/>
  <c r="W390" i="27"/>
  <c r="Z390" i="27" s="1"/>
  <c r="W30" i="27"/>
  <c r="Z30" i="27" s="1"/>
  <c r="W433" i="27"/>
  <c r="Z433" i="27" s="1"/>
  <c r="W73" i="27"/>
  <c r="Z73" i="27" s="1"/>
  <c r="W143" i="27"/>
  <c r="Z143" i="27" s="1"/>
  <c r="W284" i="27"/>
  <c r="Z284" i="27" s="1"/>
  <c r="W452" i="27"/>
  <c r="Z452" i="27" s="1"/>
  <c r="W387" i="27"/>
  <c r="Z387" i="27" s="1"/>
  <c r="W348" i="27"/>
  <c r="Z348" i="27" s="1"/>
  <c r="W311" i="27"/>
  <c r="Z311" i="27" s="1"/>
  <c r="W651" i="27"/>
  <c r="Z651" i="27" s="1"/>
  <c r="W747" i="27"/>
  <c r="Z747" i="27" s="1"/>
  <c r="W337" i="27"/>
  <c r="Z337" i="27" s="1"/>
  <c r="W180" i="27"/>
  <c r="Z180" i="27" s="1"/>
  <c r="W56" i="27"/>
  <c r="Z56" i="27" s="1"/>
  <c r="W786" i="27"/>
  <c r="Z786" i="27" s="1"/>
  <c r="W842" i="27"/>
  <c r="Z842" i="27" s="1"/>
  <c r="H4" i="35" l="1"/>
  <c r="G4" i="35"/>
  <c r="Z539" i="27"/>
  <c r="CG539" i="27" s="1"/>
  <c r="CB539" i="27"/>
  <c r="Z542" i="27"/>
  <c r="CG542" i="27" s="1"/>
  <c r="CB542" i="27"/>
  <c r="Z579" i="27"/>
  <c r="CG579" i="27" s="1"/>
  <c r="CB579" i="27"/>
  <c r="Z552" i="27"/>
  <c r="CG552" i="27" s="1"/>
  <c r="CB552" i="27"/>
  <c r="N64" i="15"/>
  <c r="P4" i="15"/>
  <c r="P64" i="15" s="1"/>
  <c r="Z572" i="27"/>
  <c r="CG572" i="27" s="1"/>
  <c r="CB572" i="27"/>
  <c r="CB549" i="27"/>
  <c r="Z549" i="27"/>
  <c r="CG549" i="27" s="1"/>
  <c r="Z585" i="27"/>
  <c r="CG585" i="27" s="1"/>
  <c r="CB585" i="27"/>
  <c r="Z582" i="27"/>
  <c r="CG582" i="27" s="1"/>
  <c r="CB582" i="27"/>
  <c r="CB559" i="27"/>
  <c r="Z559" i="27"/>
  <c r="CG559" i="27" s="1"/>
  <c r="Z555" i="27"/>
  <c r="CG555" i="27" s="1"/>
  <c r="CB555" i="27"/>
  <c r="CB589" i="27"/>
  <c r="Z589" i="27"/>
  <c r="CG589" i="27" s="1"/>
  <c r="Z565" i="27"/>
  <c r="CG565" i="27" s="1"/>
  <c r="CB565" i="27"/>
  <c r="W908" i="27"/>
  <c r="Z3" i="27"/>
  <c r="CB595" i="27"/>
  <c r="Z595" i="27"/>
  <c r="CG595" i="27" s="1"/>
  <c r="Z536" i="27"/>
  <c r="CG536" i="27" s="1"/>
  <c r="CB536" i="27"/>
  <c r="CB533" i="27"/>
  <c r="Z533" i="27"/>
  <c r="CG533" i="27" s="1"/>
  <c r="G10" i="31"/>
  <c r="E160" i="31"/>
  <c r="CB576" i="27"/>
  <c r="Z576" i="27"/>
  <c r="CG576" i="27" s="1"/>
  <c r="Z562" i="27"/>
  <c r="CG562" i="27" s="1"/>
  <c r="CB562" i="27"/>
  <c r="B56" i="31"/>
  <c r="C160" i="31"/>
  <c r="CB592" i="27"/>
  <c r="Z592" i="27"/>
  <c r="CG592" i="27" s="1"/>
  <c r="CB546" i="27"/>
  <c r="Z546" i="27"/>
  <c r="CG546" i="27" s="1"/>
  <c r="CB568" i="27"/>
  <c r="Z568" i="27"/>
  <c r="CG568" i="27" s="1"/>
  <c r="CB598" i="27"/>
  <c r="Z598" i="27"/>
  <c r="CG598" i="27" s="1"/>
  <c r="Z908" i="27" l="1"/>
  <c r="B3" i="16" s="1"/>
  <c r="B6" i="16" s="1"/>
  <c r="C204" i="31"/>
  <c r="B57" i="31"/>
  <c r="B58" i="31" s="1"/>
  <c r="B59" i="31" s="1"/>
  <c r="B60" i="31" s="1"/>
  <c r="B61" i="31" s="1"/>
  <c r="B62" i="31" s="1"/>
  <c r="B63" i="31" s="1"/>
  <c r="B64" i="31" s="1"/>
  <c r="B65" i="31" s="1"/>
  <c r="B66" i="31" s="1"/>
  <c r="B67" i="31" s="1"/>
  <c r="B68" i="31" s="1"/>
  <c r="B69" i="31" s="1"/>
  <c r="B70" i="31" s="1"/>
  <c r="D160" i="31" s="1"/>
  <c r="C10" i="16" l="1"/>
  <c r="C5" i="31" s="1"/>
  <c r="BC123" i="31" s="1"/>
  <c r="C9" i="16"/>
  <c r="F4" i="35"/>
  <c r="I4" i="35" s="1"/>
  <c r="N4" i="35" s="1"/>
  <c r="G160" i="31"/>
  <c r="C6" i="34" s="1"/>
  <c r="B71" i="31"/>
  <c r="B72" i="31" s="1"/>
  <c r="B73" i="31" s="1"/>
  <c r="B74" i="31" s="1"/>
  <c r="B75" i="31" s="1"/>
  <c r="B76" i="31" s="1"/>
  <c r="B77" i="31" s="1"/>
  <c r="B78" i="31" s="1"/>
  <c r="B79" i="31" s="1"/>
  <c r="B80" i="31" s="1"/>
  <c r="B81" i="31" s="1"/>
  <c r="B82" i="31" s="1"/>
  <c r="B83" i="31" s="1"/>
  <c r="B84" i="31" s="1"/>
  <c r="B85" i="31" s="1"/>
  <c r="B86" i="31" s="1"/>
  <c r="E204" i="31" s="1"/>
  <c r="C6" i="32"/>
  <c r="D204" i="31"/>
  <c r="K4" i="35" l="1"/>
  <c r="M4" i="35" s="1"/>
  <c r="O4" i="35"/>
  <c r="C6" i="31"/>
  <c r="O123" i="31"/>
  <c r="B17" i="16"/>
  <c r="E10" i="16"/>
  <c r="C123" i="31"/>
  <c r="AI123" i="31"/>
  <c r="K89" i="31"/>
  <c r="AE123" i="31"/>
  <c r="S123" i="31"/>
  <c r="F5" i="31"/>
  <c r="B16" i="16"/>
  <c r="G89" i="31"/>
  <c r="K123" i="31"/>
  <c r="AA123" i="31"/>
  <c r="AQ123" i="31"/>
  <c r="C89" i="31"/>
  <c r="G123" i="31"/>
  <c r="W123" i="31"/>
  <c r="AM123" i="31"/>
  <c r="C3" i="32"/>
  <c r="AY55" i="31"/>
  <c r="AQ55" i="31"/>
  <c r="AY89" i="31"/>
  <c r="AQ89" i="31"/>
  <c r="AU89" i="31"/>
  <c r="AM89" i="31"/>
  <c r="AU55" i="31"/>
  <c r="AM55" i="31"/>
  <c r="AY123" i="31"/>
  <c r="BG123" i="31"/>
  <c r="AU123" i="31"/>
  <c r="F204" i="31"/>
  <c r="H160" i="31"/>
  <c r="D6" i="34" s="1"/>
  <c r="F160" i="31"/>
  <c r="C55" i="31"/>
  <c r="AA55" i="31"/>
  <c r="AI55" i="31"/>
  <c r="W89" i="31"/>
  <c r="G55" i="31"/>
  <c r="S55" i="31"/>
  <c r="O89" i="31"/>
  <c r="AI89" i="31"/>
  <c r="AE89" i="31"/>
  <c r="K55" i="31"/>
  <c r="W55" i="31"/>
  <c r="AA89" i="31"/>
  <c r="O55" i="31"/>
  <c r="AE55" i="31"/>
  <c r="S89" i="31"/>
  <c r="BH123" i="31" l="1"/>
  <c r="AV123" i="31"/>
  <c r="AZ123" i="31"/>
  <c r="BD123" i="31"/>
  <c r="AR89" i="31"/>
  <c r="AZ89" i="31"/>
  <c r="AV89" i="31"/>
  <c r="AN55" i="31"/>
  <c r="AV55" i="31"/>
  <c r="AN89" i="31"/>
  <c r="AR55" i="31"/>
  <c r="AZ55" i="31"/>
  <c r="C3" i="34"/>
  <c r="AB55" i="31"/>
  <c r="D6" i="32"/>
  <c r="E6" i="32" s="1"/>
  <c r="E6" i="34"/>
  <c r="AN123" i="31"/>
  <c r="AR123" i="31"/>
  <c r="AF123" i="31"/>
  <c r="AJ123" i="31"/>
  <c r="X123" i="31"/>
  <c r="AB123" i="31"/>
  <c r="P123" i="31"/>
  <c r="T123" i="31"/>
  <c r="H123" i="31"/>
  <c r="L123" i="31"/>
  <c r="L89" i="31"/>
  <c r="D123" i="31"/>
  <c r="D89" i="31"/>
  <c r="H89" i="31"/>
  <c r="H55" i="31"/>
  <c r="AJ89" i="31"/>
  <c r="AB89" i="31"/>
  <c r="AF89" i="31"/>
  <c r="T89" i="31"/>
  <c r="AJ55" i="31"/>
  <c r="D55" i="31"/>
  <c r="T55" i="31"/>
  <c r="X55" i="31"/>
  <c r="L55" i="31"/>
  <c r="P55" i="31"/>
  <c r="X89" i="31"/>
  <c r="AF55" i="31"/>
  <c r="P89" i="31"/>
</calcChain>
</file>

<file path=xl/sharedStrings.xml><?xml version="1.0" encoding="utf-8"?>
<sst xmlns="http://schemas.openxmlformats.org/spreadsheetml/2006/main" count="2509" uniqueCount="819">
  <si>
    <t>(A)</t>
  </si>
  <si>
    <t>Low Birth Weight</t>
  </si>
  <si>
    <t>Normal Weight</t>
  </si>
  <si>
    <t>Stillbirth</t>
  </si>
  <si>
    <t>PSG</t>
  </si>
  <si>
    <t>Comparator</t>
  </si>
  <si>
    <t>Very LBW</t>
  </si>
  <si>
    <t>Extremely LBW</t>
  </si>
  <si>
    <t>LBW</t>
  </si>
  <si>
    <t>RDS</t>
  </si>
  <si>
    <t>Preterm</t>
  </si>
  <si>
    <t>Term</t>
  </si>
  <si>
    <t>Mortality</t>
  </si>
  <si>
    <t>Search criteria</t>
  </si>
  <si>
    <t>Decision tree</t>
  </si>
  <si>
    <t>Decision tree OR decision analytical model OR decision model</t>
  </si>
  <si>
    <t>Preterm OR prematur*</t>
  </si>
  <si>
    <t>Underweight</t>
  </si>
  <si>
    <t>Neonatal mortality OR stillbirth</t>
  </si>
  <si>
    <t>Underweight OR low birth weight OR small for gestation* OR growth restrict*</t>
  </si>
  <si>
    <t>Receive grant</t>
  </si>
  <si>
    <t>No grant received</t>
  </si>
  <si>
    <t>ANC coverage</t>
  </si>
  <si>
    <t>No ANC</t>
  </si>
  <si>
    <t>Go to (B)</t>
  </si>
  <si>
    <t>(B)</t>
  </si>
  <si>
    <t>Study</t>
  </si>
  <si>
    <t>Cost effect* OR cost utility</t>
  </si>
  <si>
    <t>Exclusion</t>
  </si>
  <si>
    <t>No clear model</t>
  </si>
  <si>
    <t>terminal node is the outcome</t>
  </si>
  <si>
    <t>(C)</t>
  </si>
  <si>
    <t>Source</t>
  </si>
  <si>
    <t>Outcomes</t>
  </si>
  <si>
    <t>Go to (C)</t>
  </si>
  <si>
    <t>Go to (D)</t>
  </si>
  <si>
    <t>(D)</t>
  </si>
  <si>
    <t>Survival</t>
  </si>
  <si>
    <t>Mozurkewich EL, Naglie G, Krahn MD, Hayashi RH. Predicting preterm birth: a cost-effectiveness analysis. American journal of obstetrics and gynecology. 2000 Jun 1;182(6):1589-98.</t>
  </si>
  <si>
    <t>Sepsis</t>
  </si>
  <si>
    <t>Nec</t>
  </si>
  <si>
    <t>Rice SJ, Craig D, McCormick F, Renfrew MJ, Williams AF. Economic evaluation of enhanced staff contact for the promotion of breastfeeding for low birth weight infants. International journal of technology assessment in health care. 2010 Apr;26(2):133-40.</t>
  </si>
  <si>
    <t>See lit review</t>
  </si>
  <si>
    <t>Base Parameters</t>
  </si>
  <si>
    <t>Demographics</t>
  </si>
  <si>
    <t>StatsSA mid-year estimates 2021</t>
  </si>
  <si>
    <t xml:space="preserve">Population </t>
  </si>
  <si>
    <t xml:space="preserve">Female population </t>
  </si>
  <si>
    <t>SAHR 2020</t>
  </si>
  <si>
    <t>Total pregnancies</t>
  </si>
  <si>
    <t>Utilities</t>
  </si>
  <si>
    <t>Other parameters</t>
  </si>
  <si>
    <t>DR</t>
  </si>
  <si>
    <t>Children receiving CSG</t>
  </si>
  <si>
    <t>http://childrencount.uct.ac.za/indicator.php?domain=2&amp;indicator=10</t>
  </si>
  <si>
    <t>South African Pharmaco-economic guidelines</t>
  </si>
  <si>
    <t>Life expectancy (&lt;1yr)</t>
  </si>
  <si>
    <t>WHO life tables</t>
  </si>
  <si>
    <t>Costs</t>
  </si>
  <si>
    <t>Pathway/ Outcome #</t>
  </si>
  <si>
    <t>Probability of Outcome</t>
  </si>
  <si>
    <t>Difference (cost)</t>
  </si>
  <si>
    <t>ICER</t>
  </si>
  <si>
    <t># DALYs</t>
  </si>
  <si>
    <t>Average DALYs</t>
  </si>
  <si>
    <t>Total DALYs</t>
  </si>
  <si>
    <t>Average Cost</t>
  </si>
  <si>
    <t>Cost</t>
  </si>
  <si>
    <t>Life expectancy (1-4yr)</t>
  </si>
  <si>
    <t>Total</t>
  </si>
  <si>
    <t>Number of units</t>
  </si>
  <si>
    <t>Follow up</t>
  </si>
  <si>
    <t>ELBW/ VLBW</t>
  </si>
  <si>
    <t>i. At first visit patient should have had cranial ultrasound and ROP screen documented. ( BOOK IF NOT DONE.. Patient can be sent to 266 any Wednesday for screening)</t>
  </si>
  <si>
    <t>ii. Reinforce feeding practices and when to wean to solids.</t>
  </si>
  <si>
    <t>iii. Immunization up to date / check weight gain / HIV status.</t>
  </si>
  <si>
    <t>iv. General wellbeing including Neurodevelopment assessment, Book hearing test.</t>
  </si>
  <si>
    <t>v. Follow up 3 to 6 month interval depending on patient’s status ( assessments by OT/Speech/Dietician)</t>
  </si>
  <si>
    <t>vi. Duration of follow up 18 months earlier discharge if developing normally and no current problems.</t>
  </si>
  <si>
    <t>vii. Referrals to appropriate OUT PATIENT DEPARTMENT for follow up.</t>
  </si>
  <si>
    <t>b. LBW</t>
  </si>
  <si>
    <t>i. Patient’s admitted to ICU with complicated stays- checklist as above. ( 1-7)</t>
  </si>
  <si>
    <t>ii. Uncomplicated admissions check list (above) 2 -5.</t>
  </si>
  <si>
    <t>1. Follow Up 12 months.</t>
  </si>
  <si>
    <t>c. Term</t>
  </si>
  <si>
    <t>i. Uncomplicated admissions: checklist (above) 2-4, if no current problems discharge to local clinic</t>
  </si>
  <si>
    <t>ii. Neonatal Encephalopathy – check list 1 – 5 ( 1* Needs only cranial ultrasound )</t>
  </si>
  <si>
    <t>1. Follow up 18 months.</t>
  </si>
  <si>
    <t>2. Referral to Neurodevelopment Clinic (297) or Neurology if required.</t>
  </si>
  <si>
    <t>ROP Screening (All babies with a birth weight less than 1500 grams or gestational age below 32 weeks must be screened for ROP at 4 to 6 weeks chronological age)</t>
  </si>
  <si>
    <t>Respiratory distress</t>
  </si>
  <si>
    <t>CXR</t>
  </si>
  <si>
    <t>1. Administer oxygen. Oxygen can be administered by nasal cannula or nasal CPAP or high flow nasal canula. Nasal cannula may result in marked variations in inspired oxygen due to mixture with inspired environment air (usually a maximum of 2l/min [40%] can be delivered). Oxygen via nasal CPAP or high flow nasal canula is preferable to commence in TU in VLBW and ELBW infants with significant respiratory distress. Preterm infants started on NCPAP should be given surfactant within the first 2 hours post-delivery.Term babies with respiratory distress (probable TTN) can be observed in oxygen with monitoring of oxygen saturations for a few hours. If not weaning or very distressed, they should be admitted, bloods taken and antibiotics started. If they settle, they can be discharged back to mother.</t>
  </si>
  <si>
    <t>2. Start antibiotics. Pneumonia may mimic respiratory diseases such as HMD or meconium aspiration,both clinically and on chest X-ray. Therefore, start all infants with newly diagnosed respiratory distress on antibiotics - penicillin G and gentamicin on admission. Take bloods for blood culture and full blood count.</t>
  </si>
  <si>
    <t>3. Keep nil per mouth. Infants with respiratory distress may not tolerate feeds. Therefore, start on intravenous fluids (60 mls/kg for term infants, 60-80mls/kg for preterm infants) potassium-free neonatelyte.</t>
  </si>
  <si>
    <t>4. Indications for mechanical ventilation are recurrent apnoeas, respiratory failure as evidenced by PaCO2 &gt;55 mmHg associated with pH &lt;7.25; PaO2 &lt;50 mmHg or O2 saturations &lt;89% in &gt;70% oxygen. Where possible, nasal continuous positive airway pressure (NCPAP) should precede mechanical ventilation, followed by conventional mechanical ventilation where NCPAP is unsuccessful.</t>
  </si>
  <si>
    <t>Surfactant</t>
  </si>
  <si>
    <t>Type of surfactant: Exogenous surfactants available in SA include Curosurf (poractant) and Survanta.(beractant)</t>
  </si>
  <si>
    <t> Timing of initial dose: The natural history of HMD is to get worse in the first 48 to 72 hours. Delay in administration of surfactant may mean that the baby deteriorates and requires mechanical ventilation. Administer surfactant in babies with severe HMD as soon as possible, preferably within the first hour of life, before putting the baby on Nasal CPAP.</t>
  </si>
  <si>
    <t> Dose:</t>
  </si>
  <si>
    <t>o Survanta:4mls/ kg, can be repeated 6 hourly up to 2additional doses</t>
  </si>
  <si>
    <t>o Curosurf: 2.5 mls / kg then 1.25 mls/kg administered 12 hourly as needed (up to 2 additional doses)</t>
  </si>
  <si>
    <t> Route: Through endotracheal tube, using a catheter or feeding tube or intubate with a large bore feeding tube and administer directly These techniques of administering surfactant are termed INSURE (intubate, surfactant, extubate) and MIST (minimally invasive surfactant technique) respectively</t>
  </si>
  <si>
    <t> Procedure: Intubate and administer the warmed surfactant as a single rapid push in. It is not necessary to reposition the baby. If the baby is on NCPAP, leave the NCPAP in place and administer the surfactant</t>
  </si>
  <si>
    <t> Subsequent doses: Repeat doses may be considered at least 6 hours from the previous dose and in the first 48 hours of life may be considered. Indications for repeat dose are the same as the first dose.Consider other reasons for deterioration or failure to wean (tube problems, pneumothorax, and atelectasis). Order chest X-ray as indicated. Discuss with consultant</t>
  </si>
  <si>
    <t>Ventalation</t>
  </si>
  <si>
    <t>Nasal Continuous Positive Airways Pressure (NCPAP)</t>
  </si>
  <si>
    <t> Bubble CPAP is administered in 177 to babiesthat require surfactant therapy for HMD.</t>
  </si>
  <si>
    <t> NCPAP can also be used for neonates with apnoea in ward 177.</t>
  </si>
  <si>
    <t> Early surfactant therapy is more effective than later, so surfactant should be given as soon as possible after the baby is stabilised and within 2 hours of birth. NCPAP and surfactant are the first line of therapy for babies with HMD – mechanical ventilation would be for those who fail NCPAP.</t>
  </si>
  <si>
    <t> Please ensure correct sizing and placement of the nasal prongs or nasal mask, in order to prevent avascular necrosis of the nasal septum and nasal cartilage. Don’t over tighten the prongs or mask.</t>
  </si>
  <si>
    <t>o The nasal prongs must be sized for both the nares and nasal septum.</t>
  </si>
  <si>
    <t>o 5 mm of prongs should be visible between the nose and CPAP system</t>
  </si>
  <si>
    <t>Protective granuflex should be placed on the nose and upper lip to protect the baby’s skin.</t>
  </si>
  <si>
    <t>o The nasal prongs must be reassessed every 3 to 4 hours for signs of vascular compromise.</t>
  </si>
  <si>
    <t>o The nasal mask should comfortable cover the baby’s nose.</t>
  </si>
  <si>
    <t> NCPAP is started at 5 cm water. The bubble chamber must be filled with water to the correct level. The “stick” determines the level of CPAP. Bubbling indicates that the system is functional, there are no other alarms.</t>
  </si>
  <si>
    <t> Oxygen is delivered at 6 to 10 litres minute, through a wall blender. Oxygen levels are weaned on the blender.</t>
  </si>
  <si>
    <t> The baby is weaned according to oxygen saturations (Target 88 to 94%) and on signs of clinical respiratory distress. It is unnecessary to do frequent blood gases.</t>
  </si>
  <si>
    <t> Once the baby has weaned to less than 30% oxygen and a CPAP level of 4 cm water, the NCPAP can be discontinued and the baby placed on nasal prongs.</t>
  </si>
  <si>
    <t>Cranial ultrasound</t>
  </si>
  <si>
    <t>1. First ultrasound: Within the first 7 days of life or in the case of acute deterioration of baby’s condition especially in extremely low birth weight, cranial ultrasound can be done to rule out bleeding in the brain.</t>
  </si>
  <si>
    <t>a. Will identify &gt;90% of cases of IVH;</t>
  </si>
  <si>
    <t>b. Identify increased periventricular echodensities</t>
  </si>
  <si>
    <t>2. Second ultrasound: At 10-14 days of life</t>
  </si>
  <si>
    <t>a. Will identify progression of PVEs,</t>
  </si>
  <si>
    <t>b. Periventricular cysts may become apparent.</t>
  </si>
  <si>
    <t>c. May identify early development of post haemorrhagic hydrocephalus</t>
  </si>
  <si>
    <t>3. Last ultrasound just before discharge</t>
  </si>
  <si>
    <t>a. Periventricular cysts may become apparent</t>
  </si>
  <si>
    <t>b. PHH will be apparent by this time</t>
  </si>
  <si>
    <t>Feeds</t>
  </si>
  <si>
    <t>To promote growth of preterm infants of 10-20g/kg/day, one must provide 110-140 kcal/kg/day</t>
  </si>
  <si>
    <t>Vitamin K - 0.5 mg imi at birth</t>
  </si>
  <si>
    <t> Multivitamins- Vidaylin drops- 0.6 mls/day until 1 year of age</t>
  </si>
  <si>
    <t>0.6 mls containsVitamin A- 5000iu; Vitamin D- 400iu; Vitamin B1- 1.5mg; Vitamin B2- 1.2mg; Vitamin B6- 0.5mg; Vitamin C- 50mg; Nicotinamide- 10mg</t>
  </si>
  <si>
    <t>Abidec 0.6 mls contains Vitamin A 1333 iu, Vitamin D 400 iu, Vitamin B1 0.4 mg, Vitamin B2 0.8 mg, Vitamin B6 0.8 mg, Vitamin C 40 mg and Nicotinamide 8 mg.</t>
  </si>
  <si>
    <t> Folate- 0.1 mg/day p.o. for first 2 months of life</t>
  </si>
  <si>
    <t> Ferrous gluconate- contains 30 mg/5mL of elemental iron</t>
  </si>
  <si>
    <t>a. Start when on full feeds at an age of 2-4 weeks</t>
  </si>
  <si>
    <t>b. Dose</t>
  </si>
  <si>
    <t>i. &lt;1000g- 4mg/kg/day</t>
  </si>
  <si>
    <t>ii. 1000-1500g- 3mg/kg/day</t>
  </si>
  <si>
    <t>iii. 1500-2500g- 2mg/kg/day</t>
  </si>
  <si>
    <t>c. Duration: continue until 1 year of age</t>
  </si>
  <si>
    <t>Near term and term infants (&gt;34 weeks, or weight &gt;1800 kg)</t>
  </si>
  <si>
    <t> Start fluids at 60 to 80 mls/kg.</t>
  </si>
  <si>
    <t> If an infant has good urine output and appropriate weight loss, fluids can be gradually increased by 20 mls/kg/day aiming to reach 150 mls/kg/day by day 5-7.</t>
  </si>
  <si>
    <t>Preterm infants</t>
  </si>
  <si>
    <t> Gestational age 30-34 weeks or weight 1000-1800g:</t>
  </si>
  <si>
    <t>o Start fluids at 70-80 mls/ kg/ day.</t>
  </si>
  <si>
    <t> Gestational age &lt;30 weeks or weight &lt;1000g:</t>
  </si>
  <si>
    <t>o Start fluids at 80-100 mls/kg/day.</t>
  </si>
  <si>
    <t> The infants in the lower range of birth weight or gestational age will need fluids in the higher range.</t>
  </si>
  <si>
    <t> The changes in fluid rates should be based on urine output, weight loss and/or serum electrolytes. Therefore, these infants should have serum electrolytes done within 24 hours after birth, especially infants at the lower range of birth weight or gestational age.</t>
  </si>
  <si>
    <t> If urine output is normal, with appropriate weight loss and normal electrolytes, fluids may be increased by 15-20mls/ kg/ day to a maximum of 160 to 180 ml/kg/day.</t>
  </si>
  <si>
    <t>o The fluids and feeds need to be recalculated daily according to the increase in daily fluids.</t>
  </si>
  <si>
    <t>o Fluid requirement should be calculated on the baby’s birth weight, until the birth weight is regained. Fluids should then be increased as the baby gains weight – based on the current weight.</t>
  </si>
  <si>
    <t>If the infant has weight loss &gt;3% per day, hypernatraemia or poor urine output increase fluids by 20-40 mls/kg and repeat electrolytes within 24 hours.</t>
  </si>
  <si>
    <t> Continue monitoring HGT as you increase the fluids.</t>
  </si>
  <si>
    <t>Screening</t>
  </si>
  <si>
    <t>Hypoglycaemia</t>
  </si>
  <si>
    <t xml:space="preserve">ROP </t>
  </si>
  <si>
    <t>Follow-up</t>
  </si>
  <si>
    <t>SGA</t>
  </si>
  <si>
    <t>Death</t>
  </si>
  <si>
    <t>Assume discharged at 2 months</t>
  </si>
  <si>
    <t>Comments</t>
  </si>
  <si>
    <t>CPAP (days)</t>
  </si>
  <si>
    <t>Surfactant (doses)</t>
  </si>
  <si>
    <t>Nasal prong oxygen (days)</t>
  </si>
  <si>
    <t>Doctor 6 monthly until 18 months (consultations)</t>
  </si>
  <si>
    <t>Clinic follow up (consultations)</t>
  </si>
  <si>
    <t xml:space="preserve">Hypoglycaemia </t>
  </si>
  <si>
    <t>1. Anticipation in the high risk infant</t>
  </si>
  <si>
    <t> Do 3 hourly HGT in the first 24 hours.</t>
  </si>
  <si>
    <t> Start feeds early or use intravenous fluids if NPO</t>
  </si>
  <si>
    <t>2. Correction of hypoglycaemia</t>
  </si>
  <si>
    <t> If infant is asymptomatic, well, on feeds and glucose was done pre-prandial give feeds and measure glucose in 30 minutes.</t>
  </si>
  <si>
    <t> Otherwise give 10% dextrose 2-5 mls/kg intravenously. If 10% dextrose is unavailable, mix 50% dextrose with sterile water in a ratio of 1:4 to make 10% dextrose. Ensure that the infant is getting adequate glucose delivery (4-6 mg/kg/min in term infants and 6-8 in preterm).</t>
  </si>
  <si>
    <t> Glucose delivery can be calculated using the following equation: mg/kg/min= %dextrose x rate / weight x 6.</t>
  </si>
  <si>
    <t> RepeatHGT 30 – 60 minutes after the bolus and then hourly until HGTs have remained within a normal range for 6 hours.</t>
  </si>
  <si>
    <t> If glucose levels do not increase to normal, increase glucose delivery by 1-2mg/kg/min every 3 to 4 hours, as you give boluses in between.</t>
  </si>
  <si>
    <t> It may be necessary to increase dextrose concentration in order to increase glucose delivery. It is preferable to use a central catheter umbilical venous line) if the dextrose concentration exceeds 12.5%.</t>
  </si>
  <si>
    <t>3. Treatment of the cause of hypoglycaemia.</t>
  </si>
  <si>
    <t> For most infants intravenous 10% dextrose at daily maintenance rates will provide adequate glucose.</t>
  </si>
  <si>
    <t> If hypoglycaemia is due to decreased stores increasing basal rate of infusion should correct the problem</t>
  </si>
  <si>
    <t> Sepsis should always be considered as a possible cause of hypoglycaemia.</t>
  </si>
  <si>
    <t> If secondary to hyperinsulinaemia, may need increased glucose requirements for several days.</t>
  </si>
  <si>
    <t>Some infants with hyperinsulinaemia and infants with IUGR may require 12-15mg/kg/min of glucose to control hypoglycaemia</t>
  </si>
  <si>
    <t> If hypoglycaemia is not responding to high glucose delivery (&gt;15 mg/kg/min) a short course of steroids may be considered- hydrocortisone 5mg/kg/day 8-12 hourly, and glucagon 0.2-0.3 mg/kg intramuscularly.</t>
  </si>
  <si>
    <t> In cases of hypoglycaemianot responding to high glucose delivery or persistent (more than 3 days) secondary to hyperinsulinism, e.g. nesidioblastosis, diazoxide 10-15 mg/kg/day 8hrly iv or p.o. or somatostatin 3.5-4 ug/kg/min may be tried. Surgery may be necessary.</t>
  </si>
  <si>
    <t>Grant cost (months)</t>
  </si>
  <si>
    <t>Tocolysis (nifedipine 20mg)</t>
  </si>
  <si>
    <t>Steroids (betamethasone 4 mg dose)</t>
  </si>
  <si>
    <t>3hrly HGTs (per blood draw)</t>
  </si>
  <si>
    <t>1hrly HGTs (per blood draw)</t>
  </si>
  <si>
    <t>10% dextrose (ml)</t>
  </si>
  <si>
    <t>Utilities (DALYs)</t>
  </si>
  <si>
    <t>Life expectancy</t>
  </si>
  <si>
    <t>Deaths</t>
  </si>
  <si>
    <t>Normal weight</t>
  </si>
  <si>
    <t>ANC</t>
  </si>
  <si>
    <t>No RDS</t>
  </si>
  <si>
    <t>No complications</t>
  </si>
  <si>
    <t>Grant</t>
  </si>
  <si>
    <t>Sum</t>
  </si>
  <si>
    <t>Term stillbirth</t>
  </si>
  <si>
    <t xml:space="preserve">ANC </t>
  </si>
  <si>
    <t>ANC visit</t>
  </si>
  <si>
    <t>Total Costs</t>
  </si>
  <si>
    <t>New cases</t>
  </si>
  <si>
    <t>Disability weight</t>
  </si>
  <si>
    <t xml:space="preserve">Average time a person lives with the disease </t>
  </si>
  <si>
    <t>u_Death</t>
  </si>
  <si>
    <t>u_Healthy</t>
  </si>
  <si>
    <t>Cost per unit (including facility fee)</t>
  </si>
  <si>
    <t>per DALY averted</t>
  </si>
  <si>
    <t>Cycle</t>
  </si>
  <si>
    <t>Value</t>
  </si>
  <si>
    <t>No chronic disease</t>
  </si>
  <si>
    <t>Chronic lung disease</t>
  </si>
  <si>
    <t>cognitive</t>
  </si>
  <si>
    <t>u_CongnitiveImpairement</t>
  </si>
  <si>
    <t>u_ChronicResp</t>
  </si>
  <si>
    <t>Developmental impairement</t>
  </si>
  <si>
    <t>Cognitive impairement</t>
  </si>
  <si>
    <t>Ventalation (days)</t>
  </si>
  <si>
    <t>Spironolatone 1mg/kg/dose 12hourly</t>
  </si>
  <si>
    <t xml:space="preserve">Lasix 0.5-1mg/kg/dose 12 hourly </t>
  </si>
  <si>
    <t>Salbutamol – 0.1-0.5 mg/kg 2-6 hourly</t>
  </si>
  <si>
    <t>Dexamethasone 0.05 mg/kg/dose daily X 3 days, 0.025mg/kg/dose daily X 3 days</t>
  </si>
  <si>
    <t>Threshold</t>
  </si>
  <si>
    <t>outpatient consultation with a nurse at level 1 facility (incl facility fee)</t>
  </si>
  <si>
    <t>Facility fee</t>
  </si>
  <si>
    <t>Emergency level 1 or 2 facility fee + medical officer consultation</t>
  </si>
  <si>
    <t>12 hours apart (incl level 2 pharmacy fees)</t>
  </si>
  <si>
    <t>Over 24 hours (incl level 2 pharmacy fees)</t>
  </si>
  <si>
    <t>Facility fee and specialist fee every 12 hours</t>
  </si>
  <si>
    <t>Level 3 facility fee (not neontal specific) and medical officer fee</t>
  </si>
  <si>
    <t>Practitioner fees</t>
  </si>
  <si>
    <t>Medical officer NICU 12hrly</t>
  </si>
  <si>
    <t>Assume improvement after 6 hours (incl blood drawing feet)</t>
  </si>
  <si>
    <t>First 24 hours (incl blood drawing fee)</t>
  </si>
  <si>
    <t>Assume feeds in first 24 hours and then dextrose thereafter (incl drug fees and dispensing fee)</t>
  </si>
  <si>
    <t>7 days, 14 days, before discharge (incl facility fee and specialist in Cat B)</t>
  </si>
  <si>
    <t>At 4-6weeks old (incl specialist consultation and facility fee)</t>
  </si>
  <si>
    <t>Initial specialist follow-up</t>
  </si>
  <si>
    <t>For SGA babies based on the road to health card (incl nurse follow up and facility fee level 1)</t>
  </si>
  <si>
    <t>consultation and facility fee level 3</t>
  </si>
  <si>
    <t>hyperbaric oxygen costs used (incl facility fee and cost of oxygen)</t>
  </si>
  <si>
    <t>Allied health follow up</t>
  </si>
  <si>
    <t>Assume with every regular follow up (incl facility fee level 3 and allied consultation fee)</t>
  </si>
  <si>
    <t>incl drug cost and dispensing fee</t>
  </si>
  <si>
    <t>Consultation and facility fee</t>
  </si>
  <si>
    <t>medical officer ward care</t>
  </si>
  <si>
    <t>Category</t>
  </si>
  <si>
    <t>Other chronic respiratory conditions</t>
  </si>
  <si>
    <t>DALYs</t>
  </si>
  <si>
    <t>Rate</t>
  </si>
  <si>
    <t>Neonatal encephalopathy due to birth asphyxia and trauma</t>
  </si>
  <si>
    <t>YYL</t>
  </si>
  <si>
    <t>YLD</t>
  </si>
  <si>
    <t>Prev</t>
  </si>
  <si>
    <t>Incidence</t>
  </si>
  <si>
    <t>YLL (rate)</t>
  </si>
  <si>
    <t>YLD (rate)</t>
  </si>
  <si>
    <t>Death rate</t>
  </si>
  <si>
    <t>Prev rate</t>
  </si>
  <si>
    <t>Incidence rate</t>
  </si>
  <si>
    <t>South Africa</t>
  </si>
  <si>
    <t>Global</t>
  </si>
  <si>
    <t>INMB</t>
  </si>
  <si>
    <t>per DALY averted (From Ijeoma's study)</t>
  </si>
  <si>
    <t>Calculation</t>
  </si>
  <si>
    <t>Year 1</t>
  </si>
  <si>
    <t>Year 2</t>
  </si>
  <si>
    <t>Background costs (average healthcare costs)</t>
  </si>
  <si>
    <t>c_grant</t>
  </si>
  <si>
    <t>c_ANC</t>
  </si>
  <si>
    <t>c_prem</t>
  </si>
  <si>
    <t>c_LBW</t>
  </si>
  <si>
    <t>c_RDS</t>
  </si>
  <si>
    <t>c_hypo</t>
  </si>
  <si>
    <t xml:space="preserve">c_lung </t>
  </si>
  <si>
    <t>c_cog</t>
  </si>
  <si>
    <t>c_hosp fu</t>
  </si>
  <si>
    <t>c_clinic fu</t>
  </si>
  <si>
    <t>c_1year</t>
  </si>
  <si>
    <t>c_2years</t>
  </si>
  <si>
    <t>Intervention probabilities</t>
  </si>
  <si>
    <t>G2ANC</t>
  </si>
  <si>
    <t>G2noANC</t>
  </si>
  <si>
    <t>Arm 1</t>
  </si>
  <si>
    <t>Prem2LBW_1</t>
  </si>
  <si>
    <t>Arm 2</t>
  </si>
  <si>
    <t>Prem2LBW_2</t>
  </si>
  <si>
    <t>Comparator probabilities</t>
  </si>
  <si>
    <t>Arm 3</t>
  </si>
  <si>
    <t>Prem2LBW_3</t>
  </si>
  <si>
    <t>Arm 4</t>
  </si>
  <si>
    <t>Prem2LBW_4</t>
  </si>
  <si>
    <t>Description</t>
  </si>
  <si>
    <t>Grant to ANC</t>
  </si>
  <si>
    <t>Grant to no ANC</t>
  </si>
  <si>
    <t>Preterm to LBW</t>
  </si>
  <si>
    <t>Preterm to normal weight</t>
  </si>
  <si>
    <t>RDS to chronic lung disease</t>
  </si>
  <si>
    <t>Term to normal weight</t>
  </si>
  <si>
    <t>No grant to ANC</t>
  </si>
  <si>
    <t>No grant to no ANC</t>
  </si>
  <si>
    <t>Effects of the grant/ANC</t>
  </si>
  <si>
    <t>Risk ratio - Reduction in preterm rate</t>
  </si>
  <si>
    <t>Risk ratio - Reduction in LBW</t>
  </si>
  <si>
    <t xml:space="preserve">e_ANC </t>
  </si>
  <si>
    <t>e_LBW</t>
  </si>
  <si>
    <t>e_SGA</t>
  </si>
  <si>
    <t>Risk ratio - Reduction in SGA</t>
  </si>
  <si>
    <t>Discount rate</t>
  </si>
  <si>
    <t>u_parental</t>
  </si>
  <si>
    <t>QALY</t>
  </si>
  <si>
    <t>Gordon et al 2021</t>
  </si>
  <si>
    <t>Asthma</t>
  </si>
  <si>
    <t>YLL</t>
  </si>
  <si>
    <t>Total births</t>
  </si>
  <si>
    <t>ANC first visit coverage rate</t>
  </si>
  <si>
    <t>No ANC rate</t>
  </si>
  <si>
    <t>GBD</t>
  </si>
  <si>
    <t>every month for 8 antenatal months based on current cost of CSG</t>
  </si>
  <si>
    <t>incl drug cost and dispensing fee and paediatric mask</t>
  </si>
  <si>
    <t>2020 costs</t>
  </si>
  <si>
    <t>Stillbirth costs</t>
  </si>
  <si>
    <t>Annual USD-ZAR exchange rate 2020</t>
  </si>
  <si>
    <t>Reported by SARS</t>
  </si>
  <si>
    <t>reported for 2019, calculated the average between males and females</t>
  </si>
  <si>
    <t xml:space="preserve">https://healthcostinstitute.org/health-care-cost-and-utilization-report/annual-reports, </t>
  </si>
  <si>
    <t>Grant costs for 2020</t>
  </si>
  <si>
    <t>Statistics SA</t>
  </si>
  <si>
    <t>Medical CPI percentage change</t>
  </si>
  <si>
    <t>c_SB</t>
  </si>
  <si>
    <t>http://www.statssa.gov.za/?p=14902</t>
  </si>
  <si>
    <t>http://www.statssa.gov.za/?p=14903</t>
  </si>
  <si>
    <t>Teen births</t>
  </si>
  <si>
    <t>Adult births</t>
  </si>
  <si>
    <t>StatsSA mid-year estimates 2020</t>
  </si>
  <si>
    <t>Male life expectancy at birth</t>
  </si>
  <si>
    <t>Female life expectancy at birth</t>
  </si>
  <si>
    <t>Average life expectancy at birth</t>
  </si>
  <si>
    <t xml:space="preserve">Discounted </t>
  </si>
  <si>
    <t xml:space="preserve">ANC first visit </t>
  </si>
  <si>
    <t>NOT ADDED</t>
  </si>
  <si>
    <t>69-106%</t>
  </si>
  <si>
    <t>Health barometer 2020 (data error for upper limit - assume 100%)</t>
  </si>
  <si>
    <t>Base probabilities</t>
  </si>
  <si>
    <t>Range</t>
  </si>
  <si>
    <t>Complement</t>
  </si>
  <si>
    <t>5-18%</t>
  </si>
  <si>
    <t>Blencowe 2012</t>
  </si>
  <si>
    <t>Blencowe 2016</t>
  </si>
  <si>
    <t>1,66-2,10%</t>
  </si>
  <si>
    <t>SGA preterm</t>
  </si>
  <si>
    <t>Stillbirth no ANC</t>
  </si>
  <si>
    <t>Gumede 2017</t>
  </si>
  <si>
    <t>Stillbirth with ANC</t>
  </si>
  <si>
    <t>Live birth with ANC</t>
  </si>
  <si>
    <t>Live birth no ANC</t>
  </si>
  <si>
    <t>With ANC</t>
  </si>
  <si>
    <t>Without ANC</t>
  </si>
  <si>
    <t>CLD</t>
  </si>
  <si>
    <t>CLD + cognitive impairement</t>
  </si>
  <si>
    <t>No CDL or cognitive impairement</t>
  </si>
  <si>
    <t>No hypoglycaemia</t>
  </si>
  <si>
    <t>No LBW</t>
  </si>
  <si>
    <t>Live bith</t>
  </si>
  <si>
    <t>Intervention</t>
  </si>
  <si>
    <t>431/26244</t>
  </si>
  <si>
    <t>25813/26244</t>
  </si>
  <si>
    <t>104/3295</t>
  </si>
  <si>
    <t>3191/3295</t>
  </si>
  <si>
    <t>Overall Stillbirth</t>
  </si>
  <si>
    <t>Overall Live birth</t>
  </si>
  <si>
    <t>ANC and prem</t>
  </si>
  <si>
    <t>Prem</t>
  </si>
  <si>
    <t>Gumede data</t>
  </si>
  <si>
    <t>ANC and term</t>
  </si>
  <si>
    <t>Overall preterm of live births</t>
  </si>
  <si>
    <t>Overall term live births</t>
  </si>
  <si>
    <t>ANC and stillbirth</t>
  </si>
  <si>
    <t>ANC and live birth</t>
  </si>
  <si>
    <t>Live births</t>
  </si>
  <si>
    <t>No ANC and stillbirth</t>
  </si>
  <si>
    <t>No ANC and live birth</t>
  </si>
  <si>
    <t>No ANC and prem</t>
  </si>
  <si>
    <t>No ANC and term</t>
  </si>
  <si>
    <t xml:space="preserve">Preterm </t>
  </si>
  <si>
    <t>594/3426</t>
  </si>
  <si>
    <t>2832/3426</t>
  </si>
  <si>
    <t>4604/26336</t>
  </si>
  <si>
    <t>21732/26336</t>
  </si>
  <si>
    <t>Preterm and LBW</t>
  </si>
  <si>
    <t>Term and LBW</t>
  </si>
  <si>
    <t>Preterm and no LBW</t>
  </si>
  <si>
    <t>Term and no LBW</t>
  </si>
  <si>
    <t>201/295</t>
  </si>
  <si>
    <t>226/650</t>
  </si>
  <si>
    <t>69/650</t>
  </si>
  <si>
    <t>Tshotetsi 2019</t>
  </si>
  <si>
    <t>Tshotetsi 2019 data</t>
  </si>
  <si>
    <t>Term SGA</t>
  </si>
  <si>
    <t>Preterm SGA</t>
  </si>
  <si>
    <t>SGA term</t>
  </si>
  <si>
    <t>Total preterm</t>
  </si>
  <si>
    <t>Total term</t>
  </si>
  <si>
    <t>Total LBW</t>
  </si>
  <si>
    <t>Total normal weight</t>
  </si>
  <si>
    <t>AGA preterm</t>
  </si>
  <si>
    <t>AGA term</t>
  </si>
  <si>
    <t>Total SGA</t>
  </si>
  <si>
    <t>Total AGA</t>
  </si>
  <si>
    <t>Preterm LBW</t>
  </si>
  <si>
    <t>707/1592</t>
  </si>
  <si>
    <t>885/1592</t>
  </si>
  <si>
    <t>Term no LBW</t>
  </si>
  <si>
    <t>Katz data</t>
  </si>
  <si>
    <t>Katz 2013</t>
  </si>
  <si>
    <t>AGA</t>
  </si>
  <si>
    <t>Death and preterm</t>
  </si>
  <si>
    <t>Death and prem</t>
  </si>
  <si>
    <t>Death and term</t>
  </si>
  <si>
    <t>per 1000</t>
  </si>
  <si>
    <t>Survive and prem</t>
  </si>
  <si>
    <t>Survive and term</t>
  </si>
  <si>
    <t xml:space="preserve">24 weeks </t>
  </si>
  <si>
    <t>28 weeks</t>
  </si>
  <si>
    <t>32 weeks</t>
  </si>
  <si>
    <t>36 weeks</t>
  </si>
  <si>
    <t>5-80%</t>
  </si>
  <si>
    <t>Donn 2006</t>
  </si>
  <si>
    <t>0-1%</t>
  </si>
  <si>
    <t>Donn 2006, Behrman 2007</t>
  </si>
  <si>
    <t>Donn data</t>
  </si>
  <si>
    <t>No Hypoglycaemia</t>
  </si>
  <si>
    <t>0,22-0,28</t>
  </si>
  <si>
    <t>Mejri 2010</t>
  </si>
  <si>
    <t>39/181</t>
  </si>
  <si>
    <t>Lui 2019</t>
  </si>
  <si>
    <t>no CLD</t>
  </si>
  <si>
    <t>806/2233</t>
  </si>
  <si>
    <t>Colman 2013</t>
  </si>
  <si>
    <t>77/1500</t>
  </si>
  <si>
    <t>Impairement</t>
  </si>
  <si>
    <t>No impairement</t>
  </si>
  <si>
    <t>3294/99,560</t>
  </si>
  <si>
    <t>Wickstrom 2018</t>
  </si>
  <si>
    <t>ANC2SB_1</t>
  </si>
  <si>
    <t>ANC2LB_1</t>
  </si>
  <si>
    <t>ANC to stillbirth</t>
  </si>
  <si>
    <t>ANC to live birth</t>
  </si>
  <si>
    <t>LB2prem_1</t>
  </si>
  <si>
    <t>LB2term_1</t>
  </si>
  <si>
    <t>Live birth to preterm</t>
  </si>
  <si>
    <t>Live birth to term</t>
  </si>
  <si>
    <t>Term2LBW_1</t>
  </si>
  <si>
    <t>Term to LBW</t>
  </si>
  <si>
    <t>LBW(prem)2SGA_1</t>
  </si>
  <si>
    <t>LBW(prem)2SGA_2</t>
  </si>
  <si>
    <t>LBW(prem)2AGA_2</t>
  </si>
  <si>
    <t>LBW(prem)2AGA_1</t>
  </si>
  <si>
    <t>NBW(prem)2SGA_1</t>
  </si>
  <si>
    <t>NBW(prem)2AGA_1</t>
  </si>
  <si>
    <t>Prem2NBW_1</t>
  </si>
  <si>
    <t>Term2NBW_1</t>
  </si>
  <si>
    <t>LBW(term)2SGA_1</t>
  </si>
  <si>
    <t>LBW(term)2AGA_1</t>
  </si>
  <si>
    <t>NBW(term)2SGA_1</t>
  </si>
  <si>
    <t>NBW(term)2AGA_1</t>
  </si>
  <si>
    <t>LBW preterm to SGA</t>
  </si>
  <si>
    <t>Normal BW preterm to SGA</t>
  </si>
  <si>
    <t>Normal BW preterm to AGA</t>
  </si>
  <si>
    <t>LBW preterm to AGA</t>
  </si>
  <si>
    <t>LBW term to SGA</t>
  </si>
  <si>
    <t>LBW term to AGA</t>
  </si>
  <si>
    <t>Normal BW term to SGA</t>
  </si>
  <si>
    <t>Normal BW term to AGA</t>
  </si>
  <si>
    <t>SGA(prem)2d_1</t>
  </si>
  <si>
    <t>SGA(prem)2s_1</t>
  </si>
  <si>
    <t>AGA(prem)2d_1</t>
  </si>
  <si>
    <t>AGA(prem)2s_1</t>
  </si>
  <si>
    <t>SGA(term)2d_1</t>
  </si>
  <si>
    <t>SGA(term)2s_1</t>
  </si>
  <si>
    <t>AGA(term)2d_1</t>
  </si>
  <si>
    <t>AGA(term)2s_1</t>
  </si>
  <si>
    <t>SGA preterm to death</t>
  </si>
  <si>
    <t>SGA preterm to survival</t>
  </si>
  <si>
    <t>AGA preterm to death</t>
  </si>
  <si>
    <t>AGA preterm to survival</t>
  </si>
  <si>
    <t>SGA term to death</t>
  </si>
  <si>
    <t>SGA term to survival</t>
  </si>
  <si>
    <t>AGA term to death</t>
  </si>
  <si>
    <t>AGA term to survival</t>
  </si>
  <si>
    <t>S(prem)2RDS_1</t>
  </si>
  <si>
    <t>S(prem)2noRDS_1</t>
  </si>
  <si>
    <t>S(term)2RDS_1</t>
  </si>
  <si>
    <t>S(term)2noRDS_1</t>
  </si>
  <si>
    <t>Survival (preterm) to RDS</t>
  </si>
  <si>
    <t>Survival (preterm) to no RDS</t>
  </si>
  <si>
    <t>Survival (term) to RDS</t>
  </si>
  <si>
    <t>Survival (term) to no RDS</t>
  </si>
  <si>
    <t>SGA(prem)2hypoglycaemia_1</t>
  </si>
  <si>
    <t>SGA(prem)2hypoglycaemia_2</t>
  </si>
  <si>
    <t>SGA(prem)2normoglycaemia_2</t>
  </si>
  <si>
    <t>SGA(term)2hypoglycaemia_1</t>
  </si>
  <si>
    <t>SGA(term)2normoglycaemia_2</t>
  </si>
  <si>
    <t>SGA(prem)2normoglycaemia_1</t>
  </si>
  <si>
    <t>SGA(term)2normoglycaemia_1</t>
  </si>
  <si>
    <t>SGA (preterm) to hypoglycaemia</t>
  </si>
  <si>
    <t>SGA (preterm) to normoglycaemia</t>
  </si>
  <si>
    <t>SGA (term) to hypoglycaemia</t>
  </si>
  <si>
    <t>SGA (term) to normoglycaemia</t>
  </si>
  <si>
    <t>RDS2CLD_1</t>
  </si>
  <si>
    <t>noRDS2noCLD_1</t>
  </si>
  <si>
    <t>RDS2noCLD_1</t>
  </si>
  <si>
    <t>noRDS2CLD_1</t>
  </si>
  <si>
    <t>RDS to no chronic lung disease</t>
  </si>
  <si>
    <t>no RDS to chronic lung disease</t>
  </si>
  <si>
    <t>no RDS to no chronic lung disease</t>
  </si>
  <si>
    <t>Hypoglycaemia to cognitive impairement</t>
  </si>
  <si>
    <t>Hypoglycaemia to no cognitive impairement</t>
  </si>
  <si>
    <t>No hypoglycaemia to cognitive impairement</t>
  </si>
  <si>
    <t>No hypoglycaemia to no cognitive impairement</t>
  </si>
  <si>
    <t>Hypo2CI_1</t>
  </si>
  <si>
    <t>Hypo2noCI_1</t>
  </si>
  <si>
    <t>noHypo2CI_1</t>
  </si>
  <si>
    <t>noHypo2noCI_1</t>
  </si>
  <si>
    <t>NoG2ANC</t>
  </si>
  <si>
    <t>NoG2noANC</t>
  </si>
  <si>
    <t>LB2prem_2</t>
  </si>
  <si>
    <t>LB2term_2</t>
  </si>
  <si>
    <t>Prem2NBW_2</t>
  </si>
  <si>
    <t>Term2LBW_2</t>
  </si>
  <si>
    <t>Term2NBW_2</t>
  </si>
  <si>
    <t>NBW(prem)2SGA_2</t>
  </si>
  <si>
    <t>NBW(prem)2AGA_2</t>
  </si>
  <si>
    <t>LBW(term)2SGA_2</t>
  </si>
  <si>
    <t>LBW(term)2AGA_2</t>
  </si>
  <si>
    <t>NBW(term)2SGA_2</t>
  </si>
  <si>
    <t>NBW(term)2AGA_2</t>
  </si>
  <si>
    <t>SGA(prem)2d_2</t>
  </si>
  <si>
    <t>SGA(prem)2s_2</t>
  </si>
  <si>
    <t>AGA(prem)2d_2</t>
  </si>
  <si>
    <t>AGA(prem)2s_2</t>
  </si>
  <si>
    <t>SGA(term)2d_2</t>
  </si>
  <si>
    <t>SGA(term)2s_2</t>
  </si>
  <si>
    <t>AGA(term)2d_2</t>
  </si>
  <si>
    <t>AGA(term)2s_2</t>
  </si>
  <si>
    <t>S(prem)2RDS_2</t>
  </si>
  <si>
    <t>S(prem)2noRDS_2</t>
  </si>
  <si>
    <t>S(term)2RDS_2</t>
  </si>
  <si>
    <t>S(term)2noRDS_2</t>
  </si>
  <si>
    <t>SGA(term)2hypoglycaemia_2</t>
  </si>
  <si>
    <t>RDS2CLD_2</t>
  </si>
  <si>
    <t>RDS2noCLD_2</t>
  </si>
  <si>
    <t>noRDS2CLD_2</t>
  </si>
  <si>
    <t>noRDS2noCLD_2</t>
  </si>
  <si>
    <t>Hypo2CI_2</t>
  </si>
  <si>
    <t>Hypo2noCI_2</t>
  </si>
  <si>
    <t>noHypo2CI_2</t>
  </si>
  <si>
    <t>noHypo2noCI_2</t>
  </si>
  <si>
    <t>ANC2SB_3</t>
  </si>
  <si>
    <t>ANC2LB_3</t>
  </si>
  <si>
    <t>LB2prem_3</t>
  </si>
  <si>
    <t>LB2term_3</t>
  </si>
  <si>
    <t>Prem2NBW_3</t>
  </si>
  <si>
    <t>Term2LBW_3</t>
  </si>
  <si>
    <t>Term2NBW_3</t>
  </si>
  <si>
    <t>LBW(prem)2SGA_3</t>
  </si>
  <si>
    <t>LBW(prem)2AGA_3</t>
  </si>
  <si>
    <t>NBW(prem)2SGA_3</t>
  </si>
  <si>
    <t>NBW(prem)2AGA_3</t>
  </si>
  <si>
    <t>LBW(term)2SGA_3</t>
  </si>
  <si>
    <t>LBW(term)2AGA_3</t>
  </si>
  <si>
    <t>NBW(term)2SGA_3</t>
  </si>
  <si>
    <t>NBW(term)2AGA_3</t>
  </si>
  <si>
    <t>SGA(prem)2d_3</t>
  </si>
  <si>
    <t>SGA(prem)2s_3</t>
  </si>
  <si>
    <t>AGA(prem)2d_3</t>
  </si>
  <si>
    <t>AGA(prem)2s_3</t>
  </si>
  <si>
    <t>SGA(term)2d_3</t>
  </si>
  <si>
    <t>SGA(term)2s_3</t>
  </si>
  <si>
    <t>AGA(term)2d_3</t>
  </si>
  <si>
    <t>AGA(term)2s_3</t>
  </si>
  <si>
    <t>S(prem)2RDS_3</t>
  </si>
  <si>
    <t>S(prem)2noRDS_3</t>
  </si>
  <si>
    <t>S(term)2RDS_3</t>
  </si>
  <si>
    <t>S(term)2noRDS_3</t>
  </si>
  <si>
    <t>SGA(prem)2hypoglycaemia_3</t>
  </si>
  <si>
    <t>SGA(prem)2normoglycaemia_3</t>
  </si>
  <si>
    <t>SGA(term)2hypoglycaemia_3</t>
  </si>
  <si>
    <t>SGA(term)2normoglycaemia_3</t>
  </si>
  <si>
    <t>RDS2CLD_3</t>
  </si>
  <si>
    <t>RDS2noCLD_3</t>
  </si>
  <si>
    <t>noRDS2CLD_3</t>
  </si>
  <si>
    <t>noRDS2noCLD_3</t>
  </si>
  <si>
    <t>Hypo2CI_3</t>
  </si>
  <si>
    <t>Hypo2noCI_3</t>
  </si>
  <si>
    <t>noHypo2CI_3</t>
  </si>
  <si>
    <t>noHypo2noCI_3</t>
  </si>
  <si>
    <t>LB2prem_4</t>
  </si>
  <si>
    <t>LB2term_4</t>
  </si>
  <si>
    <t>Prem2NBW_4</t>
  </si>
  <si>
    <t>Term2LBW_4</t>
  </si>
  <si>
    <t>Term2NBW_4</t>
  </si>
  <si>
    <t>LBW(prem)2SGA_4</t>
  </si>
  <si>
    <t>LBW(prem)2AGA_4</t>
  </si>
  <si>
    <t>NBW(prem)2SGA_4</t>
  </si>
  <si>
    <t>NBW(prem)2AGA_4</t>
  </si>
  <si>
    <t>LBW(term)2SGA_4</t>
  </si>
  <si>
    <t>LBW(term)2AGA_4</t>
  </si>
  <si>
    <t>NBW(term)2SGA_4</t>
  </si>
  <si>
    <t>NBW(term)2AGA_4</t>
  </si>
  <si>
    <t>SGA(prem)2d_4</t>
  </si>
  <si>
    <t>SGA(prem)2s_4</t>
  </si>
  <si>
    <t>AGA(prem)2d_4</t>
  </si>
  <si>
    <t>AGA(prem)2s_4</t>
  </si>
  <si>
    <t>SGA(term)2d_4</t>
  </si>
  <si>
    <t>SGA(term)2s_4</t>
  </si>
  <si>
    <t>AGA(term)2d_4</t>
  </si>
  <si>
    <t>AGA(term)2s_4</t>
  </si>
  <si>
    <t>S(prem)2RDS_4</t>
  </si>
  <si>
    <t>S(prem)2noRDS_4</t>
  </si>
  <si>
    <t>S(term)2RDS_4</t>
  </si>
  <si>
    <t>S(term)2noRDS_4</t>
  </si>
  <si>
    <t>SGA(prem)2hypoglycaemia_4</t>
  </si>
  <si>
    <t>SGA(prem)2normoglycaemia_4</t>
  </si>
  <si>
    <t>SGA(term)2hypoglycaemia_4</t>
  </si>
  <si>
    <t>SGA(term)2normoglycaemia_4</t>
  </si>
  <si>
    <t>RDS2CLD_4</t>
  </si>
  <si>
    <t>RDS2noCLD_4</t>
  </si>
  <si>
    <t>noRDS2CLD_4</t>
  </si>
  <si>
    <t>noRDS2noCLD_4</t>
  </si>
  <si>
    <t>Hypo2CI_4</t>
  </si>
  <si>
    <t>Hypo2noCI_4</t>
  </si>
  <si>
    <t>noHypo2CI_4</t>
  </si>
  <si>
    <t>noHypo2noCI_4</t>
  </si>
  <si>
    <t>Grant effect</t>
  </si>
  <si>
    <t>Comment</t>
  </si>
  <si>
    <t>e_preterm</t>
  </si>
  <si>
    <t>NoANC2SB_2</t>
  </si>
  <si>
    <t>NoANC2LB_2</t>
  </si>
  <si>
    <t>No ANC to stillbirth</t>
  </si>
  <si>
    <t>No ANC to live birth</t>
  </si>
  <si>
    <t>NoANC2SB_4</t>
  </si>
  <si>
    <t>NoANC2LB_4</t>
  </si>
  <si>
    <t>Preterm AGA</t>
  </si>
  <si>
    <t>Term AGA</t>
  </si>
  <si>
    <t>0/100</t>
  </si>
  <si>
    <t>Araz 2006</t>
  </si>
  <si>
    <t>9/60</t>
  </si>
  <si>
    <t>Lubchenco</t>
  </si>
  <si>
    <t>AGA(prem)2normoglycaemia_4</t>
  </si>
  <si>
    <t>AGA(prem)2hypoglycaemia_4</t>
  </si>
  <si>
    <t>AGA term to hypoglycaemia</t>
  </si>
  <si>
    <t>AGA term to normoglycaemia</t>
  </si>
  <si>
    <t>AGA preterm to hypoglycaemia</t>
  </si>
  <si>
    <t>AGA preterm to normoglycaemia</t>
  </si>
  <si>
    <t>AGA(term)2hypoglycaemia_4</t>
  </si>
  <si>
    <t>AGA(term)2normoglycaemia_4</t>
  </si>
  <si>
    <t>10.1%-point more likely to take up at least one ANC service</t>
  </si>
  <si>
    <t>Rahman &amp; Pallikadavath (2018)</t>
  </si>
  <si>
    <t>Brownell et al., 2016</t>
  </si>
  <si>
    <t>95% CI 0.63–0.82</t>
  </si>
  <si>
    <t>95% CI 0.69–0.84</t>
  </si>
  <si>
    <t>95% CI 0.81–0.99</t>
  </si>
  <si>
    <t>Brownell et al., 2017</t>
  </si>
  <si>
    <t>Brownell et al., 2018</t>
  </si>
  <si>
    <t>e_mortality</t>
  </si>
  <si>
    <t>AGA(prem)2hypoglycaemia_1</t>
  </si>
  <si>
    <t>AGA(prem)2normoglycaemia_1</t>
  </si>
  <si>
    <t>AGA(term)2hypoglycaemia_1</t>
  </si>
  <si>
    <t>AGA(term)2normoglycaemia_1</t>
  </si>
  <si>
    <t>AGA(prem)2hypoglycaemia_2</t>
  </si>
  <si>
    <t>AGA(prem)2normoglycaemia_2</t>
  </si>
  <si>
    <t>AGA(term)2hypoglycaemia_2</t>
  </si>
  <si>
    <t>AGA(term)2normoglycaemia_2</t>
  </si>
  <si>
    <t>AGA(prem)2hypoglycaemia_3</t>
  </si>
  <si>
    <t>AGA(prem)2normoglycaemia_3</t>
  </si>
  <si>
    <t>AGA(term)2hypoglycaemia_3</t>
  </si>
  <si>
    <t>AGA(term)2normoglycaemia_3</t>
  </si>
  <si>
    <t>complement</t>
  </si>
  <si>
    <t>assume 1 week in mortuary + certificate</t>
  </si>
  <si>
    <t>Contribution of YLLs</t>
  </si>
  <si>
    <t>Contribution of YLDs</t>
  </si>
  <si>
    <t>DALYs motor impairement</t>
  </si>
  <si>
    <t xml:space="preserve">Life expectancy at age of premature death </t>
  </si>
  <si>
    <t>Years lived with disease</t>
  </si>
  <si>
    <t xml:space="preserve">Disability weight </t>
  </si>
  <si>
    <t>https://cevr.shinyapps.io/DALYcalculation/</t>
  </si>
  <si>
    <t>Hutton 2002</t>
  </si>
  <si>
    <t>Discounted</t>
  </si>
  <si>
    <t>DW for moderately controlled asthma</t>
  </si>
  <si>
    <t>Katwyk 2020</t>
  </si>
  <si>
    <t>DW for moderate motor impairment due to prematurity 28-32 weeks</t>
  </si>
  <si>
    <t>Year lost</t>
  </si>
  <si>
    <t>Time</t>
  </si>
  <si>
    <t>0.061
(0.04-0.089)</t>
  </si>
  <si>
    <t>Year with disease</t>
  </si>
  <si>
    <t>Year</t>
  </si>
  <si>
    <t>Disability</t>
  </si>
  <si>
    <t xml:space="preserve">Life expectancy   </t>
  </si>
  <si>
    <t>0.133
(0.086-0.192)</t>
  </si>
  <si>
    <t xml:space="preserve">Life expectancy  </t>
  </si>
  <si>
    <t>https://www.uptodate.com/contents/natural-history-of-asthma</t>
  </si>
  <si>
    <t>Motor impairment</t>
  </si>
  <si>
    <t>DALYS</t>
  </si>
  <si>
    <t>x</t>
  </si>
  <si>
    <t>Difference (DALYs)</t>
  </si>
  <si>
    <t>Usual Care</t>
  </si>
  <si>
    <t>NICU costs (mainly for LBW)</t>
  </si>
  <si>
    <t>NICU days, &lt;1500g</t>
  </si>
  <si>
    <t>NICU days, 1500-2499g</t>
  </si>
  <si>
    <t>NICU days, &gt;2500g</t>
  </si>
  <si>
    <t>High care days, &lt;1500g</t>
  </si>
  <si>
    <t>High care days, 1500-2499g</t>
  </si>
  <si>
    <t>High care days, &gt;2500g</t>
  </si>
  <si>
    <t>NICU admission rate, &lt;1500g</t>
  </si>
  <si>
    <t>na</t>
  </si>
  <si>
    <t>NICU admission rate, 1500-2500g</t>
  </si>
  <si>
    <t>NICU admission rate, &gt;2500g</t>
  </si>
  <si>
    <t>Proportion LBW (&lt;2500g) that are &lt;1500g</t>
  </si>
  <si>
    <t>Proportion LBW (&lt;2500g) that are 1500-2499g</t>
  </si>
  <si>
    <t>c_NICU_NBW</t>
  </si>
  <si>
    <t>% change Sep 2021 vs. Sep 2020</t>
  </si>
  <si>
    <t>Annual USD-ZAR exchange rate 2021</t>
  </si>
  <si>
    <t>Dispensing fee</t>
  </si>
  <si>
    <t>Source is 2020 MPC or 2021 fee schedule unless otherwise stated</t>
  </si>
  <si>
    <t>Pharmacy fees</t>
  </si>
  <si>
    <t xml:space="preserve">Incl medication cost </t>
  </si>
  <si>
    <t>Incl medication cost and pharmacy fee</t>
  </si>
  <si>
    <t>CSG</t>
  </si>
  <si>
    <t>c_CSG</t>
  </si>
  <si>
    <t>DALYs averted</t>
  </si>
  <si>
    <t>Per person</t>
  </si>
  <si>
    <t>Base Case</t>
  </si>
  <si>
    <t>ICER:</t>
  </si>
  <si>
    <t>/DALY</t>
  </si>
  <si>
    <t>INMB:</t>
  </si>
  <si>
    <t>List of Variables to Alternate in SA</t>
  </si>
  <si>
    <t>Lower value</t>
  </si>
  <si>
    <t>higher value</t>
  </si>
  <si>
    <t>increments</t>
  </si>
  <si>
    <t>dw_CLD</t>
  </si>
  <si>
    <t>dw_motor</t>
  </si>
  <si>
    <t>Term with ANC</t>
  </si>
  <si>
    <t>Term no ANC</t>
  </si>
  <si>
    <t>LBW prem</t>
  </si>
  <si>
    <t>LBW term</t>
  </si>
  <si>
    <t>SGA preterm lbw</t>
  </si>
  <si>
    <t>AGA term nbw</t>
  </si>
  <si>
    <t>Death and preterm sga</t>
  </si>
  <si>
    <t>Death and term sga</t>
  </si>
  <si>
    <t>Death and prem aga</t>
  </si>
  <si>
    <t>Death and term aga</t>
  </si>
  <si>
    <t>RDS prem</t>
  </si>
  <si>
    <t>Hypoglycaemia prem sga</t>
  </si>
  <si>
    <t>Hypoglycaemia term sga</t>
  </si>
  <si>
    <t>CLD rds</t>
  </si>
  <si>
    <t>Impairement hypo</t>
  </si>
  <si>
    <t>Impairement no hypo</t>
  </si>
  <si>
    <t>Performing univariate sensitivity analysis</t>
  </si>
  <si>
    <t>NMB</t>
  </si>
  <si>
    <t>Preparing inputs for tornado diagram</t>
  </si>
  <si>
    <t>Low Value</t>
  </si>
  <si>
    <t>Low ICER</t>
  </si>
  <si>
    <t>High Value</t>
  </si>
  <si>
    <t>High ICER</t>
  </si>
  <si>
    <t>`</t>
  </si>
  <si>
    <t>Low INMB</t>
  </si>
  <si>
    <t>High INMB</t>
  </si>
  <si>
    <t>Tornado diagram</t>
  </si>
  <si>
    <t>Parameter</t>
  </si>
  <si>
    <t>Low</t>
  </si>
  <si>
    <t>High</t>
  </si>
  <si>
    <t>Output Differences</t>
  </si>
  <si>
    <t>Core value</t>
  </si>
  <si>
    <t>Hypoglycaemia prem aga</t>
  </si>
  <si>
    <t>Results for the table</t>
  </si>
  <si>
    <t>Base Case INMB</t>
  </si>
  <si>
    <t>Impairment no hypo</t>
  </si>
  <si>
    <t>Impairment hypo</t>
  </si>
  <si>
    <t>beta</t>
  </si>
  <si>
    <t>Probabilistic Inputs</t>
  </si>
  <si>
    <t>Deterministic Mean</t>
  </si>
  <si>
    <t>Probabilistic Value</t>
  </si>
  <si>
    <t>alpha (or LN[mean])</t>
  </si>
  <si>
    <t>Probabilistic Analysis Switch</t>
  </si>
  <si>
    <t>0 - deterministic, 1 - probabilistic</t>
  </si>
  <si>
    <t>Not included in PSA</t>
  </si>
  <si>
    <t>SE (or LN[SE])</t>
  </si>
  <si>
    <t>COST-EFFECTIVENESS RESULTS</t>
  </si>
  <si>
    <t>cRatio</t>
  </si>
  <si>
    <t>Incremental</t>
  </si>
  <si>
    <t>Net monetary benefits</t>
  </si>
  <si>
    <t>Cost-effective?</t>
  </si>
  <si>
    <t>Acceptability curves</t>
  </si>
  <si>
    <t>% Optimal</t>
  </si>
  <si>
    <t>Trial</t>
  </si>
  <si>
    <t>Dist</t>
  </si>
  <si>
    <t>LogNormal</t>
  </si>
  <si>
    <t>Beta</t>
  </si>
  <si>
    <t>Gamma</t>
  </si>
  <si>
    <t>DALYs Averted</t>
  </si>
  <si>
    <t>Inc</t>
  </si>
  <si>
    <t>Active Cell</t>
  </si>
  <si>
    <t>Setting up sensitivity analyses</t>
  </si>
  <si>
    <t>Non-citizens</t>
  </si>
  <si>
    <t>Janse van Rensburg 2021</t>
  </si>
  <si>
    <t>South African births</t>
  </si>
  <si>
    <t>9.3% decline in infant mortality</t>
  </si>
  <si>
    <t>Shei 2013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</si>
</sst>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6" formatCode="&quot;R&quot;#,##0;[Red]\-&quot;R&quot;#,##0"/>
    <numFmt numFmtId="44" formatCode="_-&quot;R&quot;* #,##0.00_-;\-&quot;R&quot;* #,##0.00_-;_-&quot;R&quot;* &quot;-&quot;??_-;_-@_-"/>
    <numFmt numFmtId="43" formatCode="_-* #,##0.00_-;\-* #,##0.00_-;_-* &quot;-&quot;??_-;_-@_-"/>
    <numFmt numFmtId="164" formatCode="_(&quot;$&quot;* #,##0.00_);_(&quot;$&quot;* \(#,##0.00\);_(&quot;$&quot;* &quot;-&quot;??_);_(@_)"/>
    <numFmt numFmtId="165" formatCode="_(* #,##0.00_);_(* \(#,##0.00\);_(* &quot;-&quot;??_);_(@_)"/>
    <numFmt numFmtId="166" formatCode="0.0000"/>
    <numFmt numFmtId="167" formatCode="_(&quot;$&quot;* #,##0_);_(&quot;$&quot;* \(#,##0\);_(&quot;$&quot;* &quot;-&quot;??_);_(@_)"/>
    <numFmt numFmtId="168" formatCode="&quot;R&quot;#,##0.00"/>
    <numFmt numFmtId="169" formatCode="_-[$$-409]* #,##0.00_ ;_-[$$-409]* \-#,##0.00\ ;_-[$$-409]* &quot;-&quot;??_ ;_-@_ "/>
    <numFmt numFmtId="170" formatCode="_-&quot;£&quot;* #,##0.00_-;\-&quot;£&quot;* #,##0.00_-;_-&quot;£&quot;* &quot;-&quot;??_-;_-@_-"/>
    <numFmt numFmtId="171" formatCode="#,##0.0"/>
    <numFmt numFmtId="172" formatCode="0.0"/>
    <numFmt numFmtId="173" formatCode="0.000"/>
    <numFmt numFmtId="174" formatCode="_(* #,##0_);_(* \(#,##0\);_(* &quot;-&quot;??_);_(@_)"/>
    <numFmt numFmtId="175" formatCode="0.0000000E+00"/>
    <numFmt numFmtId="176" formatCode="&quot;R&quot;#,##0"/>
    <numFmt numFmtId="177" formatCode="_-[$£-809]* #,##0_-;\-[$£-809]* #,##0_-;_-[$£-809]* &quot;-&quot;??_-;_-@_-"/>
    <numFmt numFmtId="178" formatCode="[$£-491]#,##0"/>
    <numFmt numFmtId="179" formatCode="_(* #,##0.000_);_(* \(#,##0.000\);_(* &quot;-&quot;??_);_(@_)"/>
    <numFmt numFmtId="180" formatCode="0.00_ ;\-0.00\ "/>
    <numFmt numFmtId="181" formatCode="_-* #,##0_-;\-* #,##0_-;_-* &quot;-&quot;??_-;_-@_-"/>
    <numFmt numFmtId="182" formatCode="#,##0.000"/>
    <numFmt numFmtId="183" formatCode="0.000000"/>
    <numFmt numFmtId="184" formatCode="[$$-409]#,##0.00"/>
    <numFmt numFmtId="185" formatCode="[$$-409]#,##0"/>
  </numFmts>
  <fonts count="56"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theme="2" tint="-0.249977111117893"/>
      <name val="Calibri"/>
      <family val="2"/>
      <scheme val="minor"/>
    </font>
    <font>
      <sz val="10"/>
      <color theme="2" tint="-0.249977111117893"/>
      <name val="Calibri"/>
      <family val="2"/>
      <scheme val="minor"/>
    </font>
    <font>
      <sz val="11"/>
      <name val="Calibri"/>
      <family val="2"/>
      <scheme val="minor"/>
    </font>
    <font>
      <b/>
      <sz val="11"/>
      <name val="Calibri"/>
      <family val="2"/>
      <scheme val="minor"/>
    </font>
    <font>
      <sz val="10"/>
      <name val="Calibri"/>
      <family val="2"/>
      <scheme val="minor"/>
    </font>
    <font>
      <sz val="10"/>
      <color theme="2" tint="-0.499984740745262"/>
      <name val="Calibri"/>
      <family val="2"/>
      <scheme val="minor"/>
    </font>
    <font>
      <sz val="11"/>
      <color theme="2" tint="-0.499984740745262"/>
      <name val="Calibri"/>
      <family val="2"/>
      <scheme val="minor"/>
    </font>
    <font>
      <b/>
      <sz val="11"/>
      <color theme="2" tint="-0.499984740745262"/>
      <name val="Calibri"/>
      <family val="2"/>
      <scheme val="minor"/>
    </font>
    <font>
      <sz val="8"/>
      <color rgb="FF222222"/>
      <name val="Arial"/>
      <family val="2"/>
    </font>
    <font>
      <b/>
      <sz val="11"/>
      <color theme="2" tint="-0.249977111117893"/>
      <name val="Calibri"/>
      <family val="2"/>
      <scheme val="minor"/>
    </font>
    <font>
      <sz val="8"/>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9"/>
      <name val="Arial"/>
      <family val="2"/>
      <charset val="204"/>
    </font>
    <font>
      <i/>
      <sz val="9"/>
      <name val="Arial"/>
      <family val="2"/>
      <charset val="204"/>
    </font>
    <font>
      <sz val="10"/>
      <name val="Arial"/>
      <family val="2"/>
    </font>
    <font>
      <b/>
      <sz val="9"/>
      <name val="Arial"/>
      <family val="2"/>
    </font>
    <font>
      <b/>
      <i/>
      <sz val="9"/>
      <name val="Arial"/>
      <family val="2"/>
      <charset val="204"/>
    </font>
    <font>
      <b/>
      <sz val="11"/>
      <name val="Arial"/>
      <family val="2"/>
    </font>
    <font>
      <b/>
      <u/>
      <sz val="11"/>
      <color indexed="12"/>
      <name val="Arial"/>
      <family val="2"/>
    </font>
    <font>
      <b/>
      <sz val="10"/>
      <name val="Arial"/>
      <family val="2"/>
    </font>
    <font>
      <b/>
      <sz val="10"/>
      <name val="Courier New"/>
      <family val="3"/>
    </font>
    <font>
      <u/>
      <sz val="11"/>
      <color theme="10"/>
      <name val="Calibri"/>
      <family val="2"/>
      <scheme val="minor"/>
    </font>
    <font>
      <i/>
      <sz val="11"/>
      <name val="Calibri"/>
      <family val="2"/>
      <scheme val="minor"/>
    </font>
    <font>
      <i/>
      <sz val="11"/>
      <color theme="1"/>
      <name val="Calibri"/>
      <family val="2"/>
      <scheme val="minor"/>
    </font>
    <font>
      <sz val="8"/>
      <color rgb="FF000000"/>
      <name val="Times New Roman"/>
      <family val="1"/>
    </font>
    <font>
      <sz val="8"/>
      <color theme="1"/>
      <name val="Times New Roman"/>
      <family val="1"/>
    </font>
    <font>
      <b/>
      <sz val="10"/>
      <color theme="0"/>
      <name val="Arial"/>
      <family val="2"/>
    </font>
    <font>
      <sz val="10"/>
      <name val="Times New Roman"/>
      <family val="1"/>
    </font>
    <font>
      <b/>
      <sz val="10"/>
      <name val="Times New Roman"/>
      <family val="1"/>
    </font>
    <font>
      <sz val="12"/>
      <name val="Trebuchet MS"/>
      <family val="2"/>
    </font>
    <font>
      <u/>
      <sz val="12"/>
      <name val="Trebuchet MS"/>
      <family val="2"/>
    </font>
    <font>
      <sz val="10"/>
      <name val="Trebuchet MS"/>
      <family val="2"/>
    </font>
    <font>
      <sz val="10"/>
      <color indexed="22"/>
      <name val="Arial"/>
      <family val="2"/>
    </font>
    <font>
      <b/>
      <sz val="10"/>
      <color indexed="18"/>
      <name val="Arial"/>
      <family val="2"/>
    </font>
    <font>
      <sz val="10"/>
      <color indexed="8"/>
      <name val="Arial"/>
      <family val="2"/>
    </font>
    <font>
      <sz val="10"/>
      <color theme="1"/>
      <name val="Arial"/>
      <family val="2"/>
    </font>
  </fonts>
  <fills count="56">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indexed="41"/>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EF4343"/>
        <bgColor indexed="64"/>
      </patternFill>
    </fill>
    <fill>
      <patternFill patternType="solid">
        <fgColor rgb="FFF19D9D"/>
        <bgColor indexed="64"/>
      </patternFill>
    </fill>
    <fill>
      <patternFill patternType="solid">
        <fgColor indexed="9"/>
        <bgColor indexed="64"/>
      </patternFill>
    </fill>
    <fill>
      <patternFill patternType="solid">
        <fgColor rgb="FF66FFCC"/>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rgb="FF00B050"/>
        <bgColor indexed="64"/>
      </patternFill>
    </fill>
  </fills>
  <borders count="51">
    <border>
      <left/>
      <right/>
      <top/>
      <bottom/>
      <diagonal/>
    </border>
    <border>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auto="1"/>
      </right>
      <top/>
      <bottom style="thin">
        <color auto="1"/>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22"/>
      </left>
      <right style="thin">
        <color indexed="22"/>
      </right>
      <top style="thin">
        <color indexed="22"/>
      </top>
      <bottom style="thin">
        <color indexed="22"/>
      </bottom>
      <diagonal/>
    </border>
    <border>
      <left style="medium">
        <color indexed="64"/>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s>
  <cellStyleXfs count="56">
    <xf numFmtId="0" fontId="0" fillId="0" borderId="0"/>
    <xf numFmtId="44" fontId="16" fillId="0" borderId="0" applyFont="0" applyFill="0" applyBorder="0" applyAlignment="0" applyProtection="0"/>
    <xf numFmtId="0" fontId="17" fillId="0" borderId="0" applyNumberFormat="0" applyFill="0" applyBorder="0" applyAlignment="0" applyProtection="0"/>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21" fillId="6" borderId="0" applyNumberFormat="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6" applyNumberFormat="0" applyAlignment="0" applyProtection="0"/>
    <xf numFmtId="0" fontId="25" fillId="10" borderId="7" applyNumberFormat="0" applyAlignment="0" applyProtection="0"/>
    <xf numFmtId="0" fontId="26" fillId="10" borderId="6" applyNumberFormat="0" applyAlignment="0" applyProtection="0"/>
    <xf numFmtId="0" fontId="27" fillId="0" borderId="8" applyNumberFormat="0" applyFill="0" applyAlignment="0" applyProtection="0"/>
    <xf numFmtId="0" fontId="28" fillId="11" borderId="9" applyNumberFormat="0" applyAlignment="0" applyProtection="0"/>
    <xf numFmtId="0" fontId="29" fillId="0" borderId="0" applyNumberFormat="0" applyFill="0" applyBorder="0" applyAlignment="0" applyProtection="0"/>
    <xf numFmtId="0" fontId="16" fillId="12" borderId="10" applyNumberFormat="0" applyFont="0" applyAlignment="0" applyProtection="0"/>
    <xf numFmtId="0" fontId="30" fillId="0" borderId="0" applyNumberFormat="0" applyFill="0" applyBorder="0" applyAlignment="0" applyProtection="0"/>
    <xf numFmtId="0" fontId="1" fillId="0" borderId="11" applyNumberFormat="0" applyFill="0" applyAlignment="0" applyProtection="0"/>
    <xf numFmtId="0" fontId="31"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31"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31"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31"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16" fillId="28" borderId="0" applyNumberFormat="0" applyBorder="0" applyAlignment="0" applyProtection="0"/>
    <xf numFmtId="0" fontId="31" fillId="29" borderId="0" applyNumberFormat="0" applyBorder="0" applyAlignment="0" applyProtection="0"/>
    <xf numFmtId="0" fontId="16" fillId="30" borderId="0" applyNumberFormat="0" applyBorder="0" applyAlignment="0" applyProtection="0"/>
    <xf numFmtId="0" fontId="16" fillId="31" borderId="0" applyNumberFormat="0" applyBorder="0" applyAlignment="0" applyProtection="0"/>
    <xf numFmtId="0" fontId="16" fillId="32" borderId="0" applyNumberFormat="0" applyBorder="0" applyAlignment="0" applyProtection="0"/>
    <xf numFmtId="0" fontId="31"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16" fillId="36" borderId="0" applyNumberFormat="0" applyBorder="0" applyAlignment="0" applyProtection="0"/>
    <xf numFmtId="0" fontId="34" fillId="0" borderId="0">
      <alignment vertical="top"/>
    </xf>
    <xf numFmtId="0" fontId="34" fillId="0" borderId="19">
      <alignment vertical="top"/>
    </xf>
    <xf numFmtId="0" fontId="37" fillId="0" borderId="20">
      <alignment vertical="top" wrapText="1"/>
    </xf>
    <xf numFmtId="0" fontId="38" fillId="0" borderId="20">
      <alignment vertical="top" wrapText="1"/>
    </xf>
    <xf numFmtId="0" fontId="39" fillId="0" borderId="0" applyNumberFormat="0" applyFill="0" applyBorder="0" applyProtection="0">
      <alignment vertical="top"/>
    </xf>
    <xf numFmtId="0" fontId="34" fillId="0" borderId="0" applyNumberFormat="0" applyFont="0" applyFill="0" applyBorder="0" applyProtection="0">
      <alignment wrapText="1"/>
    </xf>
    <xf numFmtId="9" fontId="16" fillId="0" borderId="0" applyFont="0" applyFill="0" applyBorder="0" applyAlignment="0" applyProtection="0"/>
    <xf numFmtId="0" fontId="34" fillId="0" borderId="0"/>
    <xf numFmtId="170" fontId="34" fillId="0" borderId="0" applyFont="0" applyFill="0" applyBorder="0" applyAlignment="0" applyProtection="0"/>
    <xf numFmtId="0" fontId="40" fillId="0" borderId="0"/>
    <xf numFmtId="43" fontId="34" fillId="0" borderId="0" applyFont="0" applyFill="0" applyBorder="0" applyAlignment="0" applyProtection="0"/>
    <xf numFmtId="0" fontId="41" fillId="0" borderId="0" applyNumberFormat="0" applyFill="0" applyBorder="0" applyAlignment="0" applyProtection="0"/>
    <xf numFmtId="165" fontId="16" fillId="0" borderId="0" applyFont="0" applyFill="0" applyBorder="0" applyAlignment="0" applyProtection="0"/>
  </cellStyleXfs>
  <cellXfs count="246">
    <xf numFmtId="0" fontId="0" fillId="0" borderId="0" xfId="0"/>
    <xf numFmtId="0" fontId="1" fillId="0" borderId="0" xfId="0" applyFont="1" applyAlignment="1">
      <alignment horizontal="center"/>
    </xf>
    <xf numFmtId="0" fontId="2" fillId="0" borderId="0" xfId="0" applyFont="1"/>
    <xf numFmtId="0" fontId="3" fillId="0" borderId="0" xfId="0" applyFont="1" applyAlignment="1">
      <alignment horizontal="center"/>
    </xf>
    <xf numFmtId="0" fontId="1" fillId="0" borderId="0" xfId="0" applyFont="1"/>
    <xf numFmtId="0" fontId="0" fillId="2" borderId="0" xfId="0" applyFill="1" applyAlignment="1">
      <alignment wrapText="1"/>
    </xf>
    <xf numFmtId="0" fontId="0" fillId="0" borderId="1" xfId="0" applyBorder="1"/>
    <xf numFmtId="0" fontId="3" fillId="0" borderId="0" xfId="0" applyFont="1"/>
    <xf numFmtId="0" fontId="4" fillId="0" borderId="0" xfId="0" applyFont="1"/>
    <xf numFmtId="0" fontId="5" fillId="0" borderId="0" xfId="0" applyFont="1"/>
    <xf numFmtId="0" fontId="0" fillId="2" borderId="2" xfId="0" applyFill="1" applyBorder="1"/>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2" fillId="0" borderId="0" xfId="0" applyFont="1"/>
    <xf numFmtId="0" fontId="13" fillId="0" borderId="0" xfId="0" applyFont="1"/>
    <xf numFmtId="0" fontId="0" fillId="3" borderId="0" xfId="0" applyFill="1"/>
    <xf numFmtId="0" fontId="0" fillId="4" borderId="0" xfId="0" applyFill="1"/>
    <xf numFmtId="9" fontId="0" fillId="0" borderId="0" xfId="0" applyNumberFormat="1"/>
    <xf numFmtId="10" fontId="0" fillId="0" borderId="0" xfId="0" applyNumberFormat="1"/>
    <xf numFmtId="0" fontId="15" fillId="0" borderId="0" xfId="0" applyFont="1"/>
    <xf numFmtId="0" fontId="0" fillId="5" borderId="0" xfId="0" applyFill="1"/>
    <xf numFmtId="0" fontId="32" fillId="0" borderId="0" xfId="0" applyFont="1"/>
    <xf numFmtId="0" fontId="35" fillId="0" borderId="0" xfId="0" applyFont="1"/>
    <xf numFmtId="0" fontId="35" fillId="0" borderId="0" xfId="0" applyFont="1" applyAlignment="1">
      <alignment horizontal="center"/>
    </xf>
    <xf numFmtId="167" fontId="36" fillId="0" borderId="0" xfId="1" applyNumberFormat="1" applyFont="1" applyAlignment="1">
      <alignment horizontal="left"/>
    </xf>
    <xf numFmtId="0" fontId="32" fillId="0" borderId="14" xfId="0" applyFont="1" applyBorder="1"/>
    <xf numFmtId="0" fontId="32" fillId="0" borderId="0" xfId="0" applyFont="1" applyAlignment="1">
      <alignment horizontal="left"/>
    </xf>
    <xf numFmtId="0" fontId="32" fillId="0" borderId="15" xfId="0" applyFont="1" applyBorder="1"/>
    <xf numFmtId="0" fontId="0" fillId="37" borderId="0" xfId="0" applyFill="1"/>
    <xf numFmtId="168" fontId="33" fillId="38" borderId="13" xfId="1" applyNumberFormat="1" applyFont="1" applyFill="1" applyBorder="1" applyAlignment="1">
      <alignment horizontal="center"/>
    </xf>
    <xf numFmtId="0" fontId="1" fillId="39" borderId="0" xfId="0" applyFont="1" applyFill="1"/>
    <xf numFmtId="0" fontId="0" fillId="0" borderId="0" xfId="0" applyAlignment="1">
      <alignment wrapText="1"/>
    </xf>
    <xf numFmtId="0" fontId="0" fillId="40" borderId="0" xfId="0" applyFill="1"/>
    <xf numFmtId="0" fontId="1" fillId="37" borderId="0" xfId="0" applyFont="1" applyFill="1"/>
    <xf numFmtId="168" fontId="0" fillId="37" borderId="0" xfId="0" applyNumberFormat="1" applyFill="1"/>
    <xf numFmtId="0" fontId="0" fillId="39" borderId="0" xfId="0" applyFill="1"/>
    <xf numFmtId="2" fontId="0" fillId="0" borderId="0" xfId="0" applyNumberFormat="1"/>
    <xf numFmtId="9" fontId="0" fillId="0" borderId="0" xfId="49" applyFont="1" applyFill="1" applyBorder="1"/>
    <xf numFmtId="168" fontId="0" fillId="0" borderId="0" xfId="0" applyNumberFormat="1"/>
    <xf numFmtId="164" fontId="33" fillId="0" borderId="14" xfId="1" applyNumberFormat="1" applyFont="1" applyFill="1" applyBorder="1" applyAlignment="1">
      <alignment horizontal="center"/>
    </xf>
    <xf numFmtId="166" fontId="33" fillId="38" borderId="13" xfId="0" applyNumberFormat="1" applyFont="1" applyFill="1" applyBorder="1" applyAlignment="1">
      <alignment horizontal="center"/>
    </xf>
    <xf numFmtId="169" fontId="32" fillId="0" borderId="0" xfId="0" applyNumberFormat="1" applyFont="1"/>
    <xf numFmtId="0" fontId="0" fillId="0" borderId="0" xfId="0" applyAlignment="1">
      <alignment horizontal="right"/>
    </xf>
    <xf numFmtId="0" fontId="0" fillId="41" borderId="0" xfId="0" applyFill="1"/>
    <xf numFmtId="168" fontId="0" fillId="42" borderId="0" xfId="0" applyNumberFormat="1" applyFill="1"/>
    <xf numFmtId="0" fontId="0" fillId="4" borderId="0" xfId="0" applyFill="1" applyAlignment="1">
      <alignment horizontal="right"/>
    </xf>
    <xf numFmtId="168" fontId="0" fillId="4" borderId="0" xfId="0" applyNumberFormat="1" applyFill="1"/>
    <xf numFmtId="168" fontId="0" fillId="4" borderId="0" xfId="0" applyNumberFormat="1" applyFill="1" applyAlignment="1">
      <alignment horizontal="right"/>
    </xf>
    <xf numFmtId="0" fontId="7" fillId="37" borderId="0" xfId="0" applyFont="1" applyFill="1" applyAlignment="1">
      <alignment horizontal="right"/>
    </xf>
    <xf numFmtId="0" fontId="7" fillId="37" borderId="0" xfId="0" applyFont="1" applyFill="1"/>
    <xf numFmtId="168" fontId="7" fillId="37" borderId="0" xfId="0" applyNumberFormat="1" applyFont="1" applyFill="1"/>
    <xf numFmtId="168" fontId="7" fillId="37" borderId="12" xfId="0" applyNumberFormat="1" applyFont="1" applyFill="1" applyBorder="1"/>
    <xf numFmtId="0" fontId="7" fillId="37" borderId="12" xfId="0" applyFont="1" applyFill="1" applyBorder="1" applyAlignment="1">
      <alignment horizontal="right"/>
    </xf>
    <xf numFmtId="0" fontId="7" fillId="37" borderId="12" xfId="0" applyFont="1" applyFill="1" applyBorder="1"/>
    <xf numFmtId="0" fontId="7" fillId="0" borderId="0" xfId="0" applyFont="1" applyAlignment="1">
      <alignment horizontal="right"/>
    </xf>
    <xf numFmtId="0" fontId="6" fillId="0" borderId="0" xfId="0" applyFont="1" applyAlignment="1">
      <alignment horizontal="center"/>
    </xf>
    <xf numFmtId="168" fontId="6" fillId="0" borderId="0" xfId="0" applyNumberFormat="1" applyFont="1" applyAlignment="1">
      <alignment horizontal="center"/>
    </xf>
    <xf numFmtId="0" fontId="6" fillId="0" borderId="0" xfId="0" applyFont="1" applyAlignment="1">
      <alignment horizontal="right"/>
    </xf>
    <xf numFmtId="166" fontId="6" fillId="0" borderId="0" xfId="0" applyNumberFormat="1" applyFont="1" applyAlignment="1">
      <alignment horizontal="center"/>
    </xf>
    <xf numFmtId="0" fontId="0" fillId="0" borderId="0" xfId="0" applyAlignment="1">
      <alignment horizontal="center" vertical="center"/>
    </xf>
    <xf numFmtId="0" fontId="6" fillId="43" borderId="0" xfId="0" applyFont="1" applyFill="1"/>
    <xf numFmtId="0" fontId="0" fillId="44" borderId="0" xfId="0" applyFill="1"/>
    <xf numFmtId="0" fontId="41" fillId="0" borderId="0" xfId="54"/>
    <xf numFmtId="0" fontId="42" fillId="4" borderId="0" xfId="0" applyFont="1" applyFill="1"/>
    <xf numFmtId="0" fontId="43" fillId="0" borderId="0" xfId="0" applyFont="1"/>
    <xf numFmtId="0" fontId="0" fillId="0" borderId="21" xfId="0" applyBorder="1"/>
    <xf numFmtId="6" fontId="0" fillId="0" borderId="21" xfId="0" applyNumberFormat="1" applyBorder="1"/>
    <xf numFmtId="168" fontId="1" fillId="39" borderId="0" xfId="0" applyNumberFormat="1" applyFont="1" applyFill="1" applyAlignment="1">
      <alignment wrapText="1"/>
    </xf>
    <xf numFmtId="168" fontId="0" fillId="3" borderId="0" xfId="0" applyNumberFormat="1" applyFill="1"/>
    <xf numFmtId="0" fontId="0" fillId="45" borderId="0" xfId="0" applyFill="1"/>
    <xf numFmtId="2" fontId="0" fillId="45" borderId="0" xfId="0" applyNumberFormat="1" applyFill="1"/>
    <xf numFmtId="3" fontId="0" fillId="0" borderId="0" xfId="0" applyNumberFormat="1"/>
    <xf numFmtId="171" fontId="0" fillId="0" borderId="0" xfId="0" applyNumberFormat="1"/>
    <xf numFmtId="1" fontId="0" fillId="0" borderId="0" xfId="0" applyNumberFormat="1"/>
    <xf numFmtId="168" fontId="7" fillId="4" borderId="12" xfId="0" applyNumberFormat="1" applyFont="1" applyFill="1" applyBorder="1"/>
    <xf numFmtId="0" fontId="7" fillId="4" borderId="12" xfId="0" applyFont="1" applyFill="1" applyBorder="1"/>
    <xf numFmtId="0" fontId="0" fillId="0" borderId="15" xfId="0" applyBorder="1"/>
    <xf numFmtId="0" fontId="7" fillId="4" borderId="22" xfId="0" applyFont="1" applyFill="1" applyBorder="1" applyAlignment="1">
      <alignment horizontal="right"/>
    </xf>
    <xf numFmtId="0" fontId="0" fillId="46" borderId="0" xfId="0" applyFill="1"/>
    <xf numFmtId="0" fontId="0" fillId="0" borderId="2" xfId="0" applyBorder="1"/>
    <xf numFmtId="0" fontId="43" fillId="4" borderId="0" xfId="0" applyFont="1" applyFill="1"/>
    <xf numFmtId="168" fontId="0" fillId="0" borderId="2" xfId="0" applyNumberFormat="1" applyBorder="1"/>
    <xf numFmtId="0" fontId="44" fillId="0" borderId="0" xfId="0" applyFont="1"/>
    <xf numFmtId="0" fontId="45" fillId="0" borderId="23" xfId="0" applyFont="1" applyBorder="1" applyAlignment="1">
      <alignment horizontal="center" vertical="center" wrapText="1"/>
    </xf>
    <xf numFmtId="173" fontId="0" fillId="0" borderId="0" xfId="0" applyNumberFormat="1"/>
    <xf numFmtId="166" fontId="0" fillId="0" borderId="0" xfId="0" applyNumberFormat="1"/>
    <xf numFmtId="2" fontId="0" fillId="0" borderId="0" xfId="0" quotePrefix="1" applyNumberFormat="1"/>
    <xf numFmtId="0" fontId="35" fillId="0" borderId="13" xfId="0" applyFont="1" applyBorder="1" applyAlignment="1">
      <alignment horizontal="center"/>
    </xf>
    <xf numFmtId="0" fontId="35" fillId="47" borderId="16" xfId="0" applyFont="1" applyFill="1" applyBorder="1"/>
    <xf numFmtId="168" fontId="32" fillId="47" borderId="17" xfId="0" applyNumberFormat="1" applyFont="1" applyFill="1" applyBorder="1"/>
    <xf numFmtId="0" fontId="35" fillId="47" borderId="18" xfId="0" applyFont="1" applyFill="1" applyBorder="1"/>
    <xf numFmtId="166" fontId="33" fillId="47" borderId="13" xfId="0" applyNumberFormat="1" applyFont="1" applyFill="1" applyBorder="1" applyAlignment="1">
      <alignment horizontal="center"/>
    </xf>
    <xf numFmtId="168" fontId="0" fillId="5" borderId="0" xfId="0" applyNumberFormat="1" applyFill="1"/>
    <xf numFmtId="0" fontId="0" fillId="5" borderId="2" xfId="0" applyFill="1" applyBorder="1"/>
    <xf numFmtId="0" fontId="7" fillId="4" borderId="24" xfId="0" applyFont="1" applyFill="1" applyBorder="1"/>
    <xf numFmtId="175" fontId="0" fillId="0" borderId="0" xfId="0" applyNumberFormat="1"/>
    <xf numFmtId="0" fontId="0" fillId="4" borderId="26" xfId="0" applyFill="1" applyBorder="1"/>
    <xf numFmtId="0" fontId="0" fillId="4" borderId="27" xfId="0" applyFill="1" applyBorder="1"/>
    <xf numFmtId="0" fontId="0" fillId="4" borderId="25" xfId="0" applyFill="1" applyBorder="1"/>
    <xf numFmtId="2" fontId="0" fillId="4" borderId="26" xfId="0" applyNumberFormat="1" applyFill="1" applyBorder="1"/>
    <xf numFmtId="2" fontId="0" fillId="4" borderId="27" xfId="0" applyNumberFormat="1" applyFill="1" applyBorder="1"/>
    <xf numFmtId="172" fontId="0" fillId="0" borderId="0" xfId="0" applyNumberFormat="1"/>
    <xf numFmtId="174" fontId="0" fillId="0" borderId="0" xfId="55" applyNumberFormat="1" applyFont="1" applyFill="1" applyBorder="1"/>
    <xf numFmtId="168" fontId="0" fillId="0" borderId="0" xfId="0" applyNumberFormat="1" applyAlignment="1">
      <alignment horizontal="right"/>
    </xf>
    <xf numFmtId="17" fontId="0" fillId="0" borderId="0" xfId="0" applyNumberFormat="1"/>
    <xf numFmtId="176" fontId="0" fillId="0" borderId="0" xfId="0" applyNumberFormat="1"/>
    <xf numFmtId="0" fontId="34" fillId="0" borderId="0" xfId="50"/>
    <xf numFmtId="0" fontId="39" fillId="0" borderId="0" xfId="50" applyFont="1"/>
    <xf numFmtId="0" fontId="46" fillId="48" borderId="18" xfId="50" applyFont="1" applyFill="1" applyBorder="1"/>
    <xf numFmtId="0" fontId="39" fillId="48" borderId="30" xfId="50" applyFont="1" applyFill="1" applyBorder="1"/>
    <xf numFmtId="0" fontId="39" fillId="48" borderId="29" xfId="50" applyFont="1" applyFill="1" applyBorder="1"/>
    <xf numFmtId="0" fontId="39" fillId="49" borderId="31" xfId="50" applyFont="1" applyFill="1" applyBorder="1"/>
    <xf numFmtId="168" fontId="34" fillId="0" borderId="32" xfId="50" applyNumberFormat="1" applyBorder="1"/>
    <xf numFmtId="0" fontId="34" fillId="5" borderId="33" xfId="50" applyFill="1" applyBorder="1"/>
    <xf numFmtId="0" fontId="39" fillId="49" borderId="34" xfId="50" applyFont="1" applyFill="1" applyBorder="1"/>
    <xf numFmtId="168" fontId="34" fillId="0" borderId="35" xfId="50" applyNumberFormat="1" applyBorder="1"/>
    <xf numFmtId="0" fontId="34" fillId="5" borderId="20" xfId="50" applyFill="1" applyBorder="1"/>
    <xf numFmtId="177" fontId="0" fillId="0" borderId="0" xfId="51" applyNumberFormat="1" applyFont="1"/>
    <xf numFmtId="0" fontId="39" fillId="49" borderId="21" xfId="50" applyFont="1" applyFill="1" applyBorder="1"/>
    <xf numFmtId="168" fontId="34" fillId="0" borderId="21" xfId="50" applyNumberFormat="1" applyBorder="1"/>
    <xf numFmtId="168" fontId="0" fillId="0" borderId="0" xfId="51" applyNumberFormat="1" applyFont="1"/>
    <xf numFmtId="168" fontId="34" fillId="0" borderId="0" xfId="50" applyNumberFormat="1"/>
    <xf numFmtId="10" fontId="34" fillId="0" borderId="0" xfId="50" applyNumberFormat="1"/>
    <xf numFmtId="2" fontId="34" fillId="0" borderId="0" xfId="50" applyNumberFormat="1"/>
    <xf numFmtId="173" fontId="34" fillId="0" borderId="0" xfId="50" applyNumberFormat="1"/>
    <xf numFmtId="0" fontId="39" fillId="0" borderId="0" xfId="50" applyFont="1" applyAlignment="1">
      <alignment horizontal="left" vertical="center"/>
    </xf>
    <xf numFmtId="168" fontId="46" fillId="48" borderId="16" xfId="50" applyNumberFormat="1" applyFont="1" applyFill="1" applyBorder="1" applyAlignment="1">
      <alignment horizontal="center"/>
    </xf>
    <xf numFmtId="168" fontId="46" fillId="48" borderId="29" xfId="50" applyNumberFormat="1" applyFont="1" applyFill="1" applyBorder="1" applyAlignment="1">
      <alignment horizontal="center"/>
    </xf>
    <xf numFmtId="168" fontId="34" fillId="48" borderId="32" xfId="50" applyNumberFormat="1" applyFill="1" applyBorder="1" applyAlignment="1">
      <alignment horizontal="center"/>
    </xf>
    <xf numFmtId="168" fontId="34" fillId="0" borderId="16" xfId="50" applyNumberFormat="1" applyBorder="1"/>
    <xf numFmtId="168" fontId="34" fillId="0" borderId="29" xfId="50" applyNumberFormat="1" applyBorder="1"/>
    <xf numFmtId="168" fontId="34" fillId="49" borderId="21" xfId="50" applyNumberFormat="1" applyFill="1" applyBorder="1"/>
    <xf numFmtId="168" fontId="34" fillId="0" borderId="37" xfId="50" applyNumberFormat="1" applyBorder="1"/>
    <xf numFmtId="168" fontId="34" fillId="0" borderId="36" xfId="50" applyNumberFormat="1" applyBorder="1"/>
    <xf numFmtId="10" fontId="34" fillId="49" borderId="21" xfId="50" applyNumberFormat="1" applyFill="1" applyBorder="1"/>
    <xf numFmtId="2" fontId="34" fillId="49" borderId="21" xfId="50" applyNumberFormat="1" applyFill="1" applyBorder="1"/>
    <xf numFmtId="166" fontId="34" fillId="49" borderId="21" xfId="50" applyNumberFormat="1" applyFill="1" applyBorder="1"/>
    <xf numFmtId="0" fontId="34" fillId="49" borderId="21" xfId="50" applyFill="1" applyBorder="1"/>
    <xf numFmtId="168" fontId="34" fillId="0" borderId="1" xfId="50" applyNumberFormat="1" applyBorder="1"/>
    <xf numFmtId="168" fontId="34" fillId="0" borderId="38" xfId="50" applyNumberFormat="1" applyBorder="1"/>
    <xf numFmtId="168" fontId="34" fillId="0" borderId="20" xfId="50" applyNumberFormat="1" applyBorder="1"/>
    <xf numFmtId="168" fontId="34" fillId="0" borderId="21" xfId="50" applyNumberFormat="1" applyBorder="1" applyAlignment="1">
      <alignment horizontal="right"/>
    </xf>
    <xf numFmtId="2" fontId="34" fillId="0" borderId="21" xfId="50" applyNumberFormat="1" applyBorder="1" applyAlignment="1">
      <alignment horizontal="right"/>
    </xf>
    <xf numFmtId="168" fontId="34" fillId="0" borderId="30" xfId="50" applyNumberFormat="1" applyBorder="1" applyAlignment="1">
      <alignment horizontal="right"/>
    </xf>
    <xf numFmtId="168" fontId="34" fillId="0" borderId="33" xfId="50" applyNumberFormat="1" applyBorder="1" applyAlignment="1">
      <alignment horizontal="right"/>
    </xf>
    <xf numFmtId="0" fontId="39" fillId="49" borderId="14" xfId="50" applyFont="1" applyFill="1" applyBorder="1"/>
    <xf numFmtId="2" fontId="34" fillId="0" borderId="0" xfId="50" applyNumberFormat="1" applyAlignment="1">
      <alignment horizontal="right"/>
    </xf>
    <xf numFmtId="168" fontId="34" fillId="0" borderId="0" xfId="50" applyNumberFormat="1" applyAlignment="1">
      <alignment horizontal="right"/>
    </xf>
    <xf numFmtId="168" fontId="34" fillId="0" borderId="36" xfId="50" applyNumberFormat="1" applyBorder="1" applyAlignment="1">
      <alignment horizontal="right"/>
    </xf>
    <xf numFmtId="2" fontId="34" fillId="0" borderId="39" xfId="50" applyNumberFormat="1" applyBorder="1" applyAlignment="1">
      <alignment horizontal="right"/>
    </xf>
    <xf numFmtId="168" fontId="34" fillId="0" borderId="39" xfId="50" applyNumberFormat="1" applyBorder="1" applyAlignment="1">
      <alignment horizontal="right"/>
    </xf>
    <xf numFmtId="168" fontId="34" fillId="0" borderId="20" xfId="50" applyNumberFormat="1" applyBorder="1" applyAlignment="1">
      <alignment horizontal="right"/>
    </xf>
    <xf numFmtId="0" fontId="47" fillId="50" borderId="0" xfId="52" applyFont="1" applyFill="1"/>
    <xf numFmtId="0" fontId="47" fillId="50" borderId="0" xfId="52" quotePrefix="1" applyFont="1" applyFill="1" applyAlignment="1">
      <alignment horizontal="center"/>
    </xf>
    <xf numFmtId="0" fontId="47" fillId="50" borderId="0" xfId="52" applyFont="1" applyFill="1" applyAlignment="1">
      <alignment horizontal="center"/>
    </xf>
    <xf numFmtId="0" fontId="49" fillId="51" borderId="13" xfId="52" applyFont="1" applyFill="1" applyBorder="1" applyAlignment="1">
      <alignment horizontal="center" vertical="center"/>
    </xf>
    <xf numFmtId="174" fontId="49" fillId="52" borderId="13" xfId="53" applyNumberFormat="1" applyFont="1" applyFill="1" applyBorder="1" applyAlignment="1">
      <alignment horizontal="center" vertical="center"/>
    </xf>
    <xf numFmtId="0" fontId="50" fillId="50" borderId="0" xfId="52" applyFont="1" applyFill="1"/>
    <xf numFmtId="0" fontId="51" fillId="5" borderId="0" xfId="52" applyFont="1" applyFill="1"/>
    <xf numFmtId="0" fontId="49" fillId="50" borderId="0" xfId="52" quotePrefix="1" applyFont="1" applyFill="1" applyAlignment="1">
      <alignment horizontal="left" vertical="center" wrapText="1"/>
    </xf>
    <xf numFmtId="0" fontId="48" fillId="50" borderId="0" xfId="52" applyFont="1" applyFill="1" applyAlignment="1">
      <alignment horizontal="center" vertical="center"/>
    </xf>
    <xf numFmtId="0" fontId="48" fillId="50" borderId="0" xfId="52" applyFont="1" applyFill="1" applyAlignment="1">
      <alignment horizontal="right" vertical="center"/>
    </xf>
    <xf numFmtId="0" fontId="48" fillId="50" borderId="0" xfId="52" applyFont="1" applyFill="1" applyAlignment="1">
      <alignment horizontal="left" vertical="center"/>
    </xf>
    <xf numFmtId="0" fontId="48" fillId="50" borderId="0" xfId="52" applyFont="1" applyFill="1" applyAlignment="1">
      <alignment vertical="center"/>
    </xf>
    <xf numFmtId="3" fontId="47" fillId="5" borderId="0" xfId="52" applyNumberFormat="1" applyFont="1" applyFill="1"/>
    <xf numFmtId="3" fontId="47" fillId="50" borderId="0" xfId="52" applyNumberFormat="1" applyFont="1" applyFill="1" applyAlignment="1">
      <alignment horizontal="left"/>
    </xf>
    <xf numFmtId="3" fontId="47" fillId="50" borderId="0" xfId="52" applyNumberFormat="1" applyFont="1" applyFill="1" applyAlignment="1">
      <alignment horizontal="center"/>
    </xf>
    <xf numFmtId="0" fontId="34" fillId="5" borderId="0" xfId="50" applyFill="1"/>
    <xf numFmtId="3" fontId="47" fillId="50" borderId="0" xfId="52" applyNumberFormat="1" applyFont="1" applyFill="1" applyAlignment="1">
      <alignment horizontal="right"/>
    </xf>
    <xf numFmtId="0" fontId="47" fillId="50" borderId="0" xfId="52" applyFont="1" applyFill="1" applyAlignment="1">
      <alignment horizontal="left"/>
    </xf>
    <xf numFmtId="0" fontId="47" fillId="50" borderId="0" xfId="52" applyFont="1" applyFill="1" applyAlignment="1">
      <alignment horizontal="right"/>
    </xf>
    <xf numFmtId="0" fontId="34" fillId="53" borderId="13" xfId="50" applyFill="1" applyBorder="1" applyAlignment="1">
      <alignment horizontal="center"/>
    </xf>
    <xf numFmtId="168" fontId="34" fillId="54" borderId="32" xfId="50" applyNumberFormat="1" applyFill="1" applyBorder="1"/>
    <xf numFmtId="173" fontId="0" fillId="4" borderId="0" xfId="0" applyNumberFormat="1" applyFill="1"/>
    <xf numFmtId="178" fontId="34" fillId="0" borderId="0" xfId="50" applyNumberFormat="1"/>
    <xf numFmtId="168" fontId="0" fillId="0" borderId="21" xfId="0" applyNumberFormat="1" applyBorder="1"/>
    <xf numFmtId="0" fontId="49" fillId="50" borderId="0" xfId="52" quotePrefix="1" applyFont="1" applyFill="1" applyAlignment="1">
      <alignment horizontal="right" vertical="center" wrapText="1"/>
    </xf>
    <xf numFmtId="0" fontId="34" fillId="5" borderId="0" xfId="50" applyFill="1" applyAlignment="1">
      <alignment horizontal="right"/>
    </xf>
    <xf numFmtId="0" fontId="50" fillId="50" borderId="0" xfId="52" applyFont="1" applyFill="1" applyAlignment="1">
      <alignment horizontal="left"/>
    </xf>
    <xf numFmtId="177" fontId="0" fillId="0" borderId="0" xfId="51" applyNumberFormat="1" applyFont="1" applyAlignment="1">
      <alignment horizontal="center" vertical="center"/>
    </xf>
    <xf numFmtId="0" fontId="34" fillId="0" borderId="0" xfId="50" applyAlignment="1">
      <alignment horizontal="center" vertical="center"/>
    </xf>
    <xf numFmtId="179" fontId="0" fillId="0" borderId="0" xfId="55" applyNumberFormat="1" applyFont="1"/>
    <xf numFmtId="179" fontId="34" fillId="0" borderId="0" xfId="55" applyNumberFormat="1" applyFont="1"/>
    <xf numFmtId="0" fontId="34" fillId="0" borderId="29" xfId="50" applyBorder="1"/>
    <xf numFmtId="0" fontId="39" fillId="55" borderId="18" xfId="50" applyFont="1" applyFill="1" applyBorder="1"/>
    <xf numFmtId="0" fontId="39" fillId="55" borderId="29" xfId="50" applyFont="1" applyFill="1" applyBorder="1"/>
    <xf numFmtId="0" fontId="34" fillId="4" borderId="0" xfId="50" applyFill="1"/>
    <xf numFmtId="43" fontId="0" fillId="0" borderId="0" xfId="53" applyFont="1" applyFill="1"/>
    <xf numFmtId="180" fontId="0" fillId="0" borderId="0" xfId="53" applyNumberFormat="1" applyFont="1" applyFill="1"/>
    <xf numFmtId="1" fontId="34" fillId="0" borderId="0" xfId="50" applyNumberFormat="1"/>
    <xf numFmtId="0" fontId="52" fillId="4" borderId="0" xfId="50" applyFont="1" applyFill="1"/>
    <xf numFmtId="43" fontId="34" fillId="0" borderId="0" xfId="53" applyFont="1" applyFill="1"/>
    <xf numFmtId="180" fontId="53" fillId="0" borderId="0" xfId="53" applyNumberFormat="1" applyFont="1" applyFill="1"/>
    <xf numFmtId="1" fontId="0" fillId="0" borderId="0" xfId="53" applyNumberFormat="1" applyFont="1" applyFill="1"/>
    <xf numFmtId="0" fontId="54" fillId="0" borderId="0" xfId="50" applyFont="1"/>
    <xf numFmtId="0" fontId="54" fillId="4" borderId="0" xfId="50" applyFont="1" applyFill="1"/>
    <xf numFmtId="43" fontId="54" fillId="0" borderId="0" xfId="53" applyFont="1" applyFill="1"/>
    <xf numFmtId="43" fontId="0" fillId="0" borderId="42" xfId="53" applyFont="1" applyFill="1" applyBorder="1"/>
    <xf numFmtId="168" fontId="0" fillId="0" borderId="42" xfId="53" applyNumberFormat="1" applyFont="1" applyFill="1" applyBorder="1"/>
    <xf numFmtId="180" fontId="0" fillId="0" borderId="42" xfId="53" applyNumberFormat="1" applyFont="1" applyFill="1" applyBorder="1"/>
    <xf numFmtId="0" fontId="34" fillId="0" borderId="42" xfId="50" applyBorder="1"/>
    <xf numFmtId="43" fontId="0" fillId="4" borderId="0" xfId="53" applyFont="1" applyFill="1"/>
    <xf numFmtId="180" fontId="0" fillId="4" borderId="0" xfId="53" applyNumberFormat="1" applyFont="1" applyFill="1"/>
    <xf numFmtId="0" fontId="34" fillId="4" borderId="18" xfId="50" applyFill="1" applyBorder="1"/>
    <xf numFmtId="0" fontId="34" fillId="4" borderId="28" xfId="50" applyFill="1" applyBorder="1"/>
    <xf numFmtId="181" fontId="34" fillId="0" borderId="0" xfId="53" applyNumberFormat="1" applyFont="1" applyFill="1"/>
    <xf numFmtId="0" fontId="34" fillId="0" borderId="43" xfId="50" applyBorder="1"/>
    <xf numFmtId="0" fontId="34" fillId="0" borderId="44" xfId="50" applyBorder="1"/>
    <xf numFmtId="0" fontId="34" fillId="0" borderId="45" xfId="50" applyBorder="1"/>
    <xf numFmtId="0" fontId="34" fillId="0" borderId="46" xfId="50" applyBorder="1"/>
    <xf numFmtId="0" fontId="34" fillId="0" borderId="47" xfId="50" applyBorder="1"/>
    <xf numFmtId="0" fontId="34" fillId="0" borderId="48" xfId="50" applyBorder="1"/>
    <xf numFmtId="4" fontId="0" fillId="0" borderId="0" xfId="51" applyNumberFormat="1" applyFont="1"/>
    <xf numFmtId="4" fontId="0" fillId="0" borderId="0" xfId="55" applyNumberFormat="1" applyFont="1"/>
    <xf numFmtId="4" fontId="34" fillId="0" borderId="0" xfId="50" applyNumberFormat="1"/>
    <xf numFmtId="182" fontId="0" fillId="0" borderId="0" xfId="55" applyNumberFormat="1" applyFont="1"/>
    <xf numFmtId="182" fontId="34" fillId="0" borderId="0" xfId="55" applyNumberFormat="1" applyFont="1"/>
    <xf numFmtId="168" fontId="0" fillId="0" borderId="0" xfId="53" applyNumberFormat="1" applyFont="1" applyFill="1" applyBorder="1"/>
    <xf numFmtId="168" fontId="34" fillId="0" borderId="50" xfId="50" applyNumberFormat="1" applyBorder="1"/>
    <xf numFmtId="173" fontId="34" fillId="0" borderId="50" xfId="50" applyNumberFormat="1" applyBorder="1"/>
    <xf numFmtId="183" fontId="34" fillId="0" borderId="0" xfId="50" applyNumberFormat="1"/>
    <xf numFmtId="168" fontId="32" fillId="0" borderId="13" xfId="0" applyNumberFormat="1" applyFont="1" applyBorder="1"/>
    <xf numFmtId="168" fontId="0" fillId="0" borderId="0" xfId="53" applyNumberFormat="1" applyFont="1" applyFill="1"/>
    <xf numFmtId="2" fontId="0" fillId="0" borderId="0" xfId="53" applyNumberFormat="1" applyFont="1" applyFill="1"/>
    <xf numFmtId="184" fontId="0" fillId="0" borderId="0" xfId="53" applyNumberFormat="1" applyFont="1" applyFill="1"/>
    <xf numFmtId="185" fontId="0" fillId="0" borderId="0" xfId="53" applyNumberFormat="1" applyFont="1" applyFill="1"/>
    <xf numFmtId="0" fontId="46" fillId="48" borderId="40" xfId="50" applyFont="1" applyFill="1" applyBorder="1" applyAlignment="1">
      <alignment horizontal="center" wrapText="1"/>
    </xf>
    <xf numFmtId="0" fontId="46" fillId="48" borderId="41" xfId="50" applyFont="1" applyFill="1" applyBorder="1" applyAlignment="1">
      <alignment horizontal="center" wrapText="1"/>
    </xf>
    <xf numFmtId="0" fontId="39" fillId="0" borderId="18" xfId="50" applyFont="1" applyBorder="1" applyAlignment="1">
      <alignment horizontal="left" vertical="center"/>
    </xf>
    <xf numFmtId="0" fontId="39" fillId="0" borderId="28" xfId="50" applyFont="1" applyBorder="1" applyAlignment="1">
      <alignment horizontal="left" vertical="center"/>
    </xf>
    <xf numFmtId="0" fontId="39" fillId="0" borderId="29" xfId="50" applyFont="1" applyBorder="1" applyAlignment="1">
      <alignment horizontal="left" vertical="center"/>
    </xf>
    <xf numFmtId="0" fontId="34" fillId="47" borderId="18" xfId="50" applyFill="1" applyBorder="1" applyAlignment="1">
      <alignment horizontal="center"/>
    </xf>
    <xf numFmtId="0" fontId="34" fillId="47" borderId="28" xfId="50" applyFill="1" applyBorder="1" applyAlignment="1">
      <alignment horizontal="center"/>
    </xf>
    <xf numFmtId="0" fontId="34" fillId="47" borderId="29" xfId="50" applyFill="1" applyBorder="1" applyAlignment="1">
      <alignment horizontal="center"/>
    </xf>
    <xf numFmtId="0" fontId="46" fillId="48" borderId="31" xfId="50" applyFont="1" applyFill="1" applyBorder="1" applyAlignment="1">
      <alignment horizontal="center" vertical="center" wrapText="1"/>
    </xf>
    <xf numFmtId="0" fontId="46" fillId="48" borderId="49" xfId="50" applyFont="1" applyFill="1" applyBorder="1" applyAlignment="1">
      <alignment horizontal="center" vertical="center" wrapText="1"/>
    </xf>
    <xf numFmtId="0" fontId="55" fillId="41" borderId="32" xfId="50" applyFont="1" applyFill="1" applyBorder="1" applyAlignment="1">
      <alignment horizontal="center" vertical="center" wrapText="1"/>
    </xf>
    <xf numFmtId="0" fontId="55" fillId="41" borderId="35" xfId="50" applyFont="1" applyFill="1" applyBorder="1" applyAlignment="1">
      <alignment horizontal="center" vertical="center" wrapText="1"/>
    </xf>
    <xf numFmtId="0" fontId="54" fillId="0" borderId="0" xfId="50" applyFont="1" applyAlignment="1">
      <alignment horizontal="center"/>
    </xf>
    <xf numFmtId="0" fontId="48" fillId="50" borderId="18" xfId="52" quotePrefix="1" applyFont="1" applyFill="1" applyBorder="1" applyAlignment="1">
      <alignment horizontal="left" vertical="center"/>
    </xf>
    <xf numFmtId="0" fontId="48" fillId="50" borderId="28" xfId="52" quotePrefix="1" applyFont="1" applyFill="1" applyBorder="1" applyAlignment="1">
      <alignment horizontal="left" vertical="center"/>
    </xf>
    <xf numFmtId="0" fontId="48" fillId="50" borderId="29" xfId="52" quotePrefix="1" applyFont="1" applyFill="1" applyBorder="1" applyAlignment="1">
      <alignment horizontal="left" vertical="center"/>
    </xf>
  </cellXfs>
  <cellStyles count="5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Bold" xfId="47" xr:uid="{00000000-0005-0000-0000-000019000000}"/>
    <cellStyle name="Calculation" xfId="12" builtinId="22" customBuiltin="1"/>
    <cellStyle name="Check Cell" xfId="14" builtinId="23" customBuiltin="1"/>
    <cellStyle name="Comma" xfId="55" builtinId="3"/>
    <cellStyle name="Comma 2" xfId="53" xr:uid="{00000000-0005-0000-0000-00001D000000}"/>
    <cellStyle name="Currency" xfId="1" builtinId="4"/>
    <cellStyle name="Currency 2" xfId="51" xr:uid="{00000000-0005-0000-0000-00001F000000}"/>
    <cellStyle name="Data" xfId="44" xr:uid="{00000000-0005-0000-0000-000020000000}"/>
    <cellStyle name="Explanatory Text" xfId="17" builtinId="53" customBuiltin="1"/>
    <cellStyle name="Good" xfId="7" builtinId="26" customBuiltin="1"/>
    <cellStyle name="Header" xfId="45" xr:uid="{00000000-0005-0000-0000-000023000000}"/>
    <cellStyle name="HeaderHyperlink" xfId="46" xr:uid="{00000000-0005-0000-0000-000024000000}"/>
    <cellStyle name="Heading 1" xfId="3" builtinId="16" customBuiltin="1"/>
    <cellStyle name="Heading 2" xfId="4" builtinId="17" customBuiltin="1"/>
    <cellStyle name="Heading 3" xfId="5" builtinId="18" customBuiltin="1"/>
    <cellStyle name="Heading 4" xfId="6" builtinId="19" customBuiltin="1"/>
    <cellStyle name="Hyperlink" xfId="54" builtinId="8"/>
    <cellStyle name="Input" xfId="10" builtinId="20" customBuiltin="1"/>
    <cellStyle name="Linked Cell" xfId="13" builtinId="24" customBuiltin="1"/>
    <cellStyle name="Neutral" xfId="9" builtinId="28" customBuiltin="1"/>
    <cellStyle name="Normal" xfId="0" builtinId="0"/>
    <cellStyle name="Normal 2" xfId="43" xr:uid="{00000000-0005-0000-0000-00002E000000}"/>
    <cellStyle name="Normal 2 2" xfId="50" xr:uid="{00000000-0005-0000-0000-00002F000000}"/>
    <cellStyle name="Normal 2 3" xfId="52" xr:uid="{00000000-0005-0000-0000-000030000000}"/>
    <cellStyle name="Note" xfId="16" builtinId="10" customBuiltin="1"/>
    <cellStyle name="Output" xfId="11" builtinId="21" customBuiltin="1"/>
    <cellStyle name="Percent" xfId="49" builtinId="5"/>
    <cellStyle name="Title" xfId="2" builtinId="15" customBuiltin="1"/>
    <cellStyle name="Total" xfId="18" builtinId="25" customBuiltin="1"/>
    <cellStyle name="Warning Text" xfId="15" builtinId="11" customBuiltin="1"/>
    <cellStyle name="WordWrap" xfId="48" xr:uid="{00000000-0005-0000-0000-000037000000}"/>
  </cellStyles>
  <dxfs count="90">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theme="5" tint="0.59996337778862885"/>
        </patternFill>
      </fill>
    </dxf>
    <dxf>
      <fill>
        <patternFill>
          <bgColor rgb="FFFFDF79"/>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DF79"/>
        </patternFill>
      </fill>
    </dxf>
    <dxf>
      <fill>
        <patternFill>
          <bgColor theme="5" tint="0.59996337778862885"/>
        </patternFill>
      </fill>
    </dxf>
    <dxf>
      <font>
        <color auto="1"/>
      </font>
      <fill>
        <patternFill>
          <bgColor theme="5" tint="0.59996337778862885"/>
        </patternFill>
      </fill>
    </dxf>
    <dxf>
      <font>
        <color auto="1"/>
      </font>
      <fill>
        <patternFill>
          <bgColor theme="5" tint="0.59996337778862885"/>
        </patternFill>
      </fill>
    </dxf>
    <dxf>
      <fill>
        <patternFill>
          <bgColor rgb="FFFFDF79"/>
        </patternFill>
      </fill>
    </dxf>
    <dxf>
      <fill>
        <patternFill>
          <bgColor rgb="FFFFDF79"/>
        </patternFill>
      </fill>
    </dxf>
    <dxf>
      <fill>
        <patternFill>
          <bgColor theme="5" tint="0.59996337778862885"/>
        </patternFill>
      </fill>
    </dxf>
    <dxf>
      <fill>
        <patternFill>
          <bgColor theme="5" tint="0.59996337778862885"/>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ill>
        <patternFill>
          <bgColor rgb="FFFFDF79"/>
        </patternFill>
      </fill>
    </dxf>
    <dxf>
      <fill>
        <patternFill>
          <bgColor theme="5" tint="0.59996337778862885"/>
        </patternFill>
      </fill>
    </dxf>
    <dxf>
      <fill>
        <patternFill>
          <bgColor rgb="FFFFDF79"/>
        </patternFill>
      </fill>
    </dxf>
    <dxf>
      <fill>
        <patternFill>
          <bgColor theme="5" tint="0.59996337778862885"/>
        </patternFill>
      </fill>
    </dxf>
    <dxf>
      <fill>
        <patternFill>
          <bgColor rgb="FFFFDF79"/>
        </patternFill>
      </fill>
    </dxf>
    <dxf>
      <font>
        <color auto="1"/>
      </font>
      <fill>
        <patternFill>
          <bgColor theme="5" tint="0.59996337778862885"/>
        </patternFill>
      </fill>
    </dxf>
    <dxf>
      <fill>
        <patternFill>
          <bgColor theme="5" tint="0.59996337778862885"/>
        </patternFill>
      </fill>
    </dxf>
    <dxf>
      <fill>
        <patternFill>
          <bgColor rgb="FFFFDF79"/>
        </patternFill>
      </fill>
    </dxf>
    <dxf>
      <font>
        <color auto="1"/>
      </font>
      <fill>
        <patternFill>
          <bgColor theme="5" tint="0.59996337778862885"/>
        </patternFill>
      </fill>
    </dxf>
    <dxf>
      <fill>
        <patternFill>
          <bgColor theme="5" tint="0.59996337778862885"/>
        </patternFill>
      </fill>
    </dxf>
    <dxf>
      <fill>
        <patternFill>
          <bgColor rgb="FFFFDF79"/>
        </patternFill>
      </fill>
    </dxf>
    <dxf>
      <fill>
        <patternFill>
          <bgColor rgb="FFFFDF79"/>
        </patternFill>
      </fill>
    </dxf>
    <dxf>
      <fill>
        <patternFill>
          <bgColor rgb="FFFFDF79"/>
        </patternFill>
      </fill>
    </dxf>
    <dxf>
      <fill>
        <patternFill>
          <bgColor rgb="FFFFDF79"/>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auto="1"/>
      </font>
      <fill>
        <patternFill>
          <bgColor theme="5" tint="0.59996337778862885"/>
        </patternFill>
      </fill>
    </dxf>
    <dxf>
      <fill>
        <patternFill>
          <bgColor rgb="FFFFDF79"/>
        </patternFill>
      </fill>
    </dxf>
    <dxf>
      <fill>
        <patternFill>
          <bgColor rgb="FFFFDF79"/>
        </patternFill>
      </fill>
    </dxf>
    <dxf>
      <fill>
        <patternFill>
          <bgColor rgb="FFFFDF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2.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1.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5.xml"/><Relationship Id="rId30" Type="http://schemas.openxmlformats.org/officeDocument/2006/relationships/theme" Target="theme/theme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Cost-effectiveness plane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Output!$A$15</c:f>
              <c:strCache>
                <c:ptCount val="1"/>
                <c:pt idx="0">
                  <c:v>Threshold</c:v>
                </c:pt>
              </c:strCache>
            </c:strRef>
          </c:tx>
          <c:spPr>
            <a:ln w="2540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19050" cap="rnd">
                <a:solidFill>
                  <a:schemeClr val="accent1"/>
                </a:solidFill>
                <a:round/>
              </a:ln>
              <a:effectLst/>
            </c:spPr>
            <c:extLst>
              <c:ext xmlns:c16="http://schemas.microsoft.com/office/drawing/2014/chart" uri="{C3380CC4-5D6E-409C-BE32-E72D297353CC}">
                <c16:uniqueId val="{00000000-1357-4884-8EDC-0EE1784E997C}"/>
              </c:ext>
            </c:extLst>
          </c:dPt>
          <c:xVal>
            <c:numRef>
              <c:f>Output!$C$15</c:f>
              <c:numCache>
                <c:formatCode>General</c:formatCode>
                <c:ptCount val="1"/>
                <c:pt idx="0">
                  <c:v>1</c:v>
                </c:pt>
              </c:numCache>
            </c:numRef>
          </c:xVal>
          <c:yVal>
            <c:numRef>
              <c:f>Output!$B$15</c:f>
              <c:numCache>
                <c:formatCode>General</c:formatCode>
                <c:ptCount val="1"/>
                <c:pt idx="0">
                  <c:v>38500</c:v>
                </c:pt>
              </c:numCache>
            </c:numRef>
          </c:yVal>
          <c:smooth val="0"/>
          <c:extLst>
            <c:ext xmlns:c16="http://schemas.microsoft.com/office/drawing/2014/chart" uri="{C3380CC4-5D6E-409C-BE32-E72D297353CC}">
              <c16:uniqueId val="{00000000-7761-4DDA-96B5-826085EF8BB9}"/>
            </c:ext>
          </c:extLst>
        </c:ser>
        <c:ser>
          <c:idx val="1"/>
          <c:order val="1"/>
          <c:tx>
            <c:strRef>
              <c:f>Output!$A$16</c:f>
              <c:strCache>
                <c:ptCount val="1"/>
                <c:pt idx="0">
                  <c:v>ICER</c:v>
                </c:pt>
              </c:strCache>
            </c:strRef>
          </c:tx>
          <c:spPr>
            <a:ln w="25400" cap="rnd">
              <a:solidFill>
                <a:schemeClr val="accent2"/>
              </a:solidFill>
              <a:round/>
            </a:ln>
            <a:effectLst/>
          </c:spPr>
          <c:marker>
            <c:symbol val="circle"/>
            <c:size val="5"/>
            <c:spPr>
              <a:solidFill>
                <a:schemeClr val="accent2"/>
              </a:solidFill>
              <a:ln w="9525">
                <a:solidFill>
                  <a:schemeClr val="accent2"/>
                </a:solidFill>
              </a:ln>
              <a:effectLst/>
            </c:spPr>
          </c:marker>
          <c:xVal>
            <c:numRef>
              <c:f>Output!$C$16</c:f>
              <c:numCache>
                <c:formatCode>General</c:formatCode>
                <c:ptCount val="1"/>
                <c:pt idx="0">
                  <c:v>1</c:v>
                </c:pt>
              </c:numCache>
            </c:numRef>
          </c:xVal>
          <c:yVal>
            <c:numRef>
              <c:f>Output!$B$16</c:f>
              <c:numCache>
                <c:formatCode>"R"#,##0</c:formatCode>
                <c:ptCount val="1"/>
                <c:pt idx="0">
                  <c:v>-240790.60632569823</c:v>
                </c:pt>
              </c:numCache>
            </c:numRef>
          </c:yVal>
          <c:smooth val="0"/>
          <c:extLst>
            <c:ext xmlns:c16="http://schemas.microsoft.com/office/drawing/2014/chart" uri="{C3380CC4-5D6E-409C-BE32-E72D297353CC}">
              <c16:uniqueId val="{00000001-7761-4DDA-96B5-826085EF8BB9}"/>
            </c:ext>
          </c:extLst>
        </c:ser>
        <c:ser>
          <c:idx val="2"/>
          <c:order val="2"/>
          <c:tx>
            <c:strRef>
              <c:f>Output!$A$17</c:f>
              <c:strCache>
                <c:ptCount val="1"/>
                <c:pt idx="0">
                  <c:v>Per person</c:v>
                </c:pt>
              </c:strCache>
            </c:strRef>
          </c:tx>
          <c:spPr>
            <a:ln w="25400" cap="rnd">
              <a:solidFill>
                <a:schemeClr val="accent6">
                  <a:alpha val="97000"/>
                </a:schemeClr>
              </a:solidFill>
              <a:round/>
            </a:ln>
            <a:effectLst>
              <a:outerShdw blurRad="50800" dist="50800" dir="5400000" algn="ctr" rotWithShape="0">
                <a:schemeClr val="bg1"/>
              </a:outerShdw>
            </a:effectLst>
          </c:spPr>
          <c:marker>
            <c:symbol val="circle"/>
            <c:size val="5"/>
            <c:spPr>
              <a:solidFill>
                <a:schemeClr val="accent6"/>
              </a:solidFill>
              <a:ln w="9525">
                <a:solidFill>
                  <a:schemeClr val="accent3"/>
                </a:solidFill>
              </a:ln>
              <a:effectLst>
                <a:outerShdw blurRad="50800" dist="50800" dir="5400000" algn="ctr" rotWithShape="0">
                  <a:schemeClr val="bg1"/>
                </a:outerShdw>
              </a:effectLst>
            </c:spPr>
          </c:marker>
          <c:xVal>
            <c:numRef>
              <c:f>Output!$C$17</c:f>
              <c:numCache>
                <c:formatCode>0.0000</c:formatCode>
                <c:ptCount val="1"/>
                <c:pt idx="0">
                  <c:v>0.1294652165967658</c:v>
                </c:pt>
              </c:numCache>
            </c:numRef>
          </c:xVal>
          <c:yVal>
            <c:numRef>
              <c:f>Output!$B$17</c:f>
              <c:numCache>
                <c:formatCode>"R"#,##0.00</c:formatCode>
                <c:ptCount val="1"/>
                <c:pt idx="0">
                  <c:v>-31174.008002423085</c:v>
                </c:pt>
              </c:numCache>
            </c:numRef>
          </c:yVal>
          <c:smooth val="0"/>
          <c:extLst>
            <c:ext xmlns:c16="http://schemas.microsoft.com/office/drawing/2014/chart" uri="{C3380CC4-5D6E-409C-BE32-E72D297353CC}">
              <c16:uniqueId val="{00000000-D2DA-47E8-936E-3A736B9BFCC6}"/>
            </c:ext>
          </c:extLst>
        </c:ser>
        <c:dLbls>
          <c:showLegendKey val="0"/>
          <c:showVal val="0"/>
          <c:showCatName val="0"/>
          <c:showSerName val="0"/>
          <c:showPercent val="0"/>
          <c:showBubbleSize val="0"/>
        </c:dLbls>
        <c:axId val="774169967"/>
        <c:axId val="774167887"/>
      </c:scatterChart>
      <c:valAx>
        <c:axId val="7741699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DALYs averted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167887"/>
        <c:crosses val="autoZero"/>
        <c:crossBetween val="midCat"/>
      </c:valAx>
      <c:valAx>
        <c:axId val="7741678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costs</a:t>
                </a:r>
              </a:p>
            </c:rich>
          </c:tx>
          <c:layout>
            <c:manualLayout>
              <c:xMode val="edge"/>
              <c:yMode val="edge"/>
              <c:x val="2.7777777777777776E-2"/>
              <c:y val="0.4317475940507436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16996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10" b="0" i="0" u="none" strike="noStrike" baseline="0">
                <a:solidFill>
                  <a:srgbClr val="000000"/>
                </a:solidFill>
                <a:latin typeface="Arial"/>
                <a:ea typeface="Arial"/>
                <a:cs typeface="Arial"/>
              </a:defRPr>
            </a:pPr>
            <a:r>
              <a:rPr lang="en-US"/>
              <a:t>Pregnancy grant</a:t>
            </a:r>
          </a:p>
        </c:rich>
      </c:tx>
      <c:overlay val="0"/>
    </c:title>
    <c:autoTitleDeleted val="0"/>
    <c:plotArea>
      <c:layout>
        <c:manualLayout>
          <c:layoutTarget val="inner"/>
          <c:xMode val="edge"/>
          <c:yMode val="edge"/>
          <c:x val="0.19211213031742533"/>
          <c:y val="4.4045676998368678E-2"/>
          <c:w val="0.680251909897433"/>
          <c:h val="0.78303425774877655"/>
        </c:manualLayout>
      </c:layout>
      <c:scatterChart>
        <c:scatterStyle val="lineMarker"/>
        <c:varyColors val="0"/>
        <c:ser>
          <c:idx val="1"/>
          <c:order val="0"/>
          <c:tx>
            <c:v>PSG</c:v>
          </c:tx>
          <c:spPr>
            <a:ln w="28575">
              <a:noFill/>
            </a:ln>
          </c:spPr>
          <c:marker>
            <c:symbol val="circle"/>
            <c:size val="5"/>
            <c:spPr>
              <a:solidFill>
                <a:srgbClr val="FFFFFF"/>
              </a:solidFill>
              <a:ln>
                <a:solidFill>
                  <a:srgbClr val="008000"/>
                </a:solidFill>
                <a:prstDash val="solid"/>
              </a:ln>
            </c:spPr>
          </c:marker>
          <c:xVal>
            <c:numRef>
              <c:f>Simulation!$G$6:$G$1005</c:f>
              <c:numCache>
                <c:formatCode>0.00_ ;\-0.00\ </c:formatCode>
                <c:ptCount val="1000"/>
                <c:pt idx="0">
                  <c:v>-0.13777445732439553</c:v>
                </c:pt>
                <c:pt idx="1">
                  <c:v>-0.24428781485218154</c:v>
                </c:pt>
                <c:pt idx="2">
                  <c:v>-0.18501575467934095</c:v>
                </c:pt>
                <c:pt idx="3">
                  <c:v>-7.9740545139537877E-2</c:v>
                </c:pt>
                <c:pt idx="4">
                  <c:v>-0.15249206005811833</c:v>
                </c:pt>
                <c:pt idx="5">
                  <c:v>-7.8604520164835323E-2</c:v>
                </c:pt>
                <c:pt idx="6">
                  <c:v>-0.19235912994859117</c:v>
                </c:pt>
                <c:pt idx="7">
                  <c:v>-0.18538839876326452</c:v>
                </c:pt>
                <c:pt idx="8">
                  <c:v>-0.17739845772664053</c:v>
                </c:pt>
                <c:pt idx="9">
                  <c:v>-0.1224425048681288</c:v>
                </c:pt>
                <c:pt idx="10">
                  <c:v>-7.9909811320093338E-2</c:v>
                </c:pt>
                <c:pt idx="11">
                  <c:v>-0.14416399808466696</c:v>
                </c:pt>
                <c:pt idx="12">
                  <c:v>-0.18385600571952532</c:v>
                </c:pt>
                <c:pt idx="13">
                  <c:v>-0.12415286555407534</c:v>
                </c:pt>
                <c:pt idx="14">
                  <c:v>-3.278567930974341E-2</c:v>
                </c:pt>
                <c:pt idx="15">
                  <c:v>-7.4473252383987942E-2</c:v>
                </c:pt>
                <c:pt idx="16">
                  <c:v>-0.14668598690275558</c:v>
                </c:pt>
                <c:pt idx="17">
                  <c:v>-0.18351024393765991</c:v>
                </c:pt>
                <c:pt idx="18">
                  <c:v>-4.5520721735867076E-2</c:v>
                </c:pt>
                <c:pt idx="19">
                  <c:v>-0.28364172255718278</c:v>
                </c:pt>
                <c:pt idx="20">
                  <c:v>-0.2024947362882028</c:v>
                </c:pt>
                <c:pt idx="21">
                  <c:v>-0.16075797668738545</c:v>
                </c:pt>
                <c:pt idx="22">
                  <c:v>-0.21709658664690523</c:v>
                </c:pt>
                <c:pt idx="23">
                  <c:v>-6.8095848541175896E-2</c:v>
                </c:pt>
                <c:pt idx="24">
                  <c:v>-7.2060171778954185E-2</c:v>
                </c:pt>
                <c:pt idx="25">
                  <c:v>-0.22353789189757323</c:v>
                </c:pt>
                <c:pt idx="26">
                  <c:v>-0.17617875196260413</c:v>
                </c:pt>
                <c:pt idx="27">
                  <c:v>-0.12363847039192855</c:v>
                </c:pt>
                <c:pt idx="28">
                  <c:v>-1.023842357865612E-2</c:v>
                </c:pt>
                <c:pt idx="29">
                  <c:v>-0.21089569706860312</c:v>
                </c:pt>
                <c:pt idx="30">
                  <c:v>-0.17080386269713022</c:v>
                </c:pt>
                <c:pt idx="31">
                  <c:v>-8.9627399308732869E-2</c:v>
                </c:pt>
                <c:pt idx="32">
                  <c:v>-0.12049398498742447</c:v>
                </c:pt>
                <c:pt idx="33">
                  <c:v>-5.314320496506908E-2</c:v>
                </c:pt>
                <c:pt idx="34">
                  <c:v>-0.17492151593411309</c:v>
                </c:pt>
                <c:pt idx="35">
                  <c:v>-0.10210331203217793</c:v>
                </c:pt>
                <c:pt idx="36">
                  <c:v>-8.6239125220902713E-2</c:v>
                </c:pt>
                <c:pt idx="37">
                  <c:v>-0.24803688200254737</c:v>
                </c:pt>
                <c:pt idx="38">
                  <c:v>-0.10743781708835076</c:v>
                </c:pt>
                <c:pt idx="39">
                  <c:v>-0.26121335480954277</c:v>
                </c:pt>
                <c:pt idx="40">
                  <c:v>-0.12148928277769055</c:v>
                </c:pt>
                <c:pt idx="41">
                  <c:v>-0.13066459846655398</c:v>
                </c:pt>
                <c:pt idx="42">
                  <c:v>-0.21394437498316821</c:v>
                </c:pt>
                <c:pt idx="43">
                  <c:v>-0.14440149836127625</c:v>
                </c:pt>
                <c:pt idx="44">
                  <c:v>-8.3797844644401653E-2</c:v>
                </c:pt>
                <c:pt idx="45">
                  <c:v>-0.12476589072561906</c:v>
                </c:pt>
                <c:pt idx="46">
                  <c:v>-0.18547718031173677</c:v>
                </c:pt>
                <c:pt idx="47">
                  <c:v>5.9371265288128416E-3</c:v>
                </c:pt>
                <c:pt idx="48">
                  <c:v>-0.27240566356571028</c:v>
                </c:pt>
                <c:pt idx="49">
                  <c:v>-0.20173162415744583</c:v>
                </c:pt>
                <c:pt idx="50">
                  <c:v>-0.13410559423033619</c:v>
                </c:pt>
                <c:pt idx="51">
                  <c:v>-0.22315470968522266</c:v>
                </c:pt>
                <c:pt idx="52">
                  <c:v>-0.17812645282900186</c:v>
                </c:pt>
                <c:pt idx="53">
                  <c:v>-6.2039613634061519E-2</c:v>
                </c:pt>
                <c:pt idx="54">
                  <c:v>-0.1729751111244644</c:v>
                </c:pt>
                <c:pt idx="55">
                  <c:v>-9.0671753643102759E-2</c:v>
                </c:pt>
                <c:pt idx="56">
                  <c:v>-0.23538881485327767</c:v>
                </c:pt>
                <c:pt idx="57">
                  <c:v>-0.11037505337041686</c:v>
                </c:pt>
                <c:pt idx="58">
                  <c:v>-6.4814634557909701E-2</c:v>
                </c:pt>
                <c:pt idx="59">
                  <c:v>-0.17944566836192166</c:v>
                </c:pt>
                <c:pt idx="60">
                  <c:v>5.0788245997113846E-2</c:v>
                </c:pt>
                <c:pt idx="61">
                  <c:v>-9.9820712070526785E-2</c:v>
                </c:pt>
                <c:pt idx="62">
                  <c:v>1.0886495455051604E-2</c:v>
                </c:pt>
                <c:pt idx="63">
                  <c:v>-0.19435975031165653</c:v>
                </c:pt>
                <c:pt idx="64">
                  <c:v>-0.1018478394884208</c:v>
                </c:pt>
                <c:pt idx="65">
                  <c:v>-0.15980639023908416</c:v>
                </c:pt>
                <c:pt idx="66">
                  <c:v>-7.4476922494165598E-2</c:v>
                </c:pt>
                <c:pt idx="67">
                  <c:v>-0.15245337947177706</c:v>
                </c:pt>
                <c:pt idx="68">
                  <c:v>-5.4619715905084409E-2</c:v>
                </c:pt>
                <c:pt idx="69">
                  <c:v>-8.9218590842693013E-2</c:v>
                </c:pt>
                <c:pt idx="70">
                  <c:v>-0.10665865499611948</c:v>
                </c:pt>
                <c:pt idx="71">
                  <c:v>-0.1185008598995243</c:v>
                </c:pt>
                <c:pt idx="72">
                  <c:v>-4.7578676815684062E-2</c:v>
                </c:pt>
                <c:pt idx="73">
                  <c:v>-0.2254356268540687</c:v>
                </c:pt>
                <c:pt idx="74">
                  <c:v>-0.18945149130244077</c:v>
                </c:pt>
                <c:pt idx="75">
                  <c:v>-0.19232111703132504</c:v>
                </c:pt>
                <c:pt idx="76">
                  <c:v>-0.14026761802257037</c:v>
                </c:pt>
                <c:pt idx="77">
                  <c:v>-0.14513158463039</c:v>
                </c:pt>
                <c:pt idx="78">
                  <c:v>-8.9570580099569197E-2</c:v>
                </c:pt>
                <c:pt idx="79">
                  <c:v>-0.11499683153892759</c:v>
                </c:pt>
                <c:pt idx="80">
                  <c:v>-2.4365669263375356E-3</c:v>
                </c:pt>
                <c:pt idx="81">
                  <c:v>-0.15034119894786957</c:v>
                </c:pt>
                <c:pt idx="82">
                  <c:v>-0.16625744340233195</c:v>
                </c:pt>
                <c:pt idx="83">
                  <c:v>-0.11582431285427841</c:v>
                </c:pt>
                <c:pt idx="84">
                  <c:v>-0.14498415004760634</c:v>
                </c:pt>
                <c:pt idx="85">
                  <c:v>-0.14177359479080809</c:v>
                </c:pt>
                <c:pt idx="86">
                  <c:v>-0.19708908262130254</c:v>
                </c:pt>
                <c:pt idx="87">
                  <c:v>-0.16771179267599878</c:v>
                </c:pt>
                <c:pt idx="88">
                  <c:v>-0.17766413691009608</c:v>
                </c:pt>
                <c:pt idx="89">
                  <c:v>-0.11291754462131276</c:v>
                </c:pt>
                <c:pt idx="90">
                  <c:v>-2.7860357128976609E-2</c:v>
                </c:pt>
                <c:pt idx="91">
                  <c:v>-3.4155614562946024E-2</c:v>
                </c:pt>
                <c:pt idx="92">
                  <c:v>-0.23457540792069942</c:v>
                </c:pt>
                <c:pt idx="93">
                  <c:v>-0.17132977266327476</c:v>
                </c:pt>
                <c:pt idx="94">
                  <c:v>-0.14702753744015584</c:v>
                </c:pt>
                <c:pt idx="95">
                  <c:v>-0.14585835270191549</c:v>
                </c:pt>
                <c:pt idx="96">
                  <c:v>1.9871190192330968E-3</c:v>
                </c:pt>
                <c:pt idx="97">
                  <c:v>-0.25079265901714454</c:v>
                </c:pt>
                <c:pt idx="98">
                  <c:v>-0.11655776648416416</c:v>
                </c:pt>
                <c:pt idx="99">
                  <c:v>-0.19908771110629786</c:v>
                </c:pt>
                <c:pt idx="100">
                  <c:v>-0.16780133130951613</c:v>
                </c:pt>
                <c:pt idx="101">
                  <c:v>-0.25370610294641471</c:v>
                </c:pt>
                <c:pt idx="102">
                  <c:v>-0.11217157558593827</c:v>
                </c:pt>
                <c:pt idx="103">
                  <c:v>-1.8957898670806106E-3</c:v>
                </c:pt>
                <c:pt idx="104">
                  <c:v>-0.16548289236146763</c:v>
                </c:pt>
                <c:pt idx="105">
                  <c:v>-0.12131424840862426</c:v>
                </c:pt>
                <c:pt idx="106">
                  <c:v>-5.3526824435011111E-2</c:v>
                </c:pt>
                <c:pt idx="107">
                  <c:v>2.9612121856851914E-2</c:v>
                </c:pt>
                <c:pt idx="108">
                  <c:v>-5.4388375855179527E-2</c:v>
                </c:pt>
                <c:pt idx="109">
                  <c:v>-0.20426568984040561</c:v>
                </c:pt>
                <c:pt idx="110">
                  <c:v>-0.11118913102432226</c:v>
                </c:pt>
                <c:pt idx="111">
                  <c:v>-0.12462460025610911</c:v>
                </c:pt>
                <c:pt idx="112">
                  <c:v>-0.19447128552795689</c:v>
                </c:pt>
                <c:pt idx="113">
                  <c:v>-0.19937904712837806</c:v>
                </c:pt>
                <c:pt idx="114">
                  <c:v>-0.14744802336615059</c:v>
                </c:pt>
                <c:pt idx="115">
                  <c:v>-0.17970283485571747</c:v>
                </c:pt>
                <c:pt idx="116">
                  <c:v>-0.1405048570929015</c:v>
                </c:pt>
                <c:pt idx="117">
                  <c:v>-0.10648412263394813</c:v>
                </c:pt>
                <c:pt idx="118">
                  <c:v>-3.2637452301711445E-3</c:v>
                </c:pt>
                <c:pt idx="119">
                  <c:v>-8.7989473688325548E-2</c:v>
                </c:pt>
                <c:pt idx="120">
                  <c:v>-9.4571601401925554E-2</c:v>
                </c:pt>
                <c:pt idx="121">
                  <c:v>-3.8689300532375404E-2</c:v>
                </c:pt>
                <c:pt idx="122">
                  <c:v>-0.16779135530043576</c:v>
                </c:pt>
                <c:pt idx="123">
                  <c:v>1.1062405612054738E-2</c:v>
                </c:pt>
                <c:pt idx="124">
                  <c:v>-0.14029266870622403</c:v>
                </c:pt>
                <c:pt idx="125">
                  <c:v>-3.3321858106278857E-3</c:v>
                </c:pt>
                <c:pt idx="126">
                  <c:v>-0.1960482498349676</c:v>
                </c:pt>
                <c:pt idx="127">
                  <c:v>-7.5441414140640095E-2</c:v>
                </c:pt>
                <c:pt idx="128">
                  <c:v>-0.18216432789790749</c:v>
                </c:pt>
                <c:pt idx="129">
                  <c:v>-0.11248103746551141</c:v>
                </c:pt>
                <c:pt idx="130">
                  <c:v>-0.19401398991165841</c:v>
                </c:pt>
                <c:pt idx="131">
                  <c:v>-0.11505440725916771</c:v>
                </c:pt>
                <c:pt idx="132">
                  <c:v>-0.16127576386373343</c:v>
                </c:pt>
                <c:pt idx="133">
                  <c:v>-0.15576483508150463</c:v>
                </c:pt>
                <c:pt idx="134">
                  <c:v>-1.257507187146012E-2</c:v>
                </c:pt>
                <c:pt idx="135">
                  <c:v>-0.13782211091647945</c:v>
                </c:pt>
                <c:pt idx="136">
                  <c:v>-7.9390694350932156E-2</c:v>
                </c:pt>
                <c:pt idx="137">
                  <c:v>-3.613299221537547E-2</c:v>
                </c:pt>
                <c:pt idx="138">
                  <c:v>-0.15755960357470955</c:v>
                </c:pt>
                <c:pt idx="139">
                  <c:v>-0.1700876060670804</c:v>
                </c:pt>
                <c:pt idx="140">
                  <c:v>-0.19377646416457028</c:v>
                </c:pt>
                <c:pt idx="141">
                  <c:v>-9.7733061067042826E-2</c:v>
                </c:pt>
                <c:pt idx="142">
                  <c:v>-0.12322393047968871</c:v>
                </c:pt>
                <c:pt idx="143">
                  <c:v>3.852578565119158E-2</c:v>
                </c:pt>
                <c:pt idx="144">
                  <c:v>-5.9098589542926017E-2</c:v>
                </c:pt>
                <c:pt idx="145">
                  <c:v>-0.17503370232185622</c:v>
                </c:pt>
                <c:pt idx="146">
                  <c:v>-0.15733030842777196</c:v>
                </c:pt>
                <c:pt idx="147">
                  <c:v>-0.16889920344126819</c:v>
                </c:pt>
                <c:pt idx="148">
                  <c:v>-8.3134455388179207E-2</c:v>
                </c:pt>
                <c:pt idx="149">
                  <c:v>-6.3443699014771981E-2</c:v>
                </c:pt>
                <c:pt idx="150">
                  <c:v>1.804184279868748E-2</c:v>
                </c:pt>
                <c:pt idx="151">
                  <c:v>-9.7223939513549906E-2</c:v>
                </c:pt>
                <c:pt idx="152">
                  <c:v>-0.17578346729259309</c:v>
                </c:pt>
                <c:pt idx="153">
                  <c:v>-0.12138908470825105</c:v>
                </c:pt>
                <c:pt idx="154">
                  <c:v>-0.19912705469347514</c:v>
                </c:pt>
                <c:pt idx="155">
                  <c:v>-0.15605186832945117</c:v>
                </c:pt>
                <c:pt idx="156">
                  <c:v>-0.17359984221268765</c:v>
                </c:pt>
                <c:pt idx="157">
                  <c:v>-0.20997796533985613</c:v>
                </c:pt>
                <c:pt idx="158">
                  <c:v>-6.7894608466231743E-2</c:v>
                </c:pt>
                <c:pt idx="159">
                  <c:v>-0.10591629593945218</c:v>
                </c:pt>
                <c:pt idx="160">
                  <c:v>-9.8305533317643246E-2</c:v>
                </c:pt>
                <c:pt idx="161">
                  <c:v>-0.1409816447963117</c:v>
                </c:pt>
                <c:pt idx="162">
                  <c:v>-0.11280387896099953</c:v>
                </c:pt>
                <c:pt idx="163">
                  <c:v>-0.11738006975388204</c:v>
                </c:pt>
                <c:pt idx="164">
                  <c:v>-7.9009987469240928E-2</c:v>
                </c:pt>
                <c:pt idx="165">
                  <c:v>-0.16135210803848365</c:v>
                </c:pt>
                <c:pt idx="166">
                  <c:v>-0.17419615814664313</c:v>
                </c:pt>
                <c:pt idx="167">
                  <c:v>-0.14615469795198499</c:v>
                </c:pt>
                <c:pt idx="168">
                  <c:v>1.6279714700344394E-2</c:v>
                </c:pt>
                <c:pt idx="169">
                  <c:v>-0.27462628497823727</c:v>
                </c:pt>
                <c:pt idx="170">
                  <c:v>-7.1058359940505245E-2</c:v>
                </c:pt>
                <c:pt idx="171">
                  <c:v>-4.5088342498576628E-2</c:v>
                </c:pt>
                <c:pt idx="172">
                  <c:v>-0.15707498794510932</c:v>
                </c:pt>
                <c:pt idx="173">
                  <c:v>-0.12744427877085474</c:v>
                </c:pt>
                <c:pt idx="174">
                  <c:v>-4.295279049330758E-2</c:v>
                </c:pt>
                <c:pt idx="175">
                  <c:v>-0.1484366305953273</c:v>
                </c:pt>
                <c:pt idx="176">
                  <c:v>-0.19321643606536965</c:v>
                </c:pt>
                <c:pt idx="177">
                  <c:v>-0.16593364885149753</c:v>
                </c:pt>
                <c:pt idx="178">
                  <c:v>-8.6873332173917461E-2</c:v>
                </c:pt>
                <c:pt idx="179">
                  <c:v>-0.22731400414130998</c:v>
                </c:pt>
                <c:pt idx="180">
                  <c:v>-0.18115832629314976</c:v>
                </c:pt>
                <c:pt idx="181">
                  <c:v>-0.12532777203373513</c:v>
                </c:pt>
                <c:pt idx="182">
                  <c:v>-1.9126619438946113E-2</c:v>
                </c:pt>
                <c:pt idx="183">
                  <c:v>-0.11460123770743413</c:v>
                </c:pt>
                <c:pt idx="184">
                  <c:v>2.1907867825785798E-2</c:v>
                </c:pt>
                <c:pt idx="185">
                  <c:v>-9.4192821872279842E-2</c:v>
                </c:pt>
                <c:pt idx="186">
                  <c:v>-3.3479759629367445E-2</c:v>
                </c:pt>
                <c:pt idx="187">
                  <c:v>-9.0224211939806676E-2</c:v>
                </c:pt>
                <c:pt idx="188">
                  <c:v>-0.24011553721056256</c:v>
                </c:pt>
                <c:pt idx="189">
                  <c:v>-0.17187762506963122</c:v>
                </c:pt>
                <c:pt idx="190">
                  <c:v>-0.20254163697267469</c:v>
                </c:pt>
                <c:pt idx="191">
                  <c:v>-6.4628291332853527E-2</c:v>
                </c:pt>
                <c:pt idx="192">
                  <c:v>-0.12835060025275902</c:v>
                </c:pt>
                <c:pt idx="193">
                  <c:v>-0.11896840910721385</c:v>
                </c:pt>
                <c:pt idx="194">
                  <c:v>-0.10231104433541094</c:v>
                </c:pt>
                <c:pt idx="195">
                  <c:v>-0.22191094284936774</c:v>
                </c:pt>
                <c:pt idx="196">
                  <c:v>-3.0909373157063103E-2</c:v>
                </c:pt>
                <c:pt idx="197">
                  <c:v>-5.3856696298875129E-3</c:v>
                </c:pt>
                <c:pt idx="198">
                  <c:v>-0.12126486682175686</c:v>
                </c:pt>
                <c:pt idx="199">
                  <c:v>-9.9198667650068906E-2</c:v>
                </c:pt>
                <c:pt idx="200">
                  <c:v>-0.19115824408864279</c:v>
                </c:pt>
                <c:pt idx="201">
                  <c:v>-0.14061536389479024</c:v>
                </c:pt>
                <c:pt idx="202">
                  <c:v>-0.20624850351711443</c:v>
                </c:pt>
                <c:pt idx="203">
                  <c:v>-0.2165345870742259</c:v>
                </c:pt>
                <c:pt idx="204">
                  <c:v>-0.18698615432421817</c:v>
                </c:pt>
                <c:pt idx="205">
                  <c:v>-0.2391723247265265</c:v>
                </c:pt>
                <c:pt idx="206">
                  <c:v>-0.16481120589265208</c:v>
                </c:pt>
                <c:pt idx="207">
                  <c:v>-4.3321672539030409E-2</c:v>
                </c:pt>
                <c:pt idx="208">
                  <c:v>-0.10841339480888701</c:v>
                </c:pt>
                <c:pt idx="209">
                  <c:v>6.1486555026927014E-2</c:v>
                </c:pt>
                <c:pt idx="210">
                  <c:v>-4.80519893932565E-2</c:v>
                </c:pt>
                <c:pt idx="211">
                  <c:v>-0.11488607316812605</c:v>
                </c:pt>
                <c:pt idx="212">
                  <c:v>-0.15726370546418988</c:v>
                </c:pt>
                <c:pt idx="213">
                  <c:v>3.938676788508455E-2</c:v>
                </c:pt>
                <c:pt idx="214">
                  <c:v>-0.23662915710830412</c:v>
                </c:pt>
                <c:pt idx="215">
                  <c:v>-0.19205940357425333</c:v>
                </c:pt>
                <c:pt idx="216">
                  <c:v>-0.22062510997184837</c:v>
                </c:pt>
                <c:pt idx="217">
                  <c:v>-0.12610003608593501</c:v>
                </c:pt>
                <c:pt idx="218">
                  <c:v>-9.4274413091147258E-2</c:v>
                </c:pt>
                <c:pt idx="219">
                  <c:v>-0.10421609881949512</c:v>
                </c:pt>
                <c:pt idx="220">
                  <c:v>-0.16525919960061497</c:v>
                </c:pt>
                <c:pt idx="221">
                  <c:v>-2.1534115278699195E-2</c:v>
                </c:pt>
                <c:pt idx="222">
                  <c:v>-6.03368016018484E-2</c:v>
                </c:pt>
                <c:pt idx="223">
                  <c:v>-0.16296024767506423</c:v>
                </c:pt>
                <c:pt idx="224">
                  <c:v>-6.3408053000905351E-2</c:v>
                </c:pt>
                <c:pt idx="225">
                  <c:v>-0.10738459409742507</c:v>
                </c:pt>
                <c:pt idx="226">
                  <c:v>-8.828556830245271E-2</c:v>
                </c:pt>
                <c:pt idx="227">
                  <c:v>-0.15813625049588964</c:v>
                </c:pt>
                <c:pt idx="228">
                  <c:v>-0.11235827535942411</c:v>
                </c:pt>
                <c:pt idx="229">
                  <c:v>3.3141030474197031E-2</c:v>
                </c:pt>
                <c:pt idx="230">
                  <c:v>-0.21868512921784866</c:v>
                </c:pt>
                <c:pt idx="231">
                  <c:v>-0.15994661022728041</c:v>
                </c:pt>
                <c:pt idx="232">
                  <c:v>-0.11748486879033249</c:v>
                </c:pt>
                <c:pt idx="233">
                  <c:v>-9.5843188950459179E-2</c:v>
                </c:pt>
                <c:pt idx="234">
                  <c:v>-7.956123007857463E-2</c:v>
                </c:pt>
                <c:pt idx="235">
                  <c:v>-0.10502018761661858</c:v>
                </c:pt>
                <c:pt idx="236">
                  <c:v>-0.16132739854695366</c:v>
                </c:pt>
                <c:pt idx="237">
                  <c:v>-0.21857725231086156</c:v>
                </c:pt>
                <c:pt idx="238">
                  <c:v>-0.17133961304367684</c:v>
                </c:pt>
                <c:pt idx="239">
                  <c:v>-1.1998468105226978E-2</c:v>
                </c:pt>
                <c:pt idx="240">
                  <c:v>-0.13127533932808011</c:v>
                </c:pt>
                <c:pt idx="241">
                  <c:v>-0.20303609233113318</c:v>
                </c:pt>
                <c:pt idx="242">
                  <c:v>-0.19214946443444725</c:v>
                </c:pt>
                <c:pt idx="243">
                  <c:v>-0.21521115360520993</c:v>
                </c:pt>
                <c:pt idx="244">
                  <c:v>-0.1930519447467931</c:v>
                </c:pt>
                <c:pt idx="245">
                  <c:v>-5.9992972405905398E-2</c:v>
                </c:pt>
                <c:pt idx="246">
                  <c:v>-0.10318825666448483</c:v>
                </c:pt>
                <c:pt idx="247">
                  <c:v>-0.18018210217528463</c:v>
                </c:pt>
                <c:pt idx="248">
                  <c:v>-0.10345302161677705</c:v>
                </c:pt>
                <c:pt idx="249">
                  <c:v>-8.8505244774281344E-2</c:v>
                </c:pt>
                <c:pt idx="250">
                  <c:v>-0.20511303859370611</c:v>
                </c:pt>
                <c:pt idx="251">
                  <c:v>-0.18260237174711991</c:v>
                </c:pt>
                <c:pt idx="252">
                  <c:v>-9.3827996294429061E-2</c:v>
                </c:pt>
                <c:pt idx="253">
                  <c:v>-0.22078924588947402</c:v>
                </c:pt>
                <c:pt idx="254">
                  <c:v>-0.11783341907920908</c:v>
                </c:pt>
                <c:pt idx="255">
                  <c:v>-0.20098558748662476</c:v>
                </c:pt>
                <c:pt idx="256">
                  <c:v>-9.9279994286898265E-2</c:v>
                </c:pt>
                <c:pt idx="257">
                  <c:v>-0.18217760414522233</c:v>
                </c:pt>
                <c:pt idx="258">
                  <c:v>-0.1899601945761612</c:v>
                </c:pt>
                <c:pt idx="259">
                  <c:v>-0.10339404791804196</c:v>
                </c:pt>
                <c:pt idx="260">
                  <c:v>-0.11659724735496946</c:v>
                </c:pt>
                <c:pt idx="261">
                  <c:v>8.7575702395712218E-2</c:v>
                </c:pt>
                <c:pt idx="262">
                  <c:v>-0.1654335141003942</c:v>
                </c:pt>
                <c:pt idx="263">
                  <c:v>-9.6637889459122439E-2</c:v>
                </c:pt>
                <c:pt idx="264">
                  <c:v>-0.21055032664085971</c:v>
                </c:pt>
                <c:pt idx="265">
                  <c:v>-0.16822780409967608</c:v>
                </c:pt>
                <c:pt idx="266">
                  <c:v>-5.3703037623014094E-2</c:v>
                </c:pt>
                <c:pt idx="267">
                  <c:v>-0.13701557345432303</c:v>
                </c:pt>
                <c:pt idx="268">
                  <c:v>-4.7784351316293439E-2</c:v>
                </c:pt>
                <c:pt idx="269">
                  <c:v>-0.14171668726297737</c:v>
                </c:pt>
                <c:pt idx="270">
                  <c:v>-0.15106883997207898</c:v>
                </c:pt>
                <c:pt idx="271">
                  <c:v>-8.723520329399026E-2</c:v>
                </c:pt>
                <c:pt idx="272">
                  <c:v>-0.16017840606289857</c:v>
                </c:pt>
                <c:pt idx="273">
                  <c:v>-0.1139757921576241</c:v>
                </c:pt>
                <c:pt idx="274">
                  <c:v>-0.19201338499666254</c:v>
                </c:pt>
                <c:pt idx="275">
                  <c:v>3.6017309307459389E-2</c:v>
                </c:pt>
                <c:pt idx="276">
                  <c:v>-0.16399244619721709</c:v>
                </c:pt>
                <c:pt idx="277">
                  <c:v>-0.22103889457380221</c:v>
                </c:pt>
                <c:pt idx="278">
                  <c:v>-7.5999232512137249E-2</c:v>
                </c:pt>
                <c:pt idx="279">
                  <c:v>-0.10045277987473811</c:v>
                </c:pt>
                <c:pt idx="280">
                  <c:v>-0.23361431673993049</c:v>
                </c:pt>
                <c:pt idx="281">
                  <c:v>-0.16792564589572301</c:v>
                </c:pt>
                <c:pt idx="282">
                  <c:v>-0.14129884000971338</c:v>
                </c:pt>
                <c:pt idx="283">
                  <c:v>-0.14645878958384184</c:v>
                </c:pt>
                <c:pt idx="284">
                  <c:v>-8.9150996607626487E-2</c:v>
                </c:pt>
                <c:pt idx="285">
                  <c:v>-5.0405177192272888E-2</c:v>
                </c:pt>
                <c:pt idx="286">
                  <c:v>-4.0099947799960844E-3</c:v>
                </c:pt>
                <c:pt idx="287">
                  <c:v>-0.21555529311397525</c:v>
                </c:pt>
                <c:pt idx="288">
                  <c:v>-0.1456769351516809</c:v>
                </c:pt>
                <c:pt idx="289">
                  <c:v>-0.10852690078752825</c:v>
                </c:pt>
                <c:pt idx="290">
                  <c:v>-0.16384522419942416</c:v>
                </c:pt>
                <c:pt idx="291">
                  <c:v>-0.13743468515196922</c:v>
                </c:pt>
                <c:pt idx="292">
                  <c:v>-0.14225032689734385</c:v>
                </c:pt>
                <c:pt idx="293">
                  <c:v>-0.28014944164191946</c:v>
                </c:pt>
                <c:pt idx="294">
                  <c:v>-8.2967266770374026E-2</c:v>
                </c:pt>
                <c:pt idx="295">
                  <c:v>-0.16657372264318981</c:v>
                </c:pt>
                <c:pt idx="296">
                  <c:v>-0.13470463117810061</c:v>
                </c:pt>
                <c:pt idx="297">
                  <c:v>-0.17807693819535442</c:v>
                </c:pt>
                <c:pt idx="298">
                  <c:v>-0.23751465912713265</c:v>
                </c:pt>
                <c:pt idx="299">
                  <c:v>-0.19956171259402566</c:v>
                </c:pt>
                <c:pt idx="300">
                  <c:v>-0.15521746019959703</c:v>
                </c:pt>
                <c:pt idx="301">
                  <c:v>-1.8633707383536313E-2</c:v>
                </c:pt>
                <c:pt idx="302">
                  <c:v>-0.14981776773946809</c:v>
                </c:pt>
                <c:pt idx="303">
                  <c:v>-0.17605100496951764</c:v>
                </c:pt>
                <c:pt idx="304">
                  <c:v>-6.4128292519924024E-2</c:v>
                </c:pt>
                <c:pt idx="305">
                  <c:v>-0.14628465072710128</c:v>
                </c:pt>
                <c:pt idx="306">
                  <c:v>-6.5358215626981631E-2</c:v>
                </c:pt>
                <c:pt idx="307">
                  <c:v>-2.0474089371724791E-2</c:v>
                </c:pt>
                <c:pt idx="308">
                  <c:v>-0.14257639754123108</c:v>
                </c:pt>
                <c:pt idx="309">
                  <c:v>-8.3272825993043087E-2</c:v>
                </c:pt>
                <c:pt idx="310">
                  <c:v>-0.17556632285318563</c:v>
                </c:pt>
                <c:pt idx="311">
                  <c:v>-0.15471469686730333</c:v>
                </c:pt>
                <c:pt idx="312">
                  <c:v>-0.20774614203640906</c:v>
                </c:pt>
                <c:pt idx="313">
                  <c:v>-0.19052174639905761</c:v>
                </c:pt>
                <c:pt idx="314">
                  <c:v>-5.8539321827157931E-2</c:v>
                </c:pt>
                <c:pt idx="315">
                  <c:v>-0.15214187658748735</c:v>
                </c:pt>
                <c:pt idx="316">
                  <c:v>-0.1292374197984778</c:v>
                </c:pt>
                <c:pt idx="317">
                  <c:v>-0.23590987622494963</c:v>
                </c:pt>
                <c:pt idx="318">
                  <c:v>-4.2867564223368682E-2</c:v>
                </c:pt>
                <c:pt idx="319">
                  <c:v>-0.10245801911721863</c:v>
                </c:pt>
                <c:pt idx="320">
                  <c:v>-4.33631049416765E-2</c:v>
                </c:pt>
                <c:pt idx="321">
                  <c:v>-7.1738013815669355E-2</c:v>
                </c:pt>
                <c:pt idx="322">
                  <c:v>-0.1427319626098793</c:v>
                </c:pt>
                <c:pt idx="323">
                  <c:v>-0.18085586127697462</c:v>
                </c:pt>
                <c:pt idx="324">
                  <c:v>-6.2846444913059019E-2</c:v>
                </c:pt>
                <c:pt idx="325">
                  <c:v>-0.1403059402653799</c:v>
                </c:pt>
                <c:pt idx="326">
                  <c:v>-0.15562912556025421</c:v>
                </c:pt>
                <c:pt idx="327">
                  <c:v>-0.1873532282908712</c:v>
                </c:pt>
                <c:pt idx="328">
                  <c:v>-8.8905859847012492E-2</c:v>
                </c:pt>
                <c:pt idx="329">
                  <c:v>-0.11887343828849151</c:v>
                </c:pt>
                <c:pt idx="330">
                  <c:v>-0.14389121417774642</c:v>
                </c:pt>
                <c:pt idx="331">
                  <c:v>-0.13989892662575443</c:v>
                </c:pt>
                <c:pt idx="332">
                  <c:v>-0.1319341445359492</c:v>
                </c:pt>
                <c:pt idx="333">
                  <c:v>-0.13602308220394055</c:v>
                </c:pt>
                <c:pt idx="334">
                  <c:v>-0.16835517842895309</c:v>
                </c:pt>
                <c:pt idx="335">
                  <c:v>-0.12360339427523992</c:v>
                </c:pt>
                <c:pt idx="336">
                  <c:v>-0.16400099595147832</c:v>
                </c:pt>
                <c:pt idx="337">
                  <c:v>-6.3277289382440927E-2</c:v>
                </c:pt>
                <c:pt idx="338">
                  <c:v>-6.8236959387926399E-2</c:v>
                </c:pt>
                <c:pt idx="339">
                  <c:v>-0.13996550902311533</c:v>
                </c:pt>
                <c:pt idx="340">
                  <c:v>-0.21291703409113505</c:v>
                </c:pt>
                <c:pt idx="341">
                  <c:v>-0.21780878124247005</c:v>
                </c:pt>
                <c:pt idx="342">
                  <c:v>-0.12825442193783698</c:v>
                </c:pt>
                <c:pt idx="343">
                  <c:v>-0.16216388589853192</c:v>
                </c:pt>
                <c:pt idx="344">
                  <c:v>-3.8853273992378368E-2</c:v>
                </c:pt>
                <c:pt idx="345">
                  <c:v>-0.14561745866290809</c:v>
                </c:pt>
                <c:pt idx="346">
                  <c:v>-0.28361580529929409</c:v>
                </c:pt>
                <c:pt idx="347">
                  <c:v>-0.19783686582610582</c:v>
                </c:pt>
                <c:pt idx="348">
                  <c:v>-0.12393744445952781</c:v>
                </c:pt>
                <c:pt idx="349">
                  <c:v>-0.1343472419444347</c:v>
                </c:pt>
                <c:pt idx="350">
                  <c:v>-0.12237520879299479</c:v>
                </c:pt>
                <c:pt idx="351">
                  <c:v>-0.21017230327034397</c:v>
                </c:pt>
                <c:pt idx="352">
                  <c:v>-0.22534442538624599</c:v>
                </c:pt>
                <c:pt idx="353">
                  <c:v>-0.11258704802368391</c:v>
                </c:pt>
                <c:pt idx="354">
                  <c:v>-0.14347758369678232</c:v>
                </c:pt>
                <c:pt idx="355">
                  <c:v>-0.10484537394477256</c:v>
                </c:pt>
                <c:pt idx="356">
                  <c:v>-0.14653842514042847</c:v>
                </c:pt>
                <c:pt idx="357">
                  <c:v>-0.13342139061654468</c:v>
                </c:pt>
                <c:pt idx="358">
                  <c:v>-0.15669696351161055</c:v>
                </c:pt>
                <c:pt idx="359">
                  <c:v>-7.973835539207208E-2</c:v>
                </c:pt>
                <c:pt idx="360">
                  <c:v>-0.14233443321438355</c:v>
                </c:pt>
                <c:pt idx="361">
                  <c:v>-0.10912300781981865</c:v>
                </c:pt>
                <c:pt idx="362">
                  <c:v>-0.20362107992206591</c:v>
                </c:pt>
                <c:pt idx="363">
                  <c:v>-0.14545108377590221</c:v>
                </c:pt>
                <c:pt idx="364">
                  <c:v>-0.22402885391624672</c:v>
                </c:pt>
                <c:pt idx="365">
                  <c:v>-0.17170125325741981</c:v>
                </c:pt>
                <c:pt idx="366">
                  <c:v>-0.17638710185510242</c:v>
                </c:pt>
                <c:pt idx="367">
                  <c:v>-0.19596053765669508</c:v>
                </c:pt>
                <c:pt idx="368">
                  <c:v>-0.15278532417360213</c:v>
                </c:pt>
                <c:pt idx="369">
                  <c:v>-8.4224312742004148E-2</c:v>
                </c:pt>
                <c:pt idx="370">
                  <c:v>-0.28868775072430575</c:v>
                </c:pt>
                <c:pt idx="371">
                  <c:v>-0.15808434541186955</c:v>
                </c:pt>
                <c:pt idx="372">
                  <c:v>-0.17226617463198324</c:v>
                </c:pt>
                <c:pt idx="373">
                  <c:v>-0.13525219091014407</c:v>
                </c:pt>
                <c:pt idx="374">
                  <c:v>-0.15106312916891818</c:v>
                </c:pt>
                <c:pt idx="375">
                  <c:v>-0.10431166591456442</c:v>
                </c:pt>
                <c:pt idx="376">
                  <c:v>-0.13659038536941992</c:v>
                </c:pt>
                <c:pt idx="377">
                  <c:v>-9.9875452469811776E-2</c:v>
                </c:pt>
                <c:pt idx="378">
                  <c:v>-0.15701086175082546</c:v>
                </c:pt>
                <c:pt idx="379">
                  <c:v>-0.22037428946451909</c:v>
                </c:pt>
                <c:pt idx="380">
                  <c:v>-0.21175409441612603</c:v>
                </c:pt>
                <c:pt idx="381">
                  <c:v>-0.29376485087481918</c:v>
                </c:pt>
                <c:pt idx="382">
                  <c:v>-0.13416809074914871</c:v>
                </c:pt>
                <c:pt idx="383">
                  <c:v>-0.18253252438885958</c:v>
                </c:pt>
                <c:pt idx="384">
                  <c:v>-7.8610807114932957E-2</c:v>
                </c:pt>
                <c:pt idx="385">
                  <c:v>-6.0095821005558658E-2</c:v>
                </c:pt>
                <c:pt idx="386">
                  <c:v>-0.15948377443690664</c:v>
                </c:pt>
                <c:pt idx="387">
                  <c:v>-0.12850653077049334</c:v>
                </c:pt>
                <c:pt idx="388">
                  <c:v>-2.2661866047662071E-2</c:v>
                </c:pt>
                <c:pt idx="389">
                  <c:v>-0.11098380906496952</c:v>
                </c:pt>
                <c:pt idx="390">
                  <c:v>-0.18897788008827687</c:v>
                </c:pt>
                <c:pt idx="391">
                  <c:v>-0.24283198844374709</c:v>
                </c:pt>
                <c:pt idx="392">
                  <c:v>-7.4567501977512274E-2</c:v>
                </c:pt>
                <c:pt idx="393">
                  <c:v>-0.10877030060758175</c:v>
                </c:pt>
                <c:pt idx="394">
                  <c:v>-0.13322049543846481</c:v>
                </c:pt>
                <c:pt idx="395">
                  <c:v>-0.19833582867847932</c:v>
                </c:pt>
                <c:pt idx="396">
                  <c:v>-9.8575858343420197E-2</c:v>
                </c:pt>
                <c:pt idx="397">
                  <c:v>-7.8417369430480832E-2</c:v>
                </c:pt>
                <c:pt idx="398">
                  <c:v>-8.8765309352317523E-2</c:v>
                </c:pt>
                <c:pt idx="399">
                  <c:v>-6.2525020468043868E-2</c:v>
                </c:pt>
                <c:pt idx="400">
                  <c:v>-0.191351074632784</c:v>
                </c:pt>
                <c:pt idx="401">
                  <c:v>-0.26371737113729243</c:v>
                </c:pt>
                <c:pt idx="402">
                  <c:v>-3.1532951347072791E-2</c:v>
                </c:pt>
                <c:pt idx="403">
                  <c:v>-0.22762244988267843</c:v>
                </c:pt>
                <c:pt idx="404">
                  <c:v>-0.29800248435895349</c:v>
                </c:pt>
                <c:pt idx="405">
                  <c:v>-0.10114514513614759</c:v>
                </c:pt>
                <c:pt idx="406">
                  <c:v>-0.1363202486683105</c:v>
                </c:pt>
                <c:pt idx="407">
                  <c:v>-8.3128044603022477E-3</c:v>
                </c:pt>
                <c:pt idx="408">
                  <c:v>-6.1863177125038638E-2</c:v>
                </c:pt>
                <c:pt idx="409">
                  <c:v>-0.12014105250573603</c:v>
                </c:pt>
                <c:pt idx="410">
                  <c:v>-8.6550792866542214E-2</c:v>
                </c:pt>
                <c:pt idx="411">
                  <c:v>-4.0677861098774137E-2</c:v>
                </c:pt>
                <c:pt idx="412">
                  <c:v>-8.8463531377089621E-2</c:v>
                </c:pt>
                <c:pt idx="413">
                  <c:v>-0.1588651794738325</c:v>
                </c:pt>
                <c:pt idx="414">
                  <c:v>-0.13760855260061566</c:v>
                </c:pt>
                <c:pt idx="415">
                  <c:v>-0.20503739068679439</c:v>
                </c:pt>
                <c:pt idx="416">
                  <c:v>-8.0760429835113667E-2</c:v>
                </c:pt>
                <c:pt idx="417">
                  <c:v>-4.8084269220080911E-2</c:v>
                </c:pt>
                <c:pt idx="418">
                  <c:v>-0.16516659657034438</c:v>
                </c:pt>
                <c:pt idx="419">
                  <c:v>-0.11670307462626517</c:v>
                </c:pt>
                <c:pt idx="420">
                  <c:v>-0.11400069895618148</c:v>
                </c:pt>
                <c:pt idx="421">
                  <c:v>-0.12078831480277508</c:v>
                </c:pt>
                <c:pt idx="422">
                  <c:v>-0.1544073321628634</c:v>
                </c:pt>
                <c:pt idx="423">
                  <c:v>-0.13652321623789421</c:v>
                </c:pt>
                <c:pt idx="424">
                  <c:v>-9.3108965329480986E-2</c:v>
                </c:pt>
                <c:pt idx="425">
                  <c:v>-5.5811478111213342E-2</c:v>
                </c:pt>
                <c:pt idx="426">
                  <c:v>-7.0468764750605484E-2</c:v>
                </c:pt>
                <c:pt idx="427">
                  <c:v>-9.8745522252738027E-2</c:v>
                </c:pt>
                <c:pt idx="428">
                  <c:v>-3.0453593103265453E-2</c:v>
                </c:pt>
                <c:pt idx="429">
                  <c:v>-0.11621584070390401</c:v>
                </c:pt>
                <c:pt idx="430">
                  <c:v>-0.15079835921127027</c:v>
                </c:pt>
                <c:pt idx="431">
                  <c:v>-5.8354531758412431E-2</c:v>
                </c:pt>
                <c:pt idx="432">
                  <c:v>-0.18497815262835449</c:v>
                </c:pt>
                <c:pt idx="433">
                  <c:v>-0.27045103859879249</c:v>
                </c:pt>
                <c:pt idx="434">
                  <c:v>-0.16420514786037188</c:v>
                </c:pt>
                <c:pt idx="435">
                  <c:v>-0.14705791469784413</c:v>
                </c:pt>
                <c:pt idx="436">
                  <c:v>-1.1401041763016817E-2</c:v>
                </c:pt>
                <c:pt idx="437">
                  <c:v>-0.11031191595258516</c:v>
                </c:pt>
                <c:pt idx="438">
                  <c:v>-0.14287995598340408</c:v>
                </c:pt>
                <c:pt idx="439">
                  <c:v>-8.6335783712532699E-2</c:v>
                </c:pt>
                <c:pt idx="440">
                  <c:v>-0.15254588325905827</c:v>
                </c:pt>
                <c:pt idx="441">
                  <c:v>-0.14770076382434172</c:v>
                </c:pt>
                <c:pt idx="442">
                  <c:v>-7.3928786187464679E-2</c:v>
                </c:pt>
                <c:pt idx="443">
                  <c:v>-0.19240261648976542</c:v>
                </c:pt>
                <c:pt idx="444">
                  <c:v>-9.1419849001470377E-2</c:v>
                </c:pt>
                <c:pt idx="445">
                  <c:v>-0.16796668417131055</c:v>
                </c:pt>
                <c:pt idx="446">
                  <c:v>-0.151359948708505</c:v>
                </c:pt>
                <c:pt idx="447">
                  <c:v>-0.14788360442041837</c:v>
                </c:pt>
                <c:pt idx="448">
                  <c:v>-5.2467017729272092E-2</c:v>
                </c:pt>
                <c:pt idx="449">
                  <c:v>-0.26954979569988691</c:v>
                </c:pt>
                <c:pt idx="450">
                  <c:v>-0.10847170854809751</c:v>
                </c:pt>
                <c:pt idx="451">
                  <c:v>-0.20511581583132421</c:v>
                </c:pt>
                <c:pt idx="452">
                  <c:v>-0.11460065709470912</c:v>
                </c:pt>
                <c:pt idx="453">
                  <c:v>-4.0894912880550471E-2</c:v>
                </c:pt>
                <c:pt idx="454">
                  <c:v>-0.12678760896228747</c:v>
                </c:pt>
                <c:pt idx="455">
                  <c:v>-0.15449977444232443</c:v>
                </c:pt>
                <c:pt idx="456">
                  <c:v>-8.9886005958153881E-2</c:v>
                </c:pt>
                <c:pt idx="457">
                  <c:v>-0.13170391240536972</c:v>
                </c:pt>
                <c:pt idx="458">
                  <c:v>-0.16808268132554449</c:v>
                </c:pt>
                <c:pt idx="459">
                  <c:v>-0.12561520647266877</c:v>
                </c:pt>
                <c:pt idx="460">
                  <c:v>-6.5396759551768158E-2</c:v>
                </c:pt>
                <c:pt idx="461">
                  <c:v>-8.200022004649421E-2</c:v>
                </c:pt>
                <c:pt idx="462">
                  <c:v>-0.10190879176329914</c:v>
                </c:pt>
                <c:pt idx="463">
                  <c:v>-0.15242667048136671</c:v>
                </c:pt>
                <c:pt idx="464">
                  <c:v>-0.15147132286913867</c:v>
                </c:pt>
                <c:pt idx="465">
                  <c:v>-0.20634314824110445</c:v>
                </c:pt>
                <c:pt idx="466">
                  <c:v>-0.23834579078546669</c:v>
                </c:pt>
                <c:pt idx="467">
                  <c:v>-0.25586187813094052</c:v>
                </c:pt>
                <c:pt idx="468">
                  <c:v>-0.15446334804124051</c:v>
                </c:pt>
                <c:pt idx="469">
                  <c:v>-8.4791023760927287E-2</c:v>
                </c:pt>
                <c:pt idx="470">
                  <c:v>-8.2140065156071307E-2</c:v>
                </c:pt>
                <c:pt idx="471">
                  <c:v>-2.1569516836553948E-2</c:v>
                </c:pt>
                <c:pt idx="472">
                  <c:v>-0.10341400036996906</c:v>
                </c:pt>
                <c:pt idx="473">
                  <c:v>-0.16866447187783984</c:v>
                </c:pt>
                <c:pt idx="474">
                  <c:v>-0.17910216066175333</c:v>
                </c:pt>
                <c:pt idx="475">
                  <c:v>-4.6496803446503865E-2</c:v>
                </c:pt>
                <c:pt idx="476">
                  <c:v>-0.14153100416324771</c:v>
                </c:pt>
                <c:pt idx="477">
                  <c:v>-3.9458244073304005E-2</c:v>
                </c:pt>
                <c:pt idx="478">
                  <c:v>-0.16154252021130777</c:v>
                </c:pt>
                <c:pt idx="479">
                  <c:v>-0.10729998856438883</c:v>
                </c:pt>
                <c:pt idx="480">
                  <c:v>-0.14532955649867341</c:v>
                </c:pt>
                <c:pt idx="481">
                  <c:v>-0.16503458522687198</c:v>
                </c:pt>
                <c:pt idx="482">
                  <c:v>-0.16244051719687347</c:v>
                </c:pt>
                <c:pt idx="483">
                  <c:v>-0.15901637447428896</c:v>
                </c:pt>
                <c:pt idx="484">
                  <c:v>-0.11421670722285349</c:v>
                </c:pt>
                <c:pt idx="485">
                  <c:v>3.7251757280186482E-2</c:v>
                </c:pt>
                <c:pt idx="486">
                  <c:v>-0.18555601213554995</c:v>
                </c:pt>
                <c:pt idx="487">
                  <c:v>-0.17491701353868883</c:v>
                </c:pt>
                <c:pt idx="488">
                  <c:v>-4.3555593692456762E-2</c:v>
                </c:pt>
                <c:pt idx="489">
                  <c:v>-0.26845338070037394</c:v>
                </c:pt>
                <c:pt idx="490">
                  <c:v>-8.4407170110055052E-2</c:v>
                </c:pt>
                <c:pt idx="491">
                  <c:v>-0.14905005814463324</c:v>
                </c:pt>
                <c:pt idx="492">
                  <c:v>-0.21880140952988114</c:v>
                </c:pt>
                <c:pt idx="493">
                  <c:v>1.167420563616961E-4</c:v>
                </c:pt>
                <c:pt idx="494">
                  <c:v>-2.2268677631099187E-2</c:v>
                </c:pt>
                <c:pt idx="495">
                  <c:v>-0.12187454253531294</c:v>
                </c:pt>
                <c:pt idx="496">
                  <c:v>-0.23647736924305174</c:v>
                </c:pt>
                <c:pt idx="497">
                  <c:v>-0.15529426127910173</c:v>
                </c:pt>
                <c:pt idx="498">
                  <c:v>-0.12878025581201524</c:v>
                </c:pt>
                <c:pt idx="499">
                  <c:v>-0.14564381998106879</c:v>
                </c:pt>
                <c:pt idx="500">
                  <c:v>-0.10410656775876692</c:v>
                </c:pt>
                <c:pt idx="501">
                  <c:v>-9.3361320619352428E-2</c:v>
                </c:pt>
                <c:pt idx="502">
                  <c:v>-0.25968866385381362</c:v>
                </c:pt>
                <c:pt idx="503">
                  <c:v>-0.22651794870903796</c:v>
                </c:pt>
                <c:pt idx="504">
                  <c:v>-0.14704656913443204</c:v>
                </c:pt>
                <c:pt idx="505">
                  <c:v>-7.456154595594322E-2</c:v>
                </c:pt>
                <c:pt idx="506">
                  <c:v>-0.17566452648314113</c:v>
                </c:pt>
                <c:pt idx="507">
                  <c:v>-0.21238355583304191</c:v>
                </c:pt>
                <c:pt idx="508">
                  <c:v>-0.18309245600425039</c:v>
                </c:pt>
                <c:pt idx="509">
                  <c:v>-0.18142842922755653</c:v>
                </c:pt>
                <c:pt idx="510">
                  <c:v>-9.3205827538561437E-2</c:v>
                </c:pt>
                <c:pt idx="511">
                  <c:v>-0.10964811385633499</c:v>
                </c:pt>
                <c:pt idx="512">
                  <c:v>-0.13275257259016948</c:v>
                </c:pt>
                <c:pt idx="513">
                  <c:v>-8.6251191865305499E-2</c:v>
                </c:pt>
                <c:pt idx="514">
                  <c:v>-0.28007222722211766</c:v>
                </c:pt>
                <c:pt idx="515">
                  <c:v>-6.4619851441891862E-2</c:v>
                </c:pt>
                <c:pt idx="516">
                  <c:v>-8.2533833478783514E-2</c:v>
                </c:pt>
                <c:pt idx="517">
                  <c:v>-0.17039309721533957</c:v>
                </c:pt>
                <c:pt idx="518">
                  <c:v>-0.16468931371459838</c:v>
                </c:pt>
                <c:pt idx="519">
                  <c:v>-0.12919086836911542</c:v>
                </c:pt>
                <c:pt idx="520">
                  <c:v>-0.13779676852696321</c:v>
                </c:pt>
                <c:pt idx="521">
                  <c:v>-0.1205494499592813</c:v>
                </c:pt>
                <c:pt idx="522">
                  <c:v>-3.3193162787991337E-2</c:v>
                </c:pt>
                <c:pt idx="523">
                  <c:v>-0.13389320258267245</c:v>
                </c:pt>
                <c:pt idx="524">
                  <c:v>-0.12931701854894673</c:v>
                </c:pt>
                <c:pt idx="525">
                  <c:v>-0.1433084880175951</c:v>
                </c:pt>
                <c:pt idx="526">
                  <c:v>-9.8937161958793096E-2</c:v>
                </c:pt>
                <c:pt idx="527">
                  <c:v>-0.11425662644098011</c:v>
                </c:pt>
                <c:pt idx="528">
                  <c:v>-0.10711932967030968</c:v>
                </c:pt>
                <c:pt idx="529">
                  <c:v>-0.21183051037973655</c:v>
                </c:pt>
                <c:pt idx="530">
                  <c:v>-0.12392067866321721</c:v>
                </c:pt>
                <c:pt idx="531">
                  <c:v>-0.12925030872564935</c:v>
                </c:pt>
                <c:pt idx="532">
                  <c:v>-0.23741683655818258</c:v>
                </c:pt>
                <c:pt idx="533">
                  <c:v>-0.13059241505377273</c:v>
                </c:pt>
                <c:pt idx="534">
                  <c:v>-0.22084378990080733</c:v>
                </c:pt>
                <c:pt idx="535">
                  <c:v>-0.12788020050949278</c:v>
                </c:pt>
                <c:pt idx="536">
                  <c:v>-0.11417078453989515</c:v>
                </c:pt>
                <c:pt idx="537">
                  <c:v>-2.9504854289140958E-2</c:v>
                </c:pt>
                <c:pt idx="538">
                  <c:v>-0.24034845415606743</c:v>
                </c:pt>
                <c:pt idx="539">
                  <c:v>-0.11342110257751536</c:v>
                </c:pt>
                <c:pt idx="540">
                  <c:v>-8.8384269889898892E-2</c:v>
                </c:pt>
                <c:pt idx="541">
                  <c:v>-4.3618482010553628E-2</c:v>
                </c:pt>
                <c:pt idx="542">
                  <c:v>-0.11521269403970802</c:v>
                </c:pt>
                <c:pt idx="543">
                  <c:v>8.2199019748875557E-2</c:v>
                </c:pt>
                <c:pt idx="544">
                  <c:v>-0.2348113494981221</c:v>
                </c:pt>
                <c:pt idx="545">
                  <c:v>-0.12345304184493222</c:v>
                </c:pt>
                <c:pt idx="546">
                  <c:v>-0.16526775042654296</c:v>
                </c:pt>
                <c:pt idx="547">
                  <c:v>-7.0248057151987231E-2</c:v>
                </c:pt>
                <c:pt idx="548">
                  <c:v>2.8449483612755344E-2</c:v>
                </c:pt>
                <c:pt idx="549">
                  <c:v>-0.1083221324906487</c:v>
                </c:pt>
                <c:pt idx="550">
                  <c:v>-6.7166244156286692E-2</c:v>
                </c:pt>
                <c:pt idx="551">
                  <c:v>-7.970683254237465E-2</c:v>
                </c:pt>
                <c:pt idx="552">
                  <c:v>-0.13866678760515849</c:v>
                </c:pt>
                <c:pt idx="553">
                  <c:v>-0.18672784789619112</c:v>
                </c:pt>
                <c:pt idx="554">
                  <c:v>-0.14031166138143414</c:v>
                </c:pt>
                <c:pt idx="555">
                  <c:v>-0.11221556140337019</c:v>
                </c:pt>
                <c:pt idx="556">
                  <c:v>-0.21649205406497596</c:v>
                </c:pt>
                <c:pt idx="557">
                  <c:v>-0.22794881713183479</c:v>
                </c:pt>
                <c:pt idx="558">
                  <c:v>-6.6365758372066042E-2</c:v>
                </c:pt>
                <c:pt idx="559">
                  <c:v>-5.3787713795982128E-2</c:v>
                </c:pt>
                <c:pt idx="560">
                  <c:v>-0.16154853490845933</c:v>
                </c:pt>
                <c:pt idx="561">
                  <c:v>-0.1361027835649582</c:v>
                </c:pt>
                <c:pt idx="562">
                  <c:v>-0.11591716166716481</c:v>
                </c:pt>
                <c:pt idx="563">
                  <c:v>-0.12499277058624636</c:v>
                </c:pt>
                <c:pt idx="564">
                  <c:v>-0.11907810693177767</c:v>
                </c:pt>
                <c:pt idx="565">
                  <c:v>-0.15609949133382428</c:v>
                </c:pt>
                <c:pt idx="566">
                  <c:v>-0.1581883216080735</c:v>
                </c:pt>
                <c:pt idx="567">
                  <c:v>-9.588063821751458E-2</c:v>
                </c:pt>
                <c:pt idx="568">
                  <c:v>-2.0238981372276976E-2</c:v>
                </c:pt>
                <c:pt idx="569">
                  <c:v>-0.13313845164247251</c:v>
                </c:pt>
                <c:pt idx="570">
                  <c:v>-6.5579378689125445E-2</c:v>
                </c:pt>
                <c:pt idx="571">
                  <c:v>-6.8487606593507833E-2</c:v>
                </c:pt>
                <c:pt idx="572">
                  <c:v>-0.10762878663067754</c:v>
                </c:pt>
                <c:pt idx="573">
                  <c:v>-0.19738720944534682</c:v>
                </c:pt>
                <c:pt idx="574">
                  <c:v>-9.4150793849324677E-2</c:v>
                </c:pt>
                <c:pt idx="575">
                  <c:v>-5.759098995379186E-2</c:v>
                </c:pt>
                <c:pt idx="576">
                  <c:v>-0.152194316422265</c:v>
                </c:pt>
                <c:pt idx="577">
                  <c:v>-0.24692480285335017</c:v>
                </c:pt>
                <c:pt idx="578">
                  <c:v>-0.1766507836106207</c:v>
                </c:pt>
                <c:pt idx="579">
                  <c:v>-0.12963189908531003</c:v>
                </c:pt>
                <c:pt idx="580">
                  <c:v>-0.12396468013358786</c:v>
                </c:pt>
                <c:pt idx="581">
                  <c:v>-0.18596743658089188</c:v>
                </c:pt>
                <c:pt idx="582">
                  <c:v>-0.16829540842420543</c:v>
                </c:pt>
                <c:pt idx="583">
                  <c:v>-0.12720657560725757</c:v>
                </c:pt>
                <c:pt idx="584">
                  <c:v>-0.11947212691867426</c:v>
                </c:pt>
                <c:pt idx="585">
                  <c:v>-0.12414574953219648</c:v>
                </c:pt>
                <c:pt idx="586">
                  <c:v>-0.15820126892845821</c:v>
                </c:pt>
                <c:pt idx="587">
                  <c:v>-5.3831420545174868E-2</c:v>
                </c:pt>
                <c:pt idx="588">
                  <c:v>-0.11063625510833619</c:v>
                </c:pt>
                <c:pt idx="589">
                  <c:v>-0.20682405312198526</c:v>
                </c:pt>
                <c:pt idx="590">
                  <c:v>-0.16371990486981747</c:v>
                </c:pt>
                <c:pt idx="591">
                  <c:v>-9.9847551082838937E-2</c:v>
                </c:pt>
                <c:pt idx="592">
                  <c:v>-0.18007975305576684</c:v>
                </c:pt>
                <c:pt idx="593">
                  <c:v>-0.14806254761960824</c:v>
                </c:pt>
                <c:pt idx="594">
                  <c:v>-0.15376658073712002</c:v>
                </c:pt>
                <c:pt idx="595">
                  <c:v>-0.16371158492662286</c:v>
                </c:pt>
                <c:pt idx="596">
                  <c:v>-0.21213716113953585</c:v>
                </c:pt>
                <c:pt idx="597">
                  <c:v>-0.20160409634300813</c:v>
                </c:pt>
                <c:pt idx="598">
                  <c:v>-0.15904851446482127</c:v>
                </c:pt>
                <c:pt idx="599">
                  <c:v>-0.12241372006379447</c:v>
                </c:pt>
                <c:pt idx="600">
                  <c:v>-4.575520536318356E-2</c:v>
                </c:pt>
                <c:pt idx="601">
                  <c:v>-0.10055875766617661</c:v>
                </c:pt>
                <c:pt idx="602">
                  <c:v>-0.12268609654387941</c:v>
                </c:pt>
                <c:pt idx="603">
                  <c:v>-0.27989022055433566</c:v>
                </c:pt>
                <c:pt idx="604">
                  <c:v>-0.10311458255309813</c:v>
                </c:pt>
                <c:pt idx="605">
                  <c:v>-0.1800711847701435</c:v>
                </c:pt>
                <c:pt idx="606">
                  <c:v>-0.11684233970341706</c:v>
                </c:pt>
                <c:pt idx="607">
                  <c:v>-9.9280196678582011E-2</c:v>
                </c:pt>
                <c:pt idx="608">
                  <c:v>-0.20948059954652209</c:v>
                </c:pt>
                <c:pt idx="609">
                  <c:v>-0.14338588202817637</c:v>
                </c:pt>
                <c:pt idx="610">
                  <c:v>-0.1879533918810925</c:v>
                </c:pt>
                <c:pt idx="611">
                  <c:v>-0.19481778397660854</c:v>
                </c:pt>
                <c:pt idx="612">
                  <c:v>-3.0634501047240414E-2</c:v>
                </c:pt>
                <c:pt idx="613">
                  <c:v>-0.15250414165513793</c:v>
                </c:pt>
                <c:pt idx="614">
                  <c:v>-0.16854534096591012</c:v>
                </c:pt>
                <c:pt idx="615">
                  <c:v>-0.10440736607177903</c:v>
                </c:pt>
                <c:pt idx="616">
                  <c:v>-0.22633568469775533</c:v>
                </c:pt>
                <c:pt idx="617">
                  <c:v>-0.24234053198490102</c:v>
                </c:pt>
                <c:pt idx="618">
                  <c:v>-0.1563397103908053</c:v>
                </c:pt>
                <c:pt idx="619">
                  <c:v>-2.1412357844219576E-2</c:v>
                </c:pt>
                <c:pt idx="620">
                  <c:v>-1.4934908097588462E-2</c:v>
                </c:pt>
                <c:pt idx="621">
                  <c:v>-0.17740377226035164</c:v>
                </c:pt>
                <c:pt idx="622">
                  <c:v>-0.19077957502801046</c:v>
                </c:pt>
                <c:pt idx="623">
                  <c:v>-1.7627438443793553E-2</c:v>
                </c:pt>
                <c:pt idx="624">
                  <c:v>-0.24031532918699339</c:v>
                </c:pt>
                <c:pt idx="625">
                  <c:v>-0.21254819923706614</c:v>
                </c:pt>
                <c:pt idx="626">
                  <c:v>-0.19857137248714574</c:v>
                </c:pt>
                <c:pt idx="627">
                  <c:v>-0.20140691732999605</c:v>
                </c:pt>
                <c:pt idx="628">
                  <c:v>-0.12514797031301161</c:v>
                </c:pt>
                <c:pt idx="629">
                  <c:v>-0.19011587727228352</c:v>
                </c:pt>
                <c:pt idx="630">
                  <c:v>-4.992337140707126E-2</c:v>
                </c:pt>
                <c:pt idx="631">
                  <c:v>-0.1955788538064116</c:v>
                </c:pt>
                <c:pt idx="632">
                  <c:v>-0.16951403687202049</c:v>
                </c:pt>
                <c:pt idx="633">
                  <c:v>-0.11435146911012928</c:v>
                </c:pt>
                <c:pt idx="634">
                  <c:v>-5.2948924124621266E-2</c:v>
                </c:pt>
                <c:pt idx="635">
                  <c:v>-0.16123241669544264</c:v>
                </c:pt>
                <c:pt idx="636">
                  <c:v>-0.1863193826856222</c:v>
                </c:pt>
                <c:pt idx="637">
                  <c:v>-0.17717780440432551</c:v>
                </c:pt>
                <c:pt idx="638">
                  <c:v>-8.190779489818012E-2</c:v>
                </c:pt>
                <c:pt idx="639">
                  <c:v>-0.16926862786853492</c:v>
                </c:pt>
                <c:pt idx="640">
                  <c:v>-0.16953050981952988</c:v>
                </c:pt>
                <c:pt idx="641">
                  <c:v>-9.8736018520509727E-2</c:v>
                </c:pt>
                <c:pt idx="642">
                  <c:v>-0.16123305085944062</c:v>
                </c:pt>
                <c:pt idx="643">
                  <c:v>-0.19126234775474127</c:v>
                </c:pt>
                <c:pt idx="644">
                  <c:v>-0.13516527533536138</c:v>
                </c:pt>
                <c:pt idx="645">
                  <c:v>-7.0380746184974807E-2</c:v>
                </c:pt>
                <c:pt idx="646">
                  <c:v>-0.11018288800465648</c:v>
                </c:pt>
                <c:pt idx="647">
                  <c:v>-0.17712233196570248</c:v>
                </c:pt>
                <c:pt idx="648">
                  <c:v>-0.13543692968043342</c:v>
                </c:pt>
                <c:pt idx="649">
                  <c:v>-0.23386648758737194</c:v>
                </c:pt>
                <c:pt idx="650">
                  <c:v>-0.11776142392240352</c:v>
                </c:pt>
                <c:pt idx="651">
                  <c:v>-0.18183933501026917</c:v>
                </c:pt>
                <c:pt idx="652">
                  <c:v>-0.12684203359063662</c:v>
                </c:pt>
                <c:pt idx="653">
                  <c:v>-7.5986790338615107E-2</c:v>
                </c:pt>
                <c:pt idx="654">
                  <c:v>-0.10374470426475546</c:v>
                </c:pt>
                <c:pt idx="655">
                  <c:v>-0.14623586431591062</c:v>
                </c:pt>
                <c:pt idx="656">
                  <c:v>-0.14966740147773228</c:v>
                </c:pt>
                <c:pt idx="657">
                  <c:v>-0.10026685332980922</c:v>
                </c:pt>
                <c:pt idx="658">
                  <c:v>-0.12964181721929702</c:v>
                </c:pt>
                <c:pt idx="659">
                  <c:v>-0.16193204721619381</c:v>
                </c:pt>
                <c:pt idx="660">
                  <c:v>-0.16396646583774632</c:v>
                </c:pt>
                <c:pt idx="661">
                  <c:v>-0.2253580973625966</c:v>
                </c:pt>
                <c:pt idx="662">
                  <c:v>-0.17508193137939521</c:v>
                </c:pt>
                <c:pt idx="663">
                  <c:v>-0.14408526189856419</c:v>
                </c:pt>
                <c:pt idx="664">
                  <c:v>-0.14546656267263591</c:v>
                </c:pt>
                <c:pt idx="665">
                  <c:v>-0.19224855882161429</c:v>
                </c:pt>
                <c:pt idx="666">
                  <c:v>-0.10965476608404257</c:v>
                </c:pt>
                <c:pt idx="667">
                  <c:v>-8.0449028861022898E-2</c:v>
                </c:pt>
                <c:pt idx="668">
                  <c:v>-0.15801300169215904</c:v>
                </c:pt>
                <c:pt idx="669">
                  <c:v>-9.5809246432908113E-2</c:v>
                </c:pt>
                <c:pt idx="670">
                  <c:v>-0.17385830674229663</c:v>
                </c:pt>
                <c:pt idx="671">
                  <c:v>-7.9125521629860529E-2</c:v>
                </c:pt>
                <c:pt idx="672">
                  <c:v>-5.7081747693364937E-2</c:v>
                </c:pt>
                <c:pt idx="673">
                  <c:v>-0.21534802147643073</c:v>
                </c:pt>
                <c:pt idx="674">
                  <c:v>-6.1775041745821269E-2</c:v>
                </c:pt>
                <c:pt idx="675">
                  <c:v>-0.1506338860887958</c:v>
                </c:pt>
                <c:pt idx="676">
                  <c:v>-0.17863412084509211</c:v>
                </c:pt>
                <c:pt idx="677">
                  <c:v>1.3882565727447504E-2</c:v>
                </c:pt>
                <c:pt idx="678">
                  <c:v>-0.15463427224281334</c:v>
                </c:pt>
                <c:pt idx="679">
                  <c:v>-0.17347673795950036</c:v>
                </c:pt>
                <c:pt idx="680">
                  <c:v>-0.15101602981783091</c:v>
                </c:pt>
                <c:pt idx="681">
                  <c:v>-0.13457916966235128</c:v>
                </c:pt>
                <c:pt idx="682">
                  <c:v>-0.14672104022789767</c:v>
                </c:pt>
                <c:pt idx="683">
                  <c:v>-0.14738956816186377</c:v>
                </c:pt>
                <c:pt idx="684">
                  <c:v>-8.0620855728719132E-2</c:v>
                </c:pt>
                <c:pt idx="685">
                  <c:v>1.6315164649535419E-2</c:v>
                </c:pt>
                <c:pt idx="686">
                  <c:v>-0.18964632279659743</c:v>
                </c:pt>
                <c:pt idx="687">
                  <c:v>-9.828015592422279E-2</c:v>
                </c:pt>
                <c:pt idx="688">
                  <c:v>-0.1701639084726585</c:v>
                </c:pt>
                <c:pt idx="689">
                  <c:v>-9.266608146057842E-2</c:v>
                </c:pt>
                <c:pt idx="690">
                  <c:v>-0.1013365141286533</c:v>
                </c:pt>
                <c:pt idx="691">
                  <c:v>-0.15836072363705367</c:v>
                </c:pt>
                <c:pt idx="692">
                  <c:v>-0.21825703020104159</c:v>
                </c:pt>
                <c:pt idx="693">
                  <c:v>-0.13141842094972711</c:v>
                </c:pt>
                <c:pt idx="694">
                  <c:v>-0.23220905390057789</c:v>
                </c:pt>
                <c:pt idx="695">
                  <c:v>-0.24347405760091601</c:v>
                </c:pt>
                <c:pt idx="696">
                  <c:v>-0.10156354735280204</c:v>
                </c:pt>
                <c:pt idx="697">
                  <c:v>-4.8172732804743879E-2</c:v>
                </c:pt>
                <c:pt idx="698">
                  <c:v>-4.6801780095422352E-2</c:v>
                </c:pt>
                <c:pt idx="699">
                  <c:v>-6.3694193226901286E-2</c:v>
                </c:pt>
                <c:pt idx="700">
                  <c:v>-0.12821349303068619</c:v>
                </c:pt>
                <c:pt idx="701">
                  <c:v>-0.21006671659074772</c:v>
                </c:pt>
                <c:pt idx="702">
                  <c:v>-0.13312112209034987</c:v>
                </c:pt>
                <c:pt idx="703">
                  <c:v>-0.19976393488011202</c:v>
                </c:pt>
                <c:pt idx="704">
                  <c:v>-9.8818577288358078E-2</c:v>
                </c:pt>
                <c:pt idx="705">
                  <c:v>-8.9723107221195697E-2</c:v>
                </c:pt>
                <c:pt idx="706">
                  <c:v>-0.21450554385847886</c:v>
                </c:pt>
                <c:pt idx="707">
                  <c:v>-0.17819201957296138</c:v>
                </c:pt>
                <c:pt idx="708">
                  <c:v>-0.1517942572314519</c:v>
                </c:pt>
                <c:pt idx="709">
                  <c:v>-9.8139514406599959E-2</c:v>
                </c:pt>
                <c:pt idx="710">
                  <c:v>-0.15650449154088708</c:v>
                </c:pt>
                <c:pt idx="711">
                  <c:v>-0.17464003733665878</c:v>
                </c:pt>
                <c:pt idx="712">
                  <c:v>-0.17368638735865372</c:v>
                </c:pt>
                <c:pt idx="713">
                  <c:v>-7.0722462795401952E-2</c:v>
                </c:pt>
                <c:pt idx="714">
                  <c:v>-0.19773602992569983</c:v>
                </c:pt>
                <c:pt idx="715">
                  <c:v>-3.8479751446232058E-3</c:v>
                </c:pt>
                <c:pt idx="716">
                  <c:v>-0.12186728552499138</c:v>
                </c:pt>
                <c:pt idx="717">
                  <c:v>-0.2078912553439729</c:v>
                </c:pt>
                <c:pt idx="718">
                  <c:v>-9.9930348483042275E-2</c:v>
                </c:pt>
                <c:pt idx="719">
                  <c:v>-0.18554398395603056</c:v>
                </c:pt>
                <c:pt idx="720">
                  <c:v>-0.13020254329477998</c:v>
                </c:pt>
                <c:pt idx="721">
                  <c:v>-0.12352246853620552</c:v>
                </c:pt>
                <c:pt idx="722">
                  <c:v>-0.11955521648799827</c:v>
                </c:pt>
                <c:pt idx="723">
                  <c:v>-0.14322955658460446</c:v>
                </c:pt>
                <c:pt idx="724">
                  <c:v>-0.23633706335698479</c:v>
                </c:pt>
                <c:pt idx="725">
                  <c:v>-8.0615973938586993E-3</c:v>
                </c:pt>
                <c:pt idx="726">
                  <c:v>-1.4113204692728809E-2</c:v>
                </c:pt>
                <c:pt idx="727">
                  <c:v>-0.13266985331026371</c:v>
                </c:pt>
                <c:pt idx="728">
                  <c:v>-0.10788462729425008</c:v>
                </c:pt>
                <c:pt idx="729">
                  <c:v>-0.22405636755167135</c:v>
                </c:pt>
                <c:pt idx="730">
                  <c:v>-9.4055979541227464E-2</c:v>
                </c:pt>
                <c:pt idx="731">
                  <c:v>-0.13929309280590862</c:v>
                </c:pt>
                <c:pt idx="732">
                  <c:v>-9.1920428253410513E-2</c:v>
                </c:pt>
                <c:pt idx="733">
                  <c:v>-0.15722037289803636</c:v>
                </c:pt>
                <c:pt idx="734">
                  <c:v>-7.0253522701202886E-2</c:v>
                </c:pt>
                <c:pt idx="735">
                  <c:v>-0.30162038750368247</c:v>
                </c:pt>
                <c:pt idx="736">
                  <c:v>-5.2262772135241553E-2</c:v>
                </c:pt>
                <c:pt idx="737">
                  <c:v>-0.14359444510896524</c:v>
                </c:pt>
                <c:pt idx="738">
                  <c:v>-0.11696317367896236</c:v>
                </c:pt>
                <c:pt idx="739">
                  <c:v>-0.24400094064673961</c:v>
                </c:pt>
                <c:pt idx="740">
                  <c:v>-0.17562229808033492</c:v>
                </c:pt>
                <c:pt idx="741">
                  <c:v>-0.17892639640844332</c:v>
                </c:pt>
                <c:pt idx="742">
                  <c:v>-0.14483224078003176</c:v>
                </c:pt>
                <c:pt idx="743">
                  <c:v>-0.10770598254378161</c:v>
                </c:pt>
                <c:pt idx="744">
                  <c:v>-0.17893294926186343</c:v>
                </c:pt>
                <c:pt idx="745">
                  <c:v>-0.12788464675681666</c:v>
                </c:pt>
                <c:pt idx="746">
                  <c:v>-9.0194787141612665E-2</c:v>
                </c:pt>
                <c:pt idx="747">
                  <c:v>-0.23127467577354377</c:v>
                </c:pt>
                <c:pt idx="748">
                  <c:v>-0.14463504511763126</c:v>
                </c:pt>
                <c:pt idx="749">
                  <c:v>-4.6916030677022658E-2</c:v>
                </c:pt>
                <c:pt idx="750">
                  <c:v>-0.15758546946267127</c:v>
                </c:pt>
                <c:pt idx="751">
                  <c:v>-0.19485807741012207</c:v>
                </c:pt>
                <c:pt idx="752">
                  <c:v>-7.3341414823727913E-2</c:v>
                </c:pt>
                <c:pt idx="753">
                  <c:v>-3.4188968791573071E-3</c:v>
                </c:pt>
                <c:pt idx="754">
                  <c:v>-6.0814419121569152E-2</c:v>
                </c:pt>
                <c:pt idx="755">
                  <c:v>1.6468140349694682E-3</c:v>
                </c:pt>
                <c:pt idx="756">
                  <c:v>-0.14015674709901571</c:v>
                </c:pt>
                <c:pt idx="757">
                  <c:v>-0.2291435460297212</c:v>
                </c:pt>
                <c:pt idx="758">
                  <c:v>-2.8354885526412188E-2</c:v>
                </c:pt>
                <c:pt idx="759">
                  <c:v>-0.10617842704869185</c:v>
                </c:pt>
                <c:pt idx="760">
                  <c:v>-0.11993306218287092</c:v>
                </c:pt>
                <c:pt idx="761">
                  <c:v>-0.10825913063227188</c:v>
                </c:pt>
                <c:pt idx="762">
                  <c:v>-0.19741979610897986</c:v>
                </c:pt>
                <c:pt idx="763">
                  <c:v>-0.18932639531273221</c:v>
                </c:pt>
                <c:pt idx="764">
                  <c:v>-0.1487039148033078</c:v>
                </c:pt>
                <c:pt idx="765">
                  <c:v>-0.12744947954438079</c:v>
                </c:pt>
                <c:pt idx="766">
                  <c:v>2.239690271584549E-2</c:v>
                </c:pt>
                <c:pt idx="767">
                  <c:v>-0.17045051179050819</c:v>
                </c:pt>
                <c:pt idx="768">
                  <c:v>-0.15238514457140151</c:v>
                </c:pt>
                <c:pt idx="769">
                  <c:v>2.3513212402691774E-2</c:v>
                </c:pt>
                <c:pt idx="770">
                  <c:v>-0.11843750171716949</c:v>
                </c:pt>
                <c:pt idx="771">
                  <c:v>-5.0365941699519245E-2</c:v>
                </c:pt>
                <c:pt idx="772">
                  <c:v>-0.20981347387309901</c:v>
                </c:pt>
                <c:pt idx="773">
                  <c:v>-2.5564481766890301E-2</c:v>
                </c:pt>
                <c:pt idx="774">
                  <c:v>-7.5804142635695015E-2</c:v>
                </c:pt>
                <c:pt idx="775">
                  <c:v>-3.9727249117189833E-2</c:v>
                </c:pt>
                <c:pt idx="776">
                  <c:v>-0.10868876782036585</c:v>
                </c:pt>
                <c:pt idx="777">
                  <c:v>-0.11817552739437565</c:v>
                </c:pt>
                <c:pt idx="778">
                  <c:v>6.3886367963759128E-3</c:v>
                </c:pt>
                <c:pt idx="779">
                  <c:v>-0.10129539565801227</c:v>
                </c:pt>
                <c:pt idx="780">
                  <c:v>-8.8108501371592762E-2</c:v>
                </c:pt>
                <c:pt idx="781">
                  <c:v>-0.20752029423408613</c:v>
                </c:pt>
                <c:pt idx="782">
                  <c:v>3.6704976012758905E-2</c:v>
                </c:pt>
                <c:pt idx="783">
                  <c:v>-0.18772067048235996</c:v>
                </c:pt>
                <c:pt idx="784">
                  <c:v>-5.5062216838817291E-2</c:v>
                </c:pt>
                <c:pt idx="785">
                  <c:v>-0.15990353040699534</c:v>
                </c:pt>
                <c:pt idx="786">
                  <c:v>-0.11353808545237132</c:v>
                </c:pt>
                <c:pt idx="787">
                  <c:v>-0.22913316188764332</c:v>
                </c:pt>
                <c:pt idx="788">
                  <c:v>-2.4813553363173591E-2</c:v>
                </c:pt>
                <c:pt idx="789">
                  <c:v>-0.13615099195992908</c:v>
                </c:pt>
                <c:pt idx="790">
                  <c:v>-0.22628333513148324</c:v>
                </c:pt>
                <c:pt idx="791">
                  <c:v>2.1023662095655204E-2</c:v>
                </c:pt>
                <c:pt idx="792">
                  <c:v>-2.0684575001986838E-2</c:v>
                </c:pt>
                <c:pt idx="793">
                  <c:v>-0.14330141638079485</c:v>
                </c:pt>
                <c:pt idx="794">
                  <c:v>-0.17478269529318902</c:v>
                </c:pt>
                <c:pt idx="795">
                  <c:v>-8.6330351805556593E-2</c:v>
                </c:pt>
                <c:pt idx="796">
                  <c:v>-0.17044028546971945</c:v>
                </c:pt>
                <c:pt idx="797">
                  <c:v>-0.1623659994664961</c:v>
                </c:pt>
                <c:pt idx="798">
                  <c:v>-0.1666966354506364</c:v>
                </c:pt>
                <c:pt idx="799">
                  <c:v>-0.14919629529154488</c:v>
                </c:pt>
                <c:pt idx="800">
                  <c:v>-7.97098641931826E-3</c:v>
                </c:pt>
                <c:pt idx="801">
                  <c:v>-0.14862169633822409</c:v>
                </c:pt>
                <c:pt idx="802">
                  <c:v>-0.21995187973293784</c:v>
                </c:pt>
                <c:pt idx="803">
                  <c:v>-0.17797655710998728</c:v>
                </c:pt>
                <c:pt idx="804">
                  <c:v>-0.18176317917241658</c:v>
                </c:pt>
                <c:pt idx="805">
                  <c:v>-0.21551561451864565</c:v>
                </c:pt>
                <c:pt idx="806">
                  <c:v>-0.14137127446221176</c:v>
                </c:pt>
                <c:pt idx="807">
                  <c:v>-9.2481076488008185E-2</c:v>
                </c:pt>
                <c:pt idx="808">
                  <c:v>-0.11476638224490787</c:v>
                </c:pt>
                <c:pt idx="809">
                  <c:v>-0.11568920418196726</c:v>
                </c:pt>
                <c:pt idx="810">
                  <c:v>-0.19711450517232509</c:v>
                </c:pt>
                <c:pt idx="811">
                  <c:v>-0.18644716693286512</c:v>
                </c:pt>
                <c:pt idx="812">
                  <c:v>-0.11272556552738688</c:v>
                </c:pt>
                <c:pt idx="813">
                  <c:v>-4.1539797715774318E-2</c:v>
                </c:pt>
                <c:pt idx="814">
                  <c:v>-0.16013418151557324</c:v>
                </c:pt>
                <c:pt idx="815">
                  <c:v>-6.5144609146585042E-2</c:v>
                </c:pt>
                <c:pt idx="816">
                  <c:v>-0.23079943909316858</c:v>
                </c:pt>
                <c:pt idx="817">
                  <c:v>-0.17150592259232789</c:v>
                </c:pt>
                <c:pt idx="818">
                  <c:v>-0.19322679892138872</c:v>
                </c:pt>
                <c:pt idx="819">
                  <c:v>-8.4218232106748836E-2</c:v>
                </c:pt>
                <c:pt idx="820">
                  <c:v>-4.418593887779676E-2</c:v>
                </c:pt>
                <c:pt idx="821">
                  <c:v>-0.10026722462844728</c:v>
                </c:pt>
                <c:pt idx="822">
                  <c:v>-0.13036003042834698</c:v>
                </c:pt>
                <c:pt idx="823">
                  <c:v>-0.20355630807496983</c:v>
                </c:pt>
                <c:pt idx="824">
                  <c:v>-0.14718153637174014</c:v>
                </c:pt>
                <c:pt idx="825">
                  <c:v>-5.8586432611484662E-2</c:v>
                </c:pt>
                <c:pt idx="826">
                  <c:v>-6.698466525724478E-2</c:v>
                </c:pt>
                <c:pt idx="827">
                  <c:v>7.675397418436436E-2</c:v>
                </c:pt>
                <c:pt idx="828">
                  <c:v>-4.8423227326492402E-2</c:v>
                </c:pt>
                <c:pt idx="829">
                  <c:v>-5.8019897324255165E-2</c:v>
                </c:pt>
                <c:pt idx="830">
                  <c:v>-0.17460182202909125</c:v>
                </c:pt>
                <c:pt idx="831">
                  <c:v>-0.15406823569557448</c:v>
                </c:pt>
                <c:pt idx="832">
                  <c:v>-0.1574899891142123</c:v>
                </c:pt>
                <c:pt idx="833">
                  <c:v>-0.23592283532048319</c:v>
                </c:pt>
                <c:pt idx="834">
                  <c:v>-0.28314751835706753</c:v>
                </c:pt>
                <c:pt idx="835">
                  <c:v>1.3967772431859427E-2</c:v>
                </c:pt>
                <c:pt idx="836">
                  <c:v>-0.16871477056782258</c:v>
                </c:pt>
                <c:pt idx="837">
                  <c:v>-9.0406760095608885E-2</c:v>
                </c:pt>
                <c:pt idx="838">
                  <c:v>-0.20132418295554233</c:v>
                </c:pt>
                <c:pt idx="839">
                  <c:v>-9.0885002378734203E-2</c:v>
                </c:pt>
                <c:pt idx="840">
                  <c:v>-0.10857023257730192</c:v>
                </c:pt>
                <c:pt idx="841">
                  <c:v>-8.0462801481450352E-2</c:v>
                </c:pt>
                <c:pt idx="842">
                  <c:v>-7.1944710445837057E-2</c:v>
                </c:pt>
                <c:pt idx="843">
                  <c:v>-0.15729895109163139</c:v>
                </c:pt>
                <c:pt idx="844">
                  <c:v>-0.20279446793367395</c:v>
                </c:pt>
                <c:pt idx="845">
                  <c:v>-7.1641502822543002E-2</c:v>
                </c:pt>
                <c:pt idx="846">
                  <c:v>-7.5737222369962165E-2</c:v>
                </c:pt>
                <c:pt idx="847">
                  <c:v>-0.1319108089806289</c:v>
                </c:pt>
                <c:pt idx="848">
                  <c:v>-0.13947700890468573</c:v>
                </c:pt>
                <c:pt idx="849">
                  <c:v>-0.22393721151475088</c:v>
                </c:pt>
                <c:pt idx="850">
                  <c:v>-9.8690159576977576E-2</c:v>
                </c:pt>
                <c:pt idx="851">
                  <c:v>-0.10831122199045207</c:v>
                </c:pt>
                <c:pt idx="852">
                  <c:v>-0.11197150796141675</c:v>
                </c:pt>
                <c:pt idx="853">
                  <c:v>-0.13398522163594828</c:v>
                </c:pt>
                <c:pt idx="854">
                  <c:v>-0.17398712750996337</c:v>
                </c:pt>
                <c:pt idx="855">
                  <c:v>-0.16061629949418332</c:v>
                </c:pt>
                <c:pt idx="856">
                  <c:v>-5.921162379814171E-2</c:v>
                </c:pt>
                <c:pt idx="857">
                  <c:v>-5.4218829100237231E-2</c:v>
                </c:pt>
                <c:pt idx="858">
                  <c:v>-0.19802377494462609</c:v>
                </c:pt>
                <c:pt idx="859">
                  <c:v>-0.22863804297243195</c:v>
                </c:pt>
                <c:pt idx="860">
                  <c:v>4.3798685067319987E-3</c:v>
                </c:pt>
                <c:pt idx="861">
                  <c:v>-0.15210313208254278</c:v>
                </c:pt>
                <c:pt idx="862">
                  <c:v>-0.25075867436680843</c:v>
                </c:pt>
                <c:pt idx="863">
                  <c:v>-6.8629796743388649E-2</c:v>
                </c:pt>
                <c:pt idx="864">
                  <c:v>-0.12878646872629451</c:v>
                </c:pt>
                <c:pt idx="865">
                  <c:v>-0.18033950960514866</c:v>
                </c:pt>
                <c:pt idx="866">
                  <c:v>-0.16011210428814393</c:v>
                </c:pt>
                <c:pt idx="867">
                  <c:v>-0.1348978414657851</c:v>
                </c:pt>
                <c:pt idx="868">
                  <c:v>-0.28770573353937001</c:v>
                </c:pt>
                <c:pt idx="869">
                  <c:v>-0.17896656326483451</c:v>
                </c:pt>
                <c:pt idx="870">
                  <c:v>-0.10386198786908207</c:v>
                </c:pt>
                <c:pt idx="871">
                  <c:v>-0.20123960174776068</c:v>
                </c:pt>
                <c:pt idx="872">
                  <c:v>-0.18194884033142467</c:v>
                </c:pt>
                <c:pt idx="873">
                  <c:v>-0.22377993846444633</c:v>
                </c:pt>
                <c:pt idx="874">
                  <c:v>-0.10789961873822373</c:v>
                </c:pt>
                <c:pt idx="875">
                  <c:v>-0.12235413183667121</c:v>
                </c:pt>
                <c:pt idx="876">
                  <c:v>-0.24843787688906294</c:v>
                </c:pt>
                <c:pt idx="877">
                  <c:v>-0.1895753907582638</c:v>
                </c:pt>
                <c:pt idx="878">
                  <c:v>-0.11852017164502859</c:v>
                </c:pt>
                <c:pt idx="879">
                  <c:v>-0.18430314233083833</c:v>
                </c:pt>
                <c:pt idx="880">
                  <c:v>-0.17027905477470351</c:v>
                </c:pt>
                <c:pt idx="881">
                  <c:v>-0.11449074724945885</c:v>
                </c:pt>
                <c:pt idx="882">
                  <c:v>-6.8633934148896847E-2</c:v>
                </c:pt>
                <c:pt idx="883">
                  <c:v>-0.18545983802960353</c:v>
                </c:pt>
                <c:pt idx="884">
                  <c:v>-0.16948421108082456</c:v>
                </c:pt>
                <c:pt idx="885">
                  <c:v>1.7198494526454944E-2</c:v>
                </c:pt>
                <c:pt idx="886">
                  <c:v>-6.1209790759224503E-2</c:v>
                </c:pt>
                <c:pt idx="887">
                  <c:v>-0.14988371394483246</c:v>
                </c:pt>
                <c:pt idx="888">
                  <c:v>-0.12797278086972041</c:v>
                </c:pt>
                <c:pt idx="889">
                  <c:v>-0.15637182741323064</c:v>
                </c:pt>
                <c:pt idx="890">
                  <c:v>-0.12876434972791184</c:v>
                </c:pt>
                <c:pt idx="891">
                  <c:v>-0.14143116405013023</c:v>
                </c:pt>
                <c:pt idx="892">
                  <c:v>-0.15536345301750076</c:v>
                </c:pt>
                <c:pt idx="893">
                  <c:v>-0.11869204171476033</c:v>
                </c:pt>
                <c:pt idx="894">
                  <c:v>-0.19384477301360792</c:v>
                </c:pt>
                <c:pt idx="895">
                  <c:v>-8.442396041725897E-2</c:v>
                </c:pt>
                <c:pt idx="896">
                  <c:v>-0.20879934861375471</c:v>
                </c:pt>
                <c:pt idx="897">
                  <c:v>-8.100097016359431E-2</c:v>
                </c:pt>
                <c:pt idx="898">
                  <c:v>-0.16238170776006733</c:v>
                </c:pt>
                <c:pt idx="899">
                  <c:v>-0.20776106166547204</c:v>
                </c:pt>
                <c:pt idx="900">
                  <c:v>-0.12145382824874806</c:v>
                </c:pt>
                <c:pt idx="901">
                  <c:v>-0.15831708779829423</c:v>
                </c:pt>
                <c:pt idx="902">
                  <c:v>-0.14694673882411435</c:v>
                </c:pt>
                <c:pt idx="903">
                  <c:v>-0.13936683791181514</c:v>
                </c:pt>
                <c:pt idx="904">
                  <c:v>-0.13152019120300196</c:v>
                </c:pt>
                <c:pt idx="905">
                  <c:v>-0.10739987157608777</c:v>
                </c:pt>
                <c:pt idx="906">
                  <c:v>-3.4478418711541003E-2</c:v>
                </c:pt>
                <c:pt idx="907">
                  <c:v>-0.19589010474831858</c:v>
                </c:pt>
                <c:pt idx="908">
                  <c:v>2.8894515993788783E-2</c:v>
                </c:pt>
                <c:pt idx="909">
                  <c:v>-0.16711706122380354</c:v>
                </c:pt>
                <c:pt idx="910">
                  <c:v>-0.15428902174212622</c:v>
                </c:pt>
                <c:pt idx="911">
                  <c:v>-0.12731158519979147</c:v>
                </c:pt>
                <c:pt idx="912">
                  <c:v>-0.17045788521030936</c:v>
                </c:pt>
                <c:pt idx="913">
                  <c:v>-8.5176948652713191E-2</c:v>
                </c:pt>
                <c:pt idx="914">
                  <c:v>-5.9141663909665132E-2</c:v>
                </c:pt>
                <c:pt idx="915">
                  <c:v>-9.9399243839885854E-2</c:v>
                </c:pt>
                <c:pt idx="916">
                  <c:v>-7.5945728514224431E-2</c:v>
                </c:pt>
                <c:pt idx="917">
                  <c:v>-0.16122623373896139</c:v>
                </c:pt>
                <c:pt idx="918">
                  <c:v>-0.13433562449257008</c:v>
                </c:pt>
                <c:pt idx="919">
                  <c:v>-0.21666687252306205</c:v>
                </c:pt>
                <c:pt idx="920">
                  <c:v>-0.18684312020392579</c:v>
                </c:pt>
                <c:pt idx="921">
                  <c:v>-7.6368447394370875E-2</c:v>
                </c:pt>
                <c:pt idx="922">
                  <c:v>-0.20342831572794862</c:v>
                </c:pt>
                <c:pt idx="923">
                  <c:v>-2.8678454393090469E-2</c:v>
                </c:pt>
                <c:pt idx="924">
                  <c:v>-0.15574658146968634</c:v>
                </c:pt>
                <c:pt idx="925">
                  <c:v>-0.12827057725154023</c:v>
                </c:pt>
                <c:pt idx="926">
                  <c:v>-6.0175028963500798E-2</c:v>
                </c:pt>
                <c:pt idx="927">
                  <c:v>-0.2425992593981392</c:v>
                </c:pt>
                <c:pt idx="928">
                  <c:v>-0.14395930376558841</c:v>
                </c:pt>
                <c:pt idx="929">
                  <c:v>-0.16889901258581186</c:v>
                </c:pt>
                <c:pt idx="930">
                  <c:v>-0.12535048295122642</c:v>
                </c:pt>
                <c:pt idx="931">
                  <c:v>-0.15312319542788888</c:v>
                </c:pt>
                <c:pt idx="932">
                  <c:v>-0.10923582364566609</c:v>
                </c:pt>
                <c:pt idx="933">
                  <c:v>-0.20085816062124706</c:v>
                </c:pt>
                <c:pt idx="934">
                  <c:v>-0.13536145593290905</c:v>
                </c:pt>
                <c:pt idx="935">
                  <c:v>-0.18849357831695479</c:v>
                </c:pt>
                <c:pt idx="936">
                  <c:v>-0.12687661203451328</c:v>
                </c:pt>
                <c:pt idx="937">
                  <c:v>-9.4135228749949285E-2</c:v>
                </c:pt>
                <c:pt idx="938">
                  <c:v>-0.11050573699152366</c:v>
                </c:pt>
                <c:pt idx="939">
                  <c:v>-8.7308327203877933E-2</c:v>
                </c:pt>
                <c:pt idx="940">
                  <c:v>-8.1177372105177392E-2</c:v>
                </c:pt>
                <c:pt idx="941">
                  <c:v>-0.15474696165160329</c:v>
                </c:pt>
                <c:pt idx="942">
                  <c:v>-0.14790544163913411</c:v>
                </c:pt>
                <c:pt idx="943">
                  <c:v>-0.12159986839926051</c:v>
                </c:pt>
                <c:pt idx="944">
                  <c:v>-0.21083745089866168</c:v>
                </c:pt>
                <c:pt idx="945">
                  <c:v>-0.24573091509601097</c:v>
                </c:pt>
                <c:pt idx="946">
                  <c:v>-0.11121126829398831</c:v>
                </c:pt>
                <c:pt idx="947">
                  <c:v>-4.6252475054953113E-2</c:v>
                </c:pt>
                <c:pt idx="948">
                  <c:v>-0.14071432915120563</c:v>
                </c:pt>
                <c:pt idx="949">
                  <c:v>-5.0752683775572294E-2</c:v>
                </c:pt>
                <c:pt idx="950">
                  <c:v>-0.19711704806099406</c:v>
                </c:pt>
                <c:pt idx="951">
                  <c:v>-0.22836141267961296</c:v>
                </c:pt>
                <c:pt idx="952">
                  <c:v>-0.13035263861791724</c:v>
                </c:pt>
                <c:pt idx="953">
                  <c:v>-9.8084581463208531E-2</c:v>
                </c:pt>
                <c:pt idx="954">
                  <c:v>-0.16169109892543654</c:v>
                </c:pt>
                <c:pt idx="955">
                  <c:v>-0.10449063659046676</c:v>
                </c:pt>
                <c:pt idx="956">
                  <c:v>-0.19722586551212307</c:v>
                </c:pt>
                <c:pt idx="957">
                  <c:v>-9.387220790196027E-2</c:v>
                </c:pt>
                <c:pt idx="958">
                  <c:v>-1.905684083141379E-2</c:v>
                </c:pt>
                <c:pt idx="959">
                  <c:v>-6.0631385950012495E-2</c:v>
                </c:pt>
                <c:pt idx="960">
                  <c:v>-0.20935732759683279</c:v>
                </c:pt>
                <c:pt idx="961">
                  <c:v>-0.19596187327031345</c:v>
                </c:pt>
                <c:pt idx="962">
                  <c:v>3.4384017843244408E-2</c:v>
                </c:pt>
                <c:pt idx="963">
                  <c:v>-0.17220726951787979</c:v>
                </c:pt>
                <c:pt idx="964">
                  <c:v>-0.20478036901909702</c:v>
                </c:pt>
                <c:pt idx="965">
                  <c:v>-0.15918008067708311</c:v>
                </c:pt>
                <c:pt idx="966">
                  <c:v>-6.7691823876929957E-2</c:v>
                </c:pt>
                <c:pt idx="967">
                  <c:v>-0.16075577215822312</c:v>
                </c:pt>
                <c:pt idx="968">
                  <c:v>-0.13064025613346697</c:v>
                </c:pt>
                <c:pt idx="969">
                  <c:v>-0.17971798605225531</c:v>
                </c:pt>
                <c:pt idx="970">
                  <c:v>-0.16383446413564173</c:v>
                </c:pt>
                <c:pt idx="971">
                  <c:v>-2.9149361886092739E-2</c:v>
                </c:pt>
                <c:pt idx="972">
                  <c:v>-0.17566620001100963</c:v>
                </c:pt>
                <c:pt idx="973">
                  <c:v>-2.3201470822280523E-2</c:v>
                </c:pt>
                <c:pt idx="974">
                  <c:v>-3.3339507055837103E-2</c:v>
                </c:pt>
                <c:pt idx="975">
                  <c:v>-0.11604433821215632</c:v>
                </c:pt>
                <c:pt idx="976">
                  <c:v>-5.2943036549095268E-2</c:v>
                </c:pt>
                <c:pt idx="977">
                  <c:v>-0.19609523410346419</c:v>
                </c:pt>
                <c:pt idx="978">
                  <c:v>-0.24153460235121704</c:v>
                </c:pt>
                <c:pt idx="979">
                  <c:v>-3.0074226223061995E-2</c:v>
                </c:pt>
                <c:pt idx="980">
                  <c:v>-0.11341670946019811</c:v>
                </c:pt>
                <c:pt idx="981">
                  <c:v>-0.23867937829332075</c:v>
                </c:pt>
                <c:pt idx="982">
                  <c:v>-0.13387428133606916</c:v>
                </c:pt>
                <c:pt idx="983">
                  <c:v>-4.3722973463199866E-2</c:v>
                </c:pt>
                <c:pt idx="984">
                  <c:v>-0.12435828356510004</c:v>
                </c:pt>
                <c:pt idx="985">
                  <c:v>-0.21283915633822303</c:v>
                </c:pt>
                <c:pt idx="986">
                  <c:v>9.7771170596105961E-4</c:v>
                </c:pt>
                <c:pt idx="987">
                  <c:v>-0.12862004764327128</c:v>
                </c:pt>
                <c:pt idx="988">
                  <c:v>-0.11652282588334062</c:v>
                </c:pt>
                <c:pt idx="989">
                  <c:v>-0.17359868931199551</c:v>
                </c:pt>
                <c:pt idx="990">
                  <c:v>-0.15323757669900862</c:v>
                </c:pt>
                <c:pt idx="991">
                  <c:v>-0.19302959634375849</c:v>
                </c:pt>
                <c:pt idx="992">
                  <c:v>-2.2540923256073153E-2</c:v>
                </c:pt>
                <c:pt idx="993">
                  <c:v>-0.15692925243011113</c:v>
                </c:pt>
                <c:pt idx="994">
                  <c:v>-0.16271065213604086</c:v>
                </c:pt>
                <c:pt idx="995">
                  <c:v>-0.17549137541533799</c:v>
                </c:pt>
                <c:pt idx="996">
                  <c:v>-0.19957664741483994</c:v>
                </c:pt>
                <c:pt idx="997">
                  <c:v>-4.7594113577636099E-2</c:v>
                </c:pt>
                <c:pt idx="998">
                  <c:v>-0.14525376087174502</c:v>
                </c:pt>
                <c:pt idx="999">
                  <c:v>-0.17303251218728466</c:v>
                </c:pt>
              </c:numCache>
            </c:numRef>
          </c:xVal>
          <c:yVal>
            <c:numRef>
              <c:f>Simulation!$I$6:$I$1005</c:f>
              <c:numCache>
                <c:formatCode>0.00_ ;\-0.00\ </c:formatCode>
                <c:ptCount val="1000"/>
                <c:pt idx="0">
                  <c:v>-26417.052282655073</c:v>
                </c:pt>
                <c:pt idx="1">
                  <c:v>-41934.969048405794</c:v>
                </c:pt>
                <c:pt idx="2">
                  <c:v>-31488.672031508409</c:v>
                </c:pt>
                <c:pt idx="3">
                  <c:v>-13288.146454448957</c:v>
                </c:pt>
                <c:pt idx="4">
                  <c:v>-40136.770641164418</c:v>
                </c:pt>
                <c:pt idx="5">
                  <c:v>-21032.951869530254</c:v>
                </c:pt>
                <c:pt idx="6">
                  <c:v>-28950.991111341369</c:v>
                </c:pt>
                <c:pt idx="7">
                  <c:v>-35306.868515838782</c:v>
                </c:pt>
                <c:pt idx="8">
                  <c:v>-30371.385919771274</c:v>
                </c:pt>
                <c:pt idx="9">
                  <c:v>-29926.314787564901</c:v>
                </c:pt>
                <c:pt idx="10">
                  <c:v>-38192.244824285284</c:v>
                </c:pt>
                <c:pt idx="11">
                  <c:v>-28974.497094069928</c:v>
                </c:pt>
                <c:pt idx="12">
                  <c:v>-32078.657189657039</c:v>
                </c:pt>
                <c:pt idx="13">
                  <c:v>-29194.527025518022</c:v>
                </c:pt>
                <c:pt idx="14">
                  <c:v>-21824.034152216234</c:v>
                </c:pt>
                <c:pt idx="15">
                  <c:v>-25253.346151895355</c:v>
                </c:pt>
                <c:pt idx="16">
                  <c:v>-30426.182241372517</c:v>
                </c:pt>
                <c:pt idx="17">
                  <c:v>-39869.135493272639</c:v>
                </c:pt>
                <c:pt idx="18">
                  <c:v>-27142.800846269674</c:v>
                </c:pt>
                <c:pt idx="19">
                  <c:v>-50986.921884043157</c:v>
                </c:pt>
                <c:pt idx="20">
                  <c:v>-42114.519639565537</c:v>
                </c:pt>
                <c:pt idx="21">
                  <c:v>-32093.824365815199</c:v>
                </c:pt>
                <c:pt idx="22">
                  <c:v>-41256.719000711164</c:v>
                </c:pt>
                <c:pt idx="23">
                  <c:v>-25341.170969050479</c:v>
                </c:pt>
                <c:pt idx="24">
                  <c:v>-30002.979798745582</c:v>
                </c:pt>
                <c:pt idx="25">
                  <c:v>-33491.700659687674</c:v>
                </c:pt>
                <c:pt idx="26">
                  <c:v>-36423.017159696188</c:v>
                </c:pt>
                <c:pt idx="27">
                  <c:v>-27449.970042345376</c:v>
                </c:pt>
                <c:pt idx="28">
                  <c:v>-20135.862588374192</c:v>
                </c:pt>
                <c:pt idx="29">
                  <c:v>-38897.063670678355</c:v>
                </c:pt>
                <c:pt idx="30">
                  <c:v>-32717.462037879101</c:v>
                </c:pt>
                <c:pt idx="31">
                  <c:v>-31614.416875697585</c:v>
                </c:pt>
                <c:pt idx="32">
                  <c:v>-31517.471667242033</c:v>
                </c:pt>
                <c:pt idx="33">
                  <c:v>-23784.594601974386</c:v>
                </c:pt>
                <c:pt idx="34">
                  <c:v>-35454.538669121437</c:v>
                </c:pt>
                <c:pt idx="35">
                  <c:v>-30262.43467364044</c:v>
                </c:pt>
                <c:pt idx="36">
                  <c:v>-33968.024679736845</c:v>
                </c:pt>
                <c:pt idx="37">
                  <c:v>-34331.899982973395</c:v>
                </c:pt>
                <c:pt idx="38">
                  <c:v>-24709.981878032748</c:v>
                </c:pt>
                <c:pt idx="39">
                  <c:v>-46906.857730425807</c:v>
                </c:pt>
                <c:pt idx="40">
                  <c:v>-37358.999201582337</c:v>
                </c:pt>
                <c:pt idx="41">
                  <c:v>-31199.606361407685</c:v>
                </c:pt>
                <c:pt idx="42">
                  <c:v>-35682.034739795243</c:v>
                </c:pt>
                <c:pt idx="43">
                  <c:v>-37270.814068843567</c:v>
                </c:pt>
                <c:pt idx="44">
                  <c:v>-32738.119988530976</c:v>
                </c:pt>
                <c:pt idx="45">
                  <c:v>-21809.498641348633</c:v>
                </c:pt>
                <c:pt idx="46">
                  <c:v>-27787.915540152193</c:v>
                </c:pt>
                <c:pt idx="47">
                  <c:v>-21599.035950596633</c:v>
                </c:pt>
                <c:pt idx="48">
                  <c:v>-46863.262741943196</c:v>
                </c:pt>
                <c:pt idx="49">
                  <c:v>-45152.231961912723</c:v>
                </c:pt>
                <c:pt idx="50">
                  <c:v>-24538.839718650474</c:v>
                </c:pt>
                <c:pt idx="51">
                  <c:v>-39102.152097617043</c:v>
                </c:pt>
                <c:pt idx="52">
                  <c:v>-26237.090987734788</c:v>
                </c:pt>
                <c:pt idx="53">
                  <c:v>-29953.101646109571</c:v>
                </c:pt>
                <c:pt idx="54">
                  <c:v>-32809.097074688791</c:v>
                </c:pt>
                <c:pt idx="55">
                  <c:v>-28768.17833475041</c:v>
                </c:pt>
                <c:pt idx="56">
                  <c:v>-34908.739430430156</c:v>
                </c:pt>
                <c:pt idx="57">
                  <c:v>-31121.613226229936</c:v>
                </c:pt>
                <c:pt idx="58">
                  <c:v>-32806.219888754349</c:v>
                </c:pt>
                <c:pt idx="59">
                  <c:v>-35634.258133795636</c:v>
                </c:pt>
                <c:pt idx="60">
                  <c:v>-6389.758471035806</c:v>
                </c:pt>
                <c:pt idx="61">
                  <c:v>-25672.325495191792</c:v>
                </c:pt>
                <c:pt idx="62">
                  <c:v>-19070.309479765492</c:v>
                </c:pt>
                <c:pt idx="63">
                  <c:v>-34066.048981494372</c:v>
                </c:pt>
                <c:pt idx="64">
                  <c:v>-32314.668023252991</c:v>
                </c:pt>
                <c:pt idx="65">
                  <c:v>-27359.845555962376</c:v>
                </c:pt>
                <c:pt idx="66">
                  <c:v>-37515.988402606177</c:v>
                </c:pt>
                <c:pt idx="67">
                  <c:v>-33865.653132137799</c:v>
                </c:pt>
                <c:pt idx="68">
                  <c:v>-21138.583212753045</c:v>
                </c:pt>
                <c:pt idx="69">
                  <c:v>-22635.774225546018</c:v>
                </c:pt>
                <c:pt idx="70">
                  <c:v>-31070.202479561209</c:v>
                </c:pt>
                <c:pt idx="71">
                  <c:v>-31037.975809634358</c:v>
                </c:pt>
                <c:pt idx="72">
                  <c:v>-14292.116100205763</c:v>
                </c:pt>
                <c:pt idx="73">
                  <c:v>-37448.321393077815</c:v>
                </c:pt>
                <c:pt idx="74">
                  <c:v>-49642.821230026384</c:v>
                </c:pt>
                <c:pt idx="75">
                  <c:v>-62177.499749565788</c:v>
                </c:pt>
                <c:pt idx="76">
                  <c:v>-46395.198989223631</c:v>
                </c:pt>
                <c:pt idx="77">
                  <c:v>-44296.682270944162</c:v>
                </c:pt>
                <c:pt idx="78">
                  <c:v>-19784.866114496792</c:v>
                </c:pt>
                <c:pt idx="79">
                  <c:v>-22045.037065116354</c:v>
                </c:pt>
                <c:pt idx="80">
                  <c:v>-10717.901731696649</c:v>
                </c:pt>
                <c:pt idx="81">
                  <c:v>-29868.682782994234</c:v>
                </c:pt>
                <c:pt idx="82">
                  <c:v>-30312.190201277263</c:v>
                </c:pt>
                <c:pt idx="83">
                  <c:v>-27799.409455879184</c:v>
                </c:pt>
                <c:pt idx="84">
                  <c:v>-26338.807258955145</c:v>
                </c:pt>
                <c:pt idx="85">
                  <c:v>-41579.80607254045</c:v>
                </c:pt>
                <c:pt idx="86">
                  <c:v>-30282.628297301824</c:v>
                </c:pt>
                <c:pt idx="87">
                  <c:v>-29146.923112332937</c:v>
                </c:pt>
                <c:pt idx="88">
                  <c:v>-32886.489742979596</c:v>
                </c:pt>
                <c:pt idx="89">
                  <c:v>-23869.597716630655</c:v>
                </c:pt>
                <c:pt idx="90">
                  <c:v>-22534.180852060817</c:v>
                </c:pt>
                <c:pt idx="91">
                  <c:v>-27440.139557979288</c:v>
                </c:pt>
                <c:pt idx="92">
                  <c:v>-37041.555189524035</c:v>
                </c:pt>
                <c:pt idx="93">
                  <c:v>-45541.129895866325</c:v>
                </c:pt>
                <c:pt idx="94">
                  <c:v>-39223.037575999333</c:v>
                </c:pt>
                <c:pt idx="95">
                  <c:v>-29544.156566201767</c:v>
                </c:pt>
                <c:pt idx="96">
                  <c:v>-7367.9837125374906</c:v>
                </c:pt>
                <c:pt idx="97">
                  <c:v>-38083.084195740157</c:v>
                </c:pt>
                <c:pt idx="98">
                  <c:v>-39800.183569799992</c:v>
                </c:pt>
                <c:pt idx="99">
                  <c:v>-43479.046165353138</c:v>
                </c:pt>
                <c:pt idx="100">
                  <c:v>-41557.201124020823</c:v>
                </c:pt>
                <c:pt idx="101">
                  <c:v>-54136.908485335822</c:v>
                </c:pt>
                <c:pt idx="102">
                  <c:v>-22167.010239770068</c:v>
                </c:pt>
                <c:pt idx="103">
                  <c:v>-22851.39461248451</c:v>
                </c:pt>
                <c:pt idx="104">
                  <c:v>-39395.625705766084</c:v>
                </c:pt>
                <c:pt idx="105">
                  <c:v>-29604.797134527849</c:v>
                </c:pt>
                <c:pt idx="106">
                  <c:v>-25238.057924326014</c:v>
                </c:pt>
                <c:pt idx="107">
                  <c:v>-22342.11077212634</c:v>
                </c:pt>
                <c:pt idx="108">
                  <c:v>-15844.994276098616</c:v>
                </c:pt>
                <c:pt idx="109">
                  <c:v>-33174.776246614711</c:v>
                </c:pt>
                <c:pt idx="110">
                  <c:v>-33103.095288548968</c:v>
                </c:pt>
                <c:pt idx="111">
                  <c:v>-23460.127643031345</c:v>
                </c:pt>
                <c:pt idx="112">
                  <c:v>-36464.28272834199</c:v>
                </c:pt>
                <c:pt idx="113">
                  <c:v>-32300.320698727824</c:v>
                </c:pt>
                <c:pt idx="114">
                  <c:v>-40610.94789501706</c:v>
                </c:pt>
                <c:pt idx="115">
                  <c:v>-25868.987871419333</c:v>
                </c:pt>
                <c:pt idx="116">
                  <c:v>-31638.938168361754</c:v>
                </c:pt>
                <c:pt idx="117">
                  <c:v>-19363.914620964744</c:v>
                </c:pt>
                <c:pt idx="118">
                  <c:v>-14627.674503630027</c:v>
                </c:pt>
                <c:pt idx="119">
                  <c:v>-30886.377746775193</c:v>
                </c:pt>
                <c:pt idx="120">
                  <c:v>-32918.57948786825</c:v>
                </c:pt>
                <c:pt idx="121">
                  <c:v>-23987.601149961789</c:v>
                </c:pt>
                <c:pt idx="122">
                  <c:v>-40381.964273438585</c:v>
                </c:pt>
                <c:pt idx="123">
                  <c:v>-15678.779697179227</c:v>
                </c:pt>
                <c:pt idx="124">
                  <c:v>-33226.345720828685</c:v>
                </c:pt>
                <c:pt idx="125">
                  <c:v>-16398.561816534973</c:v>
                </c:pt>
                <c:pt idx="126">
                  <c:v>-66051.517264190043</c:v>
                </c:pt>
                <c:pt idx="127">
                  <c:v>-24976.911095390402</c:v>
                </c:pt>
                <c:pt idx="128">
                  <c:v>-32192.607248614004</c:v>
                </c:pt>
                <c:pt idx="129">
                  <c:v>-29165.496351839116</c:v>
                </c:pt>
                <c:pt idx="130">
                  <c:v>-52956.605280327247</c:v>
                </c:pt>
                <c:pt idx="131">
                  <c:v>-35748.795141148817</c:v>
                </c:pt>
                <c:pt idx="132">
                  <c:v>-32348.287485755907</c:v>
                </c:pt>
                <c:pt idx="133">
                  <c:v>-29677.948922187265</c:v>
                </c:pt>
                <c:pt idx="134">
                  <c:v>-28078.025850922713</c:v>
                </c:pt>
                <c:pt idx="135">
                  <c:v>-32036.475282851912</c:v>
                </c:pt>
                <c:pt idx="136">
                  <c:v>-28638.23127804666</c:v>
                </c:pt>
                <c:pt idx="137">
                  <c:v>-12418.078553485117</c:v>
                </c:pt>
                <c:pt idx="138">
                  <c:v>-49067.203804474353</c:v>
                </c:pt>
                <c:pt idx="139">
                  <c:v>-35234.054360071983</c:v>
                </c:pt>
                <c:pt idx="140">
                  <c:v>-35739.269055699522</c:v>
                </c:pt>
                <c:pt idx="141">
                  <c:v>-26041.40728566685</c:v>
                </c:pt>
                <c:pt idx="142">
                  <c:v>-31500.884702897267</c:v>
                </c:pt>
                <c:pt idx="143">
                  <c:v>-15425.148193604822</c:v>
                </c:pt>
                <c:pt idx="144">
                  <c:v>-15130.283330801671</c:v>
                </c:pt>
                <c:pt idx="145">
                  <c:v>-28472.956538647428</c:v>
                </c:pt>
                <c:pt idx="146">
                  <c:v>-43557.939298900208</c:v>
                </c:pt>
                <c:pt idx="147">
                  <c:v>-33063.286559237618</c:v>
                </c:pt>
                <c:pt idx="148">
                  <c:v>-42168.147005325722</c:v>
                </c:pt>
                <c:pt idx="149">
                  <c:v>-24075.222647159273</c:v>
                </c:pt>
                <c:pt idx="150">
                  <c:v>-7967.2652450887545</c:v>
                </c:pt>
                <c:pt idx="151">
                  <c:v>-25911.085426339021</c:v>
                </c:pt>
                <c:pt idx="152">
                  <c:v>-33978.944057157249</c:v>
                </c:pt>
                <c:pt idx="153">
                  <c:v>-26237.450744029818</c:v>
                </c:pt>
                <c:pt idx="154">
                  <c:v>-44251.934226994141</c:v>
                </c:pt>
                <c:pt idx="155">
                  <c:v>-39805.281404278809</c:v>
                </c:pt>
                <c:pt idx="156">
                  <c:v>-26279.562166717857</c:v>
                </c:pt>
                <c:pt idx="157">
                  <c:v>-42298.974751076064</c:v>
                </c:pt>
                <c:pt idx="158">
                  <c:v>-21342.206761191366</c:v>
                </c:pt>
                <c:pt idx="159">
                  <c:v>-23517.632837898127</c:v>
                </c:pt>
                <c:pt idx="160">
                  <c:v>-25760.513838553903</c:v>
                </c:pt>
                <c:pt idx="161">
                  <c:v>-48605.231485955912</c:v>
                </c:pt>
                <c:pt idx="162">
                  <c:v>-20937.969049360079</c:v>
                </c:pt>
                <c:pt idx="163">
                  <c:v>-36320.193766174911</c:v>
                </c:pt>
                <c:pt idx="164">
                  <c:v>-15099.537535889191</c:v>
                </c:pt>
                <c:pt idx="165">
                  <c:v>-35635.284864028727</c:v>
                </c:pt>
                <c:pt idx="166">
                  <c:v>-37435.788938188212</c:v>
                </c:pt>
                <c:pt idx="167">
                  <c:v>-29570.334234658003</c:v>
                </c:pt>
                <c:pt idx="168">
                  <c:v>-9540.1561214867979</c:v>
                </c:pt>
                <c:pt idx="169">
                  <c:v>-48314.190277343077</c:v>
                </c:pt>
                <c:pt idx="170">
                  <c:v>-18732.653735656218</c:v>
                </c:pt>
                <c:pt idx="171">
                  <c:v>-12746.16696376168</c:v>
                </c:pt>
                <c:pt idx="172">
                  <c:v>-44719.701976820041</c:v>
                </c:pt>
                <c:pt idx="173">
                  <c:v>-32010.735902926157</c:v>
                </c:pt>
                <c:pt idx="174">
                  <c:v>-19060.117902576909</c:v>
                </c:pt>
                <c:pt idx="175">
                  <c:v>-33675.895531049653</c:v>
                </c:pt>
                <c:pt idx="176">
                  <c:v>-28446.247524654886</c:v>
                </c:pt>
                <c:pt idx="177">
                  <c:v>-51357.944348241348</c:v>
                </c:pt>
                <c:pt idx="178">
                  <c:v>-15872.219788022441</c:v>
                </c:pt>
                <c:pt idx="179">
                  <c:v>-35534.856709082946</c:v>
                </c:pt>
                <c:pt idx="180">
                  <c:v>-47943.74448608057</c:v>
                </c:pt>
                <c:pt idx="181">
                  <c:v>-26548.742036489857</c:v>
                </c:pt>
                <c:pt idx="182">
                  <c:v>-9120.2406013070431</c:v>
                </c:pt>
                <c:pt idx="183">
                  <c:v>-25921.076074446828</c:v>
                </c:pt>
                <c:pt idx="184">
                  <c:v>-11610.667107060945</c:v>
                </c:pt>
                <c:pt idx="185">
                  <c:v>-38516.696640377413</c:v>
                </c:pt>
                <c:pt idx="186">
                  <c:v>-21959.783551537781</c:v>
                </c:pt>
                <c:pt idx="187">
                  <c:v>-13890.427650275393</c:v>
                </c:pt>
                <c:pt idx="188">
                  <c:v>-50024.032477949149</c:v>
                </c:pt>
                <c:pt idx="189">
                  <c:v>-37601.927534244402</c:v>
                </c:pt>
                <c:pt idx="190">
                  <c:v>-30835.971509593874</c:v>
                </c:pt>
                <c:pt idx="191">
                  <c:v>-21170.893948740799</c:v>
                </c:pt>
                <c:pt idx="192">
                  <c:v>-28011.563179925506</c:v>
                </c:pt>
                <c:pt idx="193">
                  <c:v>-29350.250588497584</c:v>
                </c:pt>
                <c:pt idx="194">
                  <c:v>-33069.131647597911</c:v>
                </c:pt>
                <c:pt idx="195">
                  <c:v>-50717.316042479899</c:v>
                </c:pt>
                <c:pt idx="196">
                  <c:v>-10463.871555711739</c:v>
                </c:pt>
                <c:pt idx="197">
                  <c:v>-21062.992683337448</c:v>
                </c:pt>
                <c:pt idx="198">
                  <c:v>-40630.782166070363</c:v>
                </c:pt>
                <c:pt idx="199">
                  <c:v>-28165.887812344008</c:v>
                </c:pt>
                <c:pt idx="200">
                  <c:v>-30434.60296482213</c:v>
                </c:pt>
                <c:pt idx="201">
                  <c:v>-37010.872052451756</c:v>
                </c:pt>
                <c:pt idx="202">
                  <c:v>-41264.195536599778</c:v>
                </c:pt>
                <c:pt idx="203">
                  <c:v>-42573.06928195947</c:v>
                </c:pt>
                <c:pt idx="204">
                  <c:v>-52552.546864089803</c:v>
                </c:pt>
                <c:pt idx="205">
                  <c:v>-29634.755978198082</c:v>
                </c:pt>
                <c:pt idx="206">
                  <c:v>-31830.820251615631</c:v>
                </c:pt>
                <c:pt idx="207">
                  <c:v>-18389.477668518724</c:v>
                </c:pt>
                <c:pt idx="208">
                  <c:v>-31088.094506040026</c:v>
                </c:pt>
                <c:pt idx="209">
                  <c:v>-7524.7337719503266</c:v>
                </c:pt>
                <c:pt idx="210">
                  <c:v>-30073.2900124468</c:v>
                </c:pt>
                <c:pt idx="211">
                  <c:v>-29429.963827921209</c:v>
                </c:pt>
                <c:pt idx="212">
                  <c:v>-34672.725515067141</c:v>
                </c:pt>
                <c:pt idx="213">
                  <c:v>-22496.977669519154</c:v>
                </c:pt>
                <c:pt idx="214">
                  <c:v>-47666.853319531408</c:v>
                </c:pt>
                <c:pt idx="215">
                  <c:v>-41620.842894327856</c:v>
                </c:pt>
                <c:pt idx="216">
                  <c:v>-51921.727283940258</c:v>
                </c:pt>
                <c:pt idx="217">
                  <c:v>-16417.500106613385</c:v>
                </c:pt>
                <c:pt idx="218">
                  <c:v>-28407.899573063027</c:v>
                </c:pt>
                <c:pt idx="219">
                  <c:v>-25767.788129432141</c:v>
                </c:pt>
                <c:pt idx="220">
                  <c:v>-39316.705170860281</c:v>
                </c:pt>
                <c:pt idx="221">
                  <c:v>-19031.935058153351</c:v>
                </c:pt>
                <c:pt idx="222">
                  <c:v>-26660.635075059894</c:v>
                </c:pt>
                <c:pt idx="223">
                  <c:v>-32570.144420931101</c:v>
                </c:pt>
                <c:pt idx="224">
                  <c:v>-31725.53055578073</c:v>
                </c:pt>
                <c:pt idx="225">
                  <c:v>-20079.338995903876</c:v>
                </c:pt>
                <c:pt idx="226">
                  <c:v>-18218.159709733445</c:v>
                </c:pt>
                <c:pt idx="227">
                  <c:v>-40877.48094233853</c:v>
                </c:pt>
                <c:pt idx="228">
                  <c:v>-21704.576521766823</c:v>
                </c:pt>
                <c:pt idx="229">
                  <c:v>-15177.710785135103</c:v>
                </c:pt>
                <c:pt idx="230">
                  <c:v>-45410.911848910298</c:v>
                </c:pt>
                <c:pt idx="231">
                  <c:v>-47840.973859045451</c:v>
                </c:pt>
                <c:pt idx="232">
                  <c:v>-31772.28824044083</c:v>
                </c:pt>
                <c:pt idx="233">
                  <c:v>-20815.957248337523</c:v>
                </c:pt>
                <c:pt idx="234">
                  <c:v>-23405.039180068183</c:v>
                </c:pt>
                <c:pt idx="235">
                  <c:v>-28183.346872879178</c:v>
                </c:pt>
                <c:pt idx="236">
                  <c:v>-32422.213638871413</c:v>
                </c:pt>
                <c:pt idx="237">
                  <c:v>-41310.463703022731</c:v>
                </c:pt>
                <c:pt idx="238">
                  <c:v>-32443.039057619739</c:v>
                </c:pt>
                <c:pt idx="239">
                  <c:v>-31235.232425825146</c:v>
                </c:pt>
                <c:pt idx="240">
                  <c:v>-31824.630395604036</c:v>
                </c:pt>
                <c:pt idx="241">
                  <c:v>-20992.586269768348</c:v>
                </c:pt>
                <c:pt idx="242">
                  <c:v>-26986.344908668674</c:v>
                </c:pt>
                <c:pt idx="243">
                  <c:v>-46176.675822198464</c:v>
                </c:pt>
                <c:pt idx="244">
                  <c:v>-40285.038268503951</c:v>
                </c:pt>
                <c:pt idx="245">
                  <c:v>-21822.790487460385</c:v>
                </c:pt>
                <c:pt idx="246">
                  <c:v>-21878.077047795523</c:v>
                </c:pt>
                <c:pt idx="247">
                  <c:v>-32471.631537944675</c:v>
                </c:pt>
                <c:pt idx="248">
                  <c:v>-26267.699931745141</c:v>
                </c:pt>
                <c:pt idx="249">
                  <c:v>-37216.873327571826</c:v>
                </c:pt>
                <c:pt idx="250">
                  <c:v>-38748.320377658238</c:v>
                </c:pt>
                <c:pt idx="251">
                  <c:v>-36136.538300348417</c:v>
                </c:pt>
                <c:pt idx="252">
                  <c:v>-24719.128690008685</c:v>
                </c:pt>
                <c:pt idx="253">
                  <c:v>-37780.253829755646</c:v>
                </c:pt>
                <c:pt idx="254">
                  <c:v>-31923.399821339786</c:v>
                </c:pt>
                <c:pt idx="255">
                  <c:v>-46429.92426741829</c:v>
                </c:pt>
                <c:pt idx="256">
                  <c:v>-34536.903888464789</c:v>
                </c:pt>
                <c:pt idx="257">
                  <c:v>-27741.906216391784</c:v>
                </c:pt>
                <c:pt idx="258">
                  <c:v>-30245.240651158354</c:v>
                </c:pt>
                <c:pt idx="259">
                  <c:v>-29138.428820542453</c:v>
                </c:pt>
                <c:pt idx="260">
                  <c:v>-30560.87685932593</c:v>
                </c:pt>
                <c:pt idx="261">
                  <c:v>-12419.634800265892</c:v>
                </c:pt>
                <c:pt idx="262">
                  <c:v>-39453.480551605244</c:v>
                </c:pt>
                <c:pt idx="263">
                  <c:v>-21917.264373443846</c:v>
                </c:pt>
                <c:pt idx="264">
                  <c:v>-53195.530399460957</c:v>
                </c:pt>
                <c:pt idx="265">
                  <c:v>-39665.853478921286</c:v>
                </c:pt>
                <c:pt idx="266">
                  <c:v>-29174.046782443722</c:v>
                </c:pt>
                <c:pt idx="267">
                  <c:v>-49528.382591457528</c:v>
                </c:pt>
                <c:pt idx="268">
                  <c:v>-9794.9176849510695</c:v>
                </c:pt>
                <c:pt idx="269">
                  <c:v>-29204.233376621632</c:v>
                </c:pt>
                <c:pt idx="270">
                  <c:v>-39232.98624362814</c:v>
                </c:pt>
                <c:pt idx="271">
                  <c:v>-27318.996273854136</c:v>
                </c:pt>
                <c:pt idx="272">
                  <c:v>-29044.385920940025</c:v>
                </c:pt>
                <c:pt idx="273">
                  <c:v>-35075.461061061578</c:v>
                </c:pt>
                <c:pt idx="274">
                  <c:v>-40590.217052333028</c:v>
                </c:pt>
                <c:pt idx="275">
                  <c:v>-15109.038785589713</c:v>
                </c:pt>
                <c:pt idx="276">
                  <c:v>-37288.14036849486</c:v>
                </c:pt>
                <c:pt idx="277">
                  <c:v>-37684.433836002208</c:v>
                </c:pt>
                <c:pt idx="278">
                  <c:v>-23265.256942852138</c:v>
                </c:pt>
                <c:pt idx="279">
                  <c:v>-30781.590954706611</c:v>
                </c:pt>
                <c:pt idx="280">
                  <c:v>-37404.60458205649</c:v>
                </c:pt>
                <c:pt idx="281">
                  <c:v>-36212.131622520232</c:v>
                </c:pt>
                <c:pt idx="282">
                  <c:v>-26319.41546398538</c:v>
                </c:pt>
                <c:pt idx="283">
                  <c:v>-33668.2310967105</c:v>
                </c:pt>
                <c:pt idx="284">
                  <c:v>-28638.823925124627</c:v>
                </c:pt>
                <c:pt idx="285">
                  <c:v>-26279.416826514949</c:v>
                </c:pt>
                <c:pt idx="286">
                  <c:v>-23814.992490902689</c:v>
                </c:pt>
                <c:pt idx="287">
                  <c:v>-32352.282532518002</c:v>
                </c:pt>
                <c:pt idx="288">
                  <c:v>-21504.33485118016</c:v>
                </c:pt>
                <c:pt idx="289">
                  <c:v>-30204.524607552274</c:v>
                </c:pt>
                <c:pt idx="290">
                  <c:v>-33367.233949458838</c:v>
                </c:pt>
                <c:pt idx="291">
                  <c:v>-29051.294114404664</c:v>
                </c:pt>
                <c:pt idx="292">
                  <c:v>-30303.087870943185</c:v>
                </c:pt>
                <c:pt idx="293">
                  <c:v>-63960.137320091861</c:v>
                </c:pt>
                <c:pt idx="294">
                  <c:v>-34964.728272060689</c:v>
                </c:pt>
                <c:pt idx="295">
                  <c:v>-43773.577497762628</c:v>
                </c:pt>
                <c:pt idx="296">
                  <c:v>-32260.92817849695</c:v>
                </c:pt>
                <c:pt idx="297">
                  <c:v>-29192.465503651838</c:v>
                </c:pt>
                <c:pt idx="298">
                  <c:v>-42832.871334923329</c:v>
                </c:pt>
                <c:pt idx="299">
                  <c:v>-40386.918476756167</c:v>
                </c:pt>
                <c:pt idx="300">
                  <c:v>-37386.593468853316</c:v>
                </c:pt>
                <c:pt idx="301">
                  <c:v>-14667.694103823655</c:v>
                </c:pt>
                <c:pt idx="302">
                  <c:v>-32419.754337434118</c:v>
                </c:pt>
                <c:pt idx="303">
                  <c:v>-25620.113478082552</c:v>
                </c:pt>
                <c:pt idx="304">
                  <c:v>-19959.887947716852</c:v>
                </c:pt>
                <c:pt idx="305">
                  <c:v>-25488.632315871007</c:v>
                </c:pt>
                <c:pt idx="306">
                  <c:v>-21175.652676875048</c:v>
                </c:pt>
                <c:pt idx="307">
                  <c:v>-17731.561448718261</c:v>
                </c:pt>
                <c:pt idx="308">
                  <c:v>-25393.027682230299</c:v>
                </c:pt>
                <c:pt idx="309">
                  <c:v>-28250.535300643125</c:v>
                </c:pt>
                <c:pt idx="310">
                  <c:v>-45049.787519143007</c:v>
                </c:pt>
                <c:pt idx="311">
                  <c:v>-30428.930103950697</c:v>
                </c:pt>
                <c:pt idx="312">
                  <c:v>-33135.867263727545</c:v>
                </c:pt>
                <c:pt idx="313">
                  <c:v>-43238.996876254343</c:v>
                </c:pt>
                <c:pt idx="314">
                  <c:v>-17105.93409189042</c:v>
                </c:pt>
                <c:pt idx="315">
                  <c:v>-32583.715558229058</c:v>
                </c:pt>
                <c:pt idx="316">
                  <c:v>-29032.497711969176</c:v>
                </c:pt>
                <c:pt idx="317">
                  <c:v>-39444.896319693013</c:v>
                </c:pt>
                <c:pt idx="318">
                  <c:v>-29715.828273310486</c:v>
                </c:pt>
                <c:pt idx="319">
                  <c:v>-26836.762916775609</c:v>
                </c:pt>
                <c:pt idx="320">
                  <c:v>-36346.987850796679</c:v>
                </c:pt>
                <c:pt idx="321">
                  <c:v>-26582.838973419057</c:v>
                </c:pt>
                <c:pt idx="322">
                  <c:v>-26172.477654549264</c:v>
                </c:pt>
                <c:pt idx="323">
                  <c:v>-38403.03439309173</c:v>
                </c:pt>
                <c:pt idx="324">
                  <c:v>-10212.635388076436</c:v>
                </c:pt>
                <c:pt idx="325">
                  <c:v>-26346.520206095069</c:v>
                </c:pt>
                <c:pt idx="326">
                  <c:v>-31654.216247369812</c:v>
                </c:pt>
                <c:pt idx="327">
                  <c:v>-40632.816316936442</c:v>
                </c:pt>
                <c:pt idx="328">
                  <c:v>-30858.211594141132</c:v>
                </c:pt>
                <c:pt idx="329">
                  <c:v>-26362.195136828697</c:v>
                </c:pt>
                <c:pt idx="330">
                  <c:v>-25409.168629924927</c:v>
                </c:pt>
                <c:pt idx="331">
                  <c:v>-26519.025342085981</c:v>
                </c:pt>
                <c:pt idx="332">
                  <c:v>-27730.52349400433</c:v>
                </c:pt>
                <c:pt idx="333">
                  <c:v>-32958.558502841392</c:v>
                </c:pt>
                <c:pt idx="334">
                  <c:v>-31799.785806086031</c:v>
                </c:pt>
                <c:pt idx="335">
                  <c:v>-30325.873949363231</c:v>
                </c:pt>
                <c:pt idx="336">
                  <c:v>-31799.153874492273</c:v>
                </c:pt>
                <c:pt idx="337">
                  <c:v>-24144.277235379865</c:v>
                </c:pt>
                <c:pt idx="338">
                  <c:v>-22251.991595186744</c:v>
                </c:pt>
                <c:pt idx="339">
                  <c:v>-45766.736607023631</c:v>
                </c:pt>
                <c:pt idx="340">
                  <c:v>-50312.506451302615</c:v>
                </c:pt>
                <c:pt idx="341">
                  <c:v>-41827.054673484599</c:v>
                </c:pt>
                <c:pt idx="342">
                  <c:v>-27101.895959482848</c:v>
                </c:pt>
                <c:pt idx="343">
                  <c:v>-31769.220624567897</c:v>
                </c:pt>
                <c:pt idx="344">
                  <c:v>-14798.132026643943</c:v>
                </c:pt>
                <c:pt idx="345">
                  <c:v>-21625.597932331861</c:v>
                </c:pt>
                <c:pt idx="346">
                  <c:v>-57928.964956325799</c:v>
                </c:pt>
                <c:pt idx="347">
                  <c:v>-29744.274370610598</c:v>
                </c:pt>
                <c:pt idx="348">
                  <c:v>-33406.872378020795</c:v>
                </c:pt>
                <c:pt idx="349">
                  <c:v>-34963.080397744241</c:v>
                </c:pt>
                <c:pt idx="350">
                  <c:v>-22603.829613005539</c:v>
                </c:pt>
                <c:pt idx="351">
                  <c:v>-49494.096854539996</c:v>
                </c:pt>
                <c:pt idx="352">
                  <c:v>-36536.69515543661</c:v>
                </c:pt>
                <c:pt idx="353">
                  <c:v>-18980.671245662277</c:v>
                </c:pt>
                <c:pt idx="354">
                  <c:v>-43564.973918304066</c:v>
                </c:pt>
                <c:pt idx="355">
                  <c:v>-15454.633986748617</c:v>
                </c:pt>
                <c:pt idx="356">
                  <c:v>-56842.289719938271</c:v>
                </c:pt>
                <c:pt idx="357">
                  <c:v>-24581.708044165993</c:v>
                </c:pt>
                <c:pt idx="358">
                  <c:v>-24022.844478191211</c:v>
                </c:pt>
                <c:pt idx="359">
                  <c:v>-24106.167262250252</c:v>
                </c:pt>
                <c:pt idx="360">
                  <c:v>-32346.792087284237</c:v>
                </c:pt>
                <c:pt idx="361">
                  <c:v>-29733.493831919972</c:v>
                </c:pt>
                <c:pt idx="362">
                  <c:v>-37106.337121892997</c:v>
                </c:pt>
                <c:pt idx="363">
                  <c:v>-33526.257163363058</c:v>
                </c:pt>
                <c:pt idx="364">
                  <c:v>-30757.435264974047</c:v>
                </c:pt>
                <c:pt idx="365">
                  <c:v>-33693.638658632073</c:v>
                </c:pt>
                <c:pt idx="366">
                  <c:v>-25913.800758221783</c:v>
                </c:pt>
                <c:pt idx="367">
                  <c:v>-43738.39354988694</c:v>
                </c:pt>
                <c:pt idx="368">
                  <c:v>-20465.569846839586</c:v>
                </c:pt>
                <c:pt idx="369">
                  <c:v>-20658.441484612093</c:v>
                </c:pt>
                <c:pt idx="370">
                  <c:v>-46100.274983762502</c:v>
                </c:pt>
                <c:pt idx="371">
                  <c:v>-38008.340832700866</c:v>
                </c:pt>
                <c:pt idx="372">
                  <c:v>-33859.293317141884</c:v>
                </c:pt>
                <c:pt idx="373">
                  <c:v>-31040.486404058523</c:v>
                </c:pt>
                <c:pt idx="374">
                  <c:v>-29669.860758008275</c:v>
                </c:pt>
                <c:pt idx="375">
                  <c:v>-27196.547928976084</c:v>
                </c:pt>
                <c:pt idx="376">
                  <c:v>-37956.532200335409</c:v>
                </c:pt>
                <c:pt idx="377">
                  <c:v>-27370.262934572078</c:v>
                </c:pt>
                <c:pt idx="378">
                  <c:v>-38036.040220059702</c:v>
                </c:pt>
                <c:pt idx="379">
                  <c:v>-36689.191328769652</c:v>
                </c:pt>
                <c:pt idx="380">
                  <c:v>-34189.107857807438</c:v>
                </c:pt>
                <c:pt idx="381">
                  <c:v>-54787.290261530885</c:v>
                </c:pt>
                <c:pt idx="382">
                  <c:v>-36698.88684785334</c:v>
                </c:pt>
                <c:pt idx="383">
                  <c:v>-31196.470947495342</c:v>
                </c:pt>
                <c:pt idx="384">
                  <c:v>-27701.776908304542</c:v>
                </c:pt>
                <c:pt idx="385">
                  <c:v>-25604.809700567042</c:v>
                </c:pt>
                <c:pt idx="386">
                  <c:v>-38802.404386488779</c:v>
                </c:pt>
                <c:pt idx="387">
                  <c:v>-43436.903618655429</c:v>
                </c:pt>
                <c:pt idx="388">
                  <c:v>-15271.951991145717</c:v>
                </c:pt>
                <c:pt idx="389">
                  <c:v>-29580.607116744926</c:v>
                </c:pt>
                <c:pt idx="390">
                  <c:v>-38858.088315735629</c:v>
                </c:pt>
                <c:pt idx="391">
                  <c:v>-54259.694026487734</c:v>
                </c:pt>
                <c:pt idx="392">
                  <c:v>-43611.972894067367</c:v>
                </c:pt>
                <c:pt idx="393">
                  <c:v>-28339.552774173353</c:v>
                </c:pt>
                <c:pt idx="394">
                  <c:v>-53272.832210840003</c:v>
                </c:pt>
                <c:pt idx="395">
                  <c:v>-40759.951617565006</c:v>
                </c:pt>
                <c:pt idx="396">
                  <c:v>-43122.58783939328</c:v>
                </c:pt>
                <c:pt idx="397">
                  <c:v>-15649.088671072634</c:v>
                </c:pt>
                <c:pt idx="398">
                  <c:v>-28717.325154522594</c:v>
                </c:pt>
                <c:pt idx="399">
                  <c:v>-17151.401047526262</c:v>
                </c:pt>
                <c:pt idx="400">
                  <c:v>-23905.960904828025</c:v>
                </c:pt>
                <c:pt idx="401">
                  <c:v>-64165.54065647957</c:v>
                </c:pt>
                <c:pt idx="402">
                  <c:v>-12968.923027958139</c:v>
                </c:pt>
                <c:pt idx="403">
                  <c:v>-47084.762958223859</c:v>
                </c:pt>
                <c:pt idx="404">
                  <c:v>-28400.523526551602</c:v>
                </c:pt>
                <c:pt idx="405">
                  <c:v>-33505.68836979827</c:v>
                </c:pt>
                <c:pt idx="406">
                  <c:v>-26145.353745242421</c:v>
                </c:pt>
                <c:pt idx="407">
                  <c:v>-24973.24607896067</c:v>
                </c:pt>
                <c:pt idx="408">
                  <c:v>-21558.585946905776</c:v>
                </c:pt>
                <c:pt idx="409">
                  <c:v>-23021.801316613957</c:v>
                </c:pt>
                <c:pt idx="410">
                  <c:v>-19252.255623325429</c:v>
                </c:pt>
                <c:pt idx="411">
                  <c:v>-20084.568066510605</c:v>
                </c:pt>
                <c:pt idx="412">
                  <c:v>-37061.091045724839</c:v>
                </c:pt>
                <c:pt idx="413">
                  <c:v>-40513.2058429928</c:v>
                </c:pt>
                <c:pt idx="414">
                  <c:v>-31892.175285573801</c:v>
                </c:pt>
                <c:pt idx="415">
                  <c:v>-35139.622389352124</c:v>
                </c:pt>
                <c:pt idx="416">
                  <c:v>-32921.409740257659</c:v>
                </c:pt>
                <c:pt idx="417">
                  <c:v>-23806.517544548755</c:v>
                </c:pt>
                <c:pt idx="418">
                  <c:v>-52238.440356968</c:v>
                </c:pt>
                <c:pt idx="419">
                  <c:v>-28958.423980775886</c:v>
                </c:pt>
                <c:pt idx="420">
                  <c:v>-35771.442313042702</c:v>
                </c:pt>
                <c:pt idx="421">
                  <c:v>-26617.160123037946</c:v>
                </c:pt>
                <c:pt idx="422">
                  <c:v>-34845.701480528864</c:v>
                </c:pt>
                <c:pt idx="423">
                  <c:v>-34152.904543582219</c:v>
                </c:pt>
                <c:pt idx="424">
                  <c:v>-36856.775832166619</c:v>
                </c:pt>
                <c:pt idx="425">
                  <c:v>-20216.420441860013</c:v>
                </c:pt>
                <c:pt idx="426">
                  <c:v>-17669.157769962796</c:v>
                </c:pt>
                <c:pt idx="427">
                  <c:v>-28507.827065199439</c:v>
                </c:pt>
                <c:pt idx="428">
                  <c:v>-8547.360389037618</c:v>
                </c:pt>
                <c:pt idx="429">
                  <c:v>-33422.345425678941</c:v>
                </c:pt>
                <c:pt idx="430">
                  <c:v>-29028.301188967816</c:v>
                </c:pt>
                <c:pt idx="431">
                  <c:v>-21085.621588276597</c:v>
                </c:pt>
                <c:pt idx="432">
                  <c:v>-37366.419476574607</c:v>
                </c:pt>
                <c:pt idx="433">
                  <c:v>-38999.373768675694</c:v>
                </c:pt>
                <c:pt idx="434">
                  <c:v>-43169.866595887026</c:v>
                </c:pt>
                <c:pt idx="435">
                  <c:v>-27783.627814677209</c:v>
                </c:pt>
                <c:pt idx="436">
                  <c:v>-20578.214024790141</c:v>
                </c:pt>
                <c:pt idx="437">
                  <c:v>-34770.910205319684</c:v>
                </c:pt>
                <c:pt idx="438">
                  <c:v>-44788.148956059929</c:v>
                </c:pt>
                <c:pt idx="439">
                  <c:v>-11821.786644307402</c:v>
                </c:pt>
                <c:pt idx="440">
                  <c:v>-32194.347287636163</c:v>
                </c:pt>
                <c:pt idx="441">
                  <c:v>-28102.544504014324</c:v>
                </c:pt>
                <c:pt idx="442">
                  <c:v>-20542.3336871832</c:v>
                </c:pt>
                <c:pt idx="443">
                  <c:v>-44853.269859250518</c:v>
                </c:pt>
                <c:pt idx="444">
                  <c:v>-25745.803387918466</c:v>
                </c:pt>
                <c:pt idx="445">
                  <c:v>-27090.194278374038</c:v>
                </c:pt>
                <c:pt idx="446">
                  <c:v>-51767.952669718841</c:v>
                </c:pt>
                <c:pt idx="447">
                  <c:v>-38319.294109404538</c:v>
                </c:pt>
                <c:pt idx="448">
                  <c:v>-24027.267103666745</c:v>
                </c:pt>
                <c:pt idx="449">
                  <c:v>-45753.438093537028</c:v>
                </c:pt>
                <c:pt idx="450">
                  <c:v>-25430.281193348099</c:v>
                </c:pt>
                <c:pt idx="451">
                  <c:v>-52717.707476815223</c:v>
                </c:pt>
                <c:pt idx="452">
                  <c:v>-35192.486583073493</c:v>
                </c:pt>
                <c:pt idx="453">
                  <c:v>-18250.062063492296</c:v>
                </c:pt>
                <c:pt idx="454">
                  <c:v>-29625.76965074375</c:v>
                </c:pt>
                <c:pt idx="455">
                  <c:v>-41279.140731691412</c:v>
                </c:pt>
                <c:pt idx="456">
                  <c:v>-33047.934147215943</c:v>
                </c:pt>
                <c:pt idx="457">
                  <c:v>-19230.603412710203</c:v>
                </c:pt>
                <c:pt idx="458">
                  <c:v>-34076.160382414848</c:v>
                </c:pt>
                <c:pt idx="459">
                  <c:v>-21243.370413489087</c:v>
                </c:pt>
                <c:pt idx="460">
                  <c:v>-17479.746860452869</c:v>
                </c:pt>
                <c:pt idx="461">
                  <c:v>-26891.570014190453</c:v>
                </c:pt>
                <c:pt idx="462">
                  <c:v>-25190.202948120204</c:v>
                </c:pt>
                <c:pt idx="463">
                  <c:v>-41918.470530246777</c:v>
                </c:pt>
                <c:pt idx="464">
                  <c:v>-37271.497441148822</c:v>
                </c:pt>
                <c:pt idx="465">
                  <c:v>-35631.806542133636</c:v>
                </c:pt>
                <c:pt idx="466">
                  <c:v>-40626.130747272138</c:v>
                </c:pt>
                <c:pt idx="467">
                  <c:v>-39017.634176331179</c:v>
                </c:pt>
                <c:pt idx="468">
                  <c:v>-30470.666598388721</c:v>
                </c:pt>
                <c:pt idx="469">
                  <c:v>-14985.540132833004</c:v>
                </c:pt>
                <c:pt idx="470">
                  <c:v>-32811.047064320752</c:v>
                </c:pt>
                <c:pt idx="471">
                  <c:v>-18812.566933292532</c:v>
                </c:pt>
                <c:pt idx="472">
                  <c:v>-17694.17498347658</c:v>
                </c:pt>
                <c:pt idx="473">
                  <c:v>-40863.964502774921</c:v>
                </c:pt>
                <c:pt idx="474">
                  <c:v>-41183.327142129914</c:v>
                </c:pt>
                <c:pt idx="475">
                  <c:v>-14183.100859194237</c:v>
                </c:pt>
                <c:pt idx="476">
                  <c:v>-25751.589389926332</c:v>
                </c:pt>
                <c:pt idx="477">
                  <c:v>-19218.83502958488</c:v>
                </c:pt>
                <c:pt idx="478">
                  <c:v>-40907.569214768693</c:v>
                </c:pt>
                <c:pt idx="479">
                  <c:v>-11668.455460300233</c:v>
                </c:pt>
                <c:pt idx="480">
                  <c:v>-27853.236533219795</c:v>
                </c:pt>
                <c:pt idx="481">
                  <c:v>-37817.968368088535</c:v>
                </c:pt>
                <c:pt idx="482">
                  <c:v>-31407.988840714708</c:v>
                </c:pt>
                <c:pt idx="483">
                  <c:v>-26234.768474954777</c:v>
                </c:pt>
                <c:pt idx="484">
                  <c:v>-23719.585829976553</c:v>
                </c:pt>
                <c:pt idx="485">
                  <c:v>-15019.496792555336</c:v>
                </c:pt>
                <c:pt idx="486">
                  <c:v>-34024.872826114777</c:v>
                </c:pt>
                <c:pt idx="487">
                  <c:v>-35345.053836652107</c:v>
                </c:pt>
                <c:pt idx="488">
                  <c:v>-12529.816124533085</c:v>
                </c:pt>
                <c:pt idx="489">
                  <c:v>-48479.676216805077</c:v>
                </c:pt>
                <c:pt idx="490">
                  <c:v>-22075.985790989056</c:v>
                </c:pt>
                <c:pt idx="491">
                  <c:v>-33717.692852460634</c:v>
                </c:pt>
                <c:pt idx="492">
                  <c:v>-48828.211195885873</c:v>
                </c:pt>
                <c:pt idx="493">
                  <c:v>-8512.8855923052033</c:v>
                </c:pt>
                <c:pt idx="494">
                  <c:v>-29628.904237103081</c:v>
                </c:pt>
                <c:pt idx="495">
                  <c:v>-22875.273739198572</c:v>
                </c:pt>
                <c:pt idx="496">
                  <c:v>-36267.733059989565</c:v>
                </c:pt>
                <c:pt idx="497">
                  <c:v>-28115.696046968718</c:v>
                </c:pt>
                <c:pt idx="498">
                  <c:v>-33830.815209726541</c:v>
                </c:pt>
                <c:pt idx="499">
                  <c:v>-59711.452121446651</c:v>
                </c:pt>
                <c:pt idx="500">
                  <c:v>-20054.884916370997</c:v>
                </c:pt>
                <c:pt idx="501">
                  <c:v>-33321.544938804</c:v>
                </c:pt>
                <c:pt idx="502">
                  <c:v>-31531.509232496202</c:v>
                </c:pt>
                <c:pt idx="503">
                  <c:v>-42797.896624050001</c:v>
                </c:pt>
                <c:pt idx="504">
                  <c:v>-37653.041330346823</c:v>
                </c:pt>
                <c:pt idx="505">
                  <c:v>-18664.95622429486</c:v>
                </c:pt>
                <c:pt idx="506">
                  <c:v>-29989.015036549448</c:v>
                </c:pt>
                <c:pt idx="507">
                  <c:v>-47174.731077351302</c:v>
                </c:pt>
                <c:pt idx="508">
                  <c:v>-31460.55952438066</c:v>
                </c:pt>
                <c:pt idx="509">
                  <c:v>-29441.465758340433</c:v>
                </c:pt>
                <c:pt idx="510">
                  <c:v>-25590.987950935218</c:v>
                </c:pt>
                <c:pt idx="511">
                  <c:v>-21698.792712190363</c:v>
                </c:pt>
                <c:pt idx="512">
                  <c:v>-30076.500737750815</c:v>
                </c:pt>
                <c:pt idx="513">
                  <c:v>-32417.924290033174</c:v>
                </c:pt>
                <c:pt idx="514">
                  <c:v>-49216.894860705826</c:v>
                </c:pt>
                <c:pt idx="515">
                  <c:v>-24693.057551038626</c:v>
                </c:pt>
                <c:pt idx="516">
                  <c:v>-24051.205932858051</c:v>
                </c:pt>
                <c:pt idx="517">
                  <c:v>-36875.023920130057</c:v>
                </c:pt>
                <c:pt idx="518">
                  <c:v>-37206.730845717611</c:v>
                </c:pt>
                <c:pt idx="519">
                  <c:v>-24075.994481981761</c:v>
                </c:pt>
                <c:pt idx="520">
                  <c:v>-24928.910569462889</c:v>
                </c:pt>
                <c:pt idx="521">
                  <c:v>-28783.996014582415</c:v>
                </c:pt>
                <c:pt idx="522">
                  <c:v>-25579.563113761644</c:v>
                </c:pt>
                <c:pt idx="523">
                  <c:v>-41139.145088135178</c:v>
                </c:pt>
                <c:pt idx="524">
                  <c:v>-31195.532861753833</c:v>
                </c:pt>
                <c:pt idx="525">
                  <c:v>-25708.653199428183</c:v>
                </c:pt>
                <c:pt idx="526">
                  <c:v>-28852.091849078293</c:v>
                </c:pt>
                <c:pt idx="527">
                  <c:v>-20808.796577286354</c:v>
                </c:pt>
                <c:pt idx="528">
                  <c:v>-30459.677640795242</c:v>
                </c:pt>
                <c:pt idx="529">
                  <c:v>-32177.257198723935</c:v>
                </c:pt>
                <c:pt idx="530">
                  <c:v>-30426.499406456263</c:v>
                </c:pt>
                <c:pt idx="531">
                  <c:v>-32263.848948808765</c:v>
                </c:pt>
                <c:pt idx="532">
                  <c:v>-45043.699711871261</c:v>
                </c:pt>
                <c:pt idx="533">
                  <c:v>-34830.536846788309</c:v>
                </c:pt>
                <c:pt idx="534">
                  <c:v>-37051.93941300147</c:v>
                </c:pt>
                <c:pt idx="535">
                  <c:v>-25688.990300210033</c:v>
                </c:pt>
                <c:pt idx="536">
                  <c:v>-22089.673569792343</c:v>
                </c:pt>
                <c:pt idx="537">
                  <c:v>-17574.731914196687</c:v>
                </c:pt>
                <c:pt idx="538">
                  <c:v>-46476.960520113964</c:v>
                </c:pt>
                <c:pt idx="539">
                  <c:v>-27719.290524044118</c:v>
                </c:pt>
                <c:pt idx="540">
                  <c:v>-19153.3720125447</c:v>
                </c:pt>
                <c:pt idx="541">
                  <c:v>-23515.277853602282</c:v>
                </c:pt>
                <c:pt idx="542">
                  <c:v>-31301.222138467405</c:v>
                </c:pt>
                <c:pt idx="543">
                  <c:v>-2187.1949377848941</c:v>
                </c:pt>
                <c:pt idx="544">
                  <c:v>-33690.262656507388</c:v>
                </c:pt>
                <c:pt idx="545">
                  <c:v>-47981.814980267765</c:v>
                </c:pt>
                <c:pt idx="546">
                  <c:v>-32653.345488936917</c:v>
                </c:pt>
                <c:pt idx="547">
                  <c:v>-20804.909500136971</c:v>
                </c:pt>
                <c:pt idx="548">
                  <c:v>-5346.5938851741957</c:v>
                </c:pt>
                <c:pt idx="549">
                  <c:v>-21335.640850066935</c:v>
                </c:pt>
                <c:pt idx="550">
                  <c:v>-18231.618338957458</c:v>
                </c:pt>
                <c:pt idx="551">
                  <c:v>-30203.917388904665</c:v>
                </c:pt>
                <c:pt idx="552">
                  <c:v>-34501.510245477344</c:v>
                </c:pt>
                <c:pt idx="553">
                  <c:v>-36931.92064098212</c:v>
                </c:pt>
                <c:pt idx="554">
                  <c:v>-36853.326808940386</c:v>
                </c:pt>
                <c:pt idx="555">
                  <c:v>-23539.520171248703</c:v>
                </c:pt>
                <c:pt idx="556">
                  <c:v>-51822.45297597337</c:v>
                </c:pt>
                <c:pt idx="557">
                  <c:v>-41505.926670672605</c:v>
                </c:pt>
                <c:pt idx="558">
                  <c:v>-31389.887503112303</c:v>
                </c:pt>
                <c:pt idx="559">
                  <c:v>-28563.803487071666</c:v>
                </c:pt>
                <c:pt idx="560">
                  <c:v>-42068.529661605804</c:v>
                </c:pt>
                <c:pt idx="561">
                  <c:v>-18244.099773031579</c:v>
                </c:pt>
                <c:pt idx="562">
                  <c:v>-30877.796185085332</c:v>
                </c:pt>
                <c:pt idx="563">
                  <c:v>-43627.666068963183</c:v>
                </c:pt>
                <c:pt idx="564">
                  <c:v>-30860.917724781189</c:v>
                </c:pt>
                <c:pt idx="565">
                  <c:v>-24930.619462595612</c:v>
                </c:pt>
                <c:pt idx="566">
                  <c:v>-24680.8595035287</c:v>
                </c:pt>
                <c:pt idx="567">
                  <c:v>-36500.843609442178</c:v>
                </c:pt>
                <c:pt idx="568">
                  <c:v>-24701.092880580458</c:v>
                </c:pt>
                <c:pt idx="569">
                  <c:v>-24524.597803608995</c:v>
                </c:pt>
                <c:pt idx="570">
                  <c:v>-23154.344757805578</c:v>
                </c:pt>
                <c:pt idx="571">
                  <c:v>-16472.78838903326</c:v>
                </c:pt>
                <c:pt idx="572">
                  <c:v>-24477.926328535075</c:v>
                </c:pt>
                <c:pt idx="573">
                  <c:v>-31468.233331523996</c:v>
                </c:pt>
                <c:pt idx="574">
                  <c:v>-20958.356676530646</c:v>
                </c:pt>
                <c:pt idx="575">
                  <c:v>-31335.315575225744</c:v>
                </c:pt>
                <c:pt idx="576">
                  <c:v>-33930.677303741977</c:v>
                </c:pt>
                <c:pt idx="577">
                  <c:v>-63017.943707634797</c:v>
                </c:pt>
                <c:pt idx="578">
                  <c:v>-26026.411708669999</c:v>
                </c:pt>
                <c:pt idx="579">
                  <c:v>-33462.595477079769</c:v>
                </c:pt>
                <c:pt idx="580">
                  <c:v>-41837.571049431644</c:v>
                </c:pt>
                <c:pt idx="581">
                  <c:v>-37809.555303198096</c:v>
                </c:pt>
                <c:pt idx="582">
                  <c:v>-39115.817299184986</c:v>
                </c:pt>
                <c:pt idx="583">
                  <c:v>-38872.259114375454</c:v>
                </c:pt>
                <c:pt idx="584">
                  <c:v>-31811.154623378752</c:v>
                </c:pt>
                <c:pt idx="585">
                  <c:v>-31680.711260445154</c:v>
                </c:pt>
                <c:pt idx="586">
                  <c:v>-28926.416342524157</c:v>
                </c:pt>
                <c:pt idx="587">
                  <c:v>-24880.305940432692</c:v>
                </c:pt>
                <c:pt idx="588">
                  <c:v>-21849.567938747248</c:v>
                </c:pt>
                <c:pt idx="589">
                  <c:v>-50638.956043376689</c:v>
                </c:pt>
                <c:pt idx="590">
                  <c:v>-20684.617412945852</c:v>
                </c:pt>
                <c:pt idx="591">
                  <c:v>-23817.890694759481</c:v>
                </c:pt>
                <c:pt idx="592">
                  <c:v>-34055.894694119386</c:v>
                </c:pt>
                <c:pt idx="593">
                  <c:v>-33660.991388205264</c:v>
                </c:pt>
                <c:pt idx="594">
                  <c:v>-33084.718033721641</c:v>
                </c:pt>
                <c:pt idx="595">
                  <c:v>-30852.792593838181</c:v>
                </c:pt>
                <c:pt idx="596">
                  <c:v>-28095.547307293687</c:v>
                </c:pt>
                <c:pt idx="597">
                  <c:v>-37998.274344742036</c:v>
                </c:pt>
                <c:pt idx="598">
                  <c:v>-46387.939115259214</c:v>
                </c:pt>
                <c:pt idx="599">
                  <c:v>-31721.79690049091</c:v>
                </c:pt>
                <c:pt idx="600">
                  <c:v>-21506.234224251661</c:v>
                </c:pt>
                <c:pt idx="601">
                  <c:v>-15571.762628887329</c:v>
                </c:pt>
                <c:pt idx="602">
                  <c:v>-30807.923999231032</c:v>
                </c:pt>
                <c:pt idx="603">
                  <c:v>-54710.743054832521</c:v>
                </c:pt>
                <c:pt idx="604">
                  <c:v>-30214.847657616658</c:v>
                </c:pt>
                <c:pt idx="605">
                  <c:v>-21572.888385002225</c:v>
                </c:pt>
                <c:pt idx="606">
                  <c:v>-39276.048186712957</c:v>
                </c:pt>
                <c:pt idx="607">
                  <c:v>-28551.205579617192</c:v>
                </c:pt>
                <c:pt idx="608">
                  <c:v>-32031.414903704877</c:v>
                </c:pt>
                <c:pt idx="609">
                  <c:v>-22633.101194678064</c:v>
                </c:pt>
                <c:pt idx="610">
                  <c:v>-31020.213954355815</c:v>
                </c:pt>
                <c:pt idx="611">
                  <c:v>-40400.870608099853</c:v>
                </c:pt>
                <c:pt idx="612">
                  <c:v>-26219.859531241236</c:v>
                </c:pt>
                <c:pt idx="613">
                  <c:v>-26455.074402906539</c:v>
                </c:pt>
                <c:pt idx="614">
                  <c:v>-35761.391393896061</c:v>
                </c:pt>
                <c:pt idx="615">
                  <c:v>-21057.986574038616</c:v>
                </c:pt>
                <c:pt idx="616">
                  <c:v>-35658.675617008077</c:v>
                </c:pt>
                <c:pt idx="617">
                  <c:v>-68573.945094258554</c:v>
                </c:pt>
                <c:pt idx="618">
                  <c:v>-20415.800005352903</c:v>
                </c:pt>
                <c:pt idx="619">
                  <c:v>-19929.173979164319</c:v>
                </c:pt>
                <c:pt idx="620">
                  <c:v>-12763.852876087389</c:v>
                </c:pt>
                <c:pt idx="621">
                  <c:v>-42385.28441912889</c:v>
                </c:pt>
                <c:pt idx="622">
                  <c:v>-45969.470875145387</c:v>
                </c:pt>
                <c:pt idx="623">
                  <c:v>-24973.827282597777</c:v>
                </c:pt>
                <c:pt idx="624">
                  <c:v>-47876.693411857894</c:v>
                </c:pt>
                <c:pt idx="625">
                  <c:v>-39931.469362597418</c:v>
                </c:pt>
                <c:pt idx="626">
                  <c:v>-45848.263861893545</c:v>
                </c:pt>
                <c:pt idx="627">
                  <c:v>-30437.621382036799</c:v>
                </c:pt>
                <c:pt idx="628">
                  <c:v>-36496.366516078197</c:v>
                </c:pt>
                <c:pt idx="629">
                  <c:v>-43161.294522373239</c:v>
                </c:pt>
                <c:pt idx="630">
                  <c:v>-21105.587073658884</c:v>
                </c:pt>
                <c:pt idx="631">
                  <c:v>-34807.524244032698</c:v>
                </c:pt>
                <c:pt idx="632">
                  <c:v>-32635.39757413289</c:v>
                </c:pt>
                <c:pt idx="633">
                  <c:v>-27611.875320059873</c:v>
                </c:pt>
                <c:pt idx="634">
                  <c:v>-17805.09516307243</c:v>
                </c:pt>
                <c:pt idx="635">
                  <c:v>-42371.659447417056</c:v>
                </c:pt>
                <c:pt idx="636">
                  <c:v>-54613.98432575092</c:v>
                </c:pt>
                <c:pt idx="637">
                  <c:v>-27367.243441077328</c:v>
                </c:pt>
                <c:pt idx="638">
                  <c:v>-28947.580291473118</c:v>
                </c:pt>
                <c:pt idx="639">
                  <c:v>-29233.032775686821</c:v>
                </c:pt>
                <c:pt idx="640">
                  <c:v>-43040.184773991597</c:v>
                </c:pt>
                <c:pt idx="641">
                  <c:v>-17716.532356663913</c:v>
                </c:pt>
                <c:pt idx="642">
                  <c:v>-32286.280714138731</c:v>
                </c:pt>
                <c:pt idx="643">
                  <c:v>-61431.572581780885</c:v>
                </c:pt>
                <c:pt idx="644">
                  <c:v>-38987.198884452373</c:v>
                </c:pt>
                <c:pt idx="645">
                  <c:v>-15572.042857948036</c:v>
                </c:pt>
                <c:pt idx="646">
                  <c:v>-25240.077167490541</c:v>
                </c:pt>
                <c:pt idx="647">
                  <c:v>-31827.835874823519</c:v>
                </c:pt>
                <c:pt idx="648">
                  <c:v>-22078.863352915214</c:v>
                </c:pt>
                <c:pt idx="649">
                  <c:v>-34206.880407093864</c:v>
                </c:pt>
                <c:pt idx="650">
                  <c:v>-17041.194662364796</c:v>
                </c:pt>
                <c:pt idx="651">
                  <c:v>-36716.482177327824</c:v>
                </c:pt>
                <c:pt idx="652">
                  <c:v>-28803.476278654314</c:v>
                </c:pt>
                <c:pt idx="653">
                  <c:v>-31987.622500734113</c:v>
                </c:pt>
                <c:pt idx="654">
                  <c:v>-26022.761328782479</c:v>
                </c:pt>
                <c:pt idx="655">
                  <c:v>-34542.238210245967</c:v>
                </c:pt>
                <c:pt idx="656">
                  <c:v>-39704.295630080669</c:v>
                </c:pt>
                <c:pt idx="657">
                  <c:v>-25204.054929438993</c:v>
                </c:pt>
                <c:pt idx="658">
                  <c:v>-30549.574536608605</c:v>
                </c:pt>
                <c:pt idx="659">
                  <c:v>-27861.258424433763</c:v>
                </c:pt>
                <c:pt idx="660">
                  <c:v>-24273.749534279865</c:v>
                </c:pt>
                <c:pt idx="661">
                  <c:v>-49230.582646540381</c:v>
                </c:pt>
                <c:pt idx="662">
                  <c:v>-38819.700163306814</c:v>
                </c:pt>
                <c:pt idx="663">
                  <c:v>-32048.016811698428</c:v>
                </c:pt>
                <c:pt idx="664">
                  <c:v>-35215.661272308804</c:v>
                </c:pt>
                <c:pt idx="665">
                  <c:v>-30957.419810163366</c:v>
                </c:pt>
                <c:pt idx="666">
                  <c:v>-32848.413828001969</c:v>
                </c:pt>
                <c:pt idx="667">
                  <c:v>-24442.654255634799</c:v>
                </c:pt>
                <c:pt idx="668">
                  <c:v>-51579.146109478679</c:v>
                </c:pt>
                <c:pt idx="669">
                  <c:v>-25355.552623054478</c:v>
                </c:pt>
                <c:pt idx="670">
                  <c:v>-28829.429418287633</c:v>
                </c:pt>
                <c:pt idx="671">
                  <c:v>-18920.774214138146</c:v>
                </c:pt>
                <c:pt idx="672">
                  <c:v>-28680.728996228689</c:v>
                </c:pt>
                <c:pt idx="673">
                  <c:v>-56967.269571930592</c:v>
                </c:pt>
                <c:pt idx="674">
                  <c:v>-14688.929743189306</c:v>
                </c:pt>
                <c:pt idx="675">
                  <c:v>-18323.925934865474</c:v>
                </c:pt>
                <c:pt idx="676">
                  <c:v>-40292.842049483035</c:v>
                </c:pt>
                <c:pt idx="677">
                  <c:v>-10626.2575674205</c:v>
                </c:pt>
                <c:pt idx="678">
                  <c:v>-42760.654827642793</c:v>
                </c:pt>
                <c:pt idx="679">
                  <c:v>-48541.757403485186</c:v>
                </c:pt>
                <c:pt idx="680">
                  <c:v>-40161.256687703644</c:v>
                </c:pt>
                <c:pt idx="681">
                  <c:v>-28563.953869353834</c:v>
                </c:pt>
                <c:pt idx="682">
                  <c:v>-25981.094109484387</c:v>
                </c:pt>
                <c:pt idx="683">
                  <c:v>-39349.156204141269</c:v>
                </c:pt>
                <c:pt idx="684">
                  <c:v>-19056.28717002178</c:v>
                </c:pt>
                <c:pt idx="685">
                  <c:v>-16929.430096923621</c:v>
                </c:pt>
                <c:pt idx="686">
                  <c:v>-34192.767680655728</c:v>
                </c:pt>
                <c:pt idx="687">
                  <c:v>-31287.409004289264</c:v>
                </c:pt>
                <c:pt idx="688">
                  <c:v>-50794.613366813603</c:v>
                </c:pt>
                <c:pt idx="689">
                  <c:v>-24594.690577642104</c:v>
                </c:pt>
                <c:pt idx="690">
                  <c:v>-39293.665750619111</c:v>
                </c:pt>
                <c:pt idx="691">
                  <c:v>-33028.133338487751</c:v>
                </c:pt>
                <c:pt idx="692">
                  <c:v>-40439.506087890972</c:v>
                </c:pt>
                <c:pt idx="693">
                  <c:v>-24166.263794456332</c:v>
                </c:pt>
                <c:pt idx="694">
                  <c:v>-41643.029427612855</c:v>
                </c:pt>
                <c:pt idx="695">
                  <c:v>-77580.881835507957</c:v>
                </c:pt>
                <c:pt idx="696">
                  <c:v>-22339.208200524357</c:v>
                </c:pt>
                <c:pt idx="697">
                  <c:v>-17149.54801872895</c:v>
                </c:pt>
                <c:pt idx="698">
                  <c:v>-24472.57608459724</c:v>
                </c:pt>
                <c:pt idx="699">
                  <c:v>-20498.790663839289</c:v>
                </c:pt>
                <c:pt idx="700">
                  <c:v>-28832.659706501872</c:v>
                </c:pt>
                <c:pt idx="701">
                  <c:v>-46561.207853296321</c:v>
                </c:pt>
                <c:pt idx="702">
                  <c:v>-27938.730271284439</c:v>
                </c:pt>
                <c:pt idx="703">
                  <c:v>-39284.528049419372</c:v>
                </c:pt>
                <c:pt idx="704">
                  <c:v>-31653.598746905453</c:v>
                </c:pt>
                <c:pt idx="705">
                  <c:v>-29336.946604242956</c:v>
                </c:pt>
                <c:pt idx="706">
                  <c:v>-41953.957714412216</c:v>
                </c:pt>
                <c:pt idx="707">
                  <c:v>-30213.94230954122</c:v>
                </c:pt>
                <c:pt idx="708">
                  <c:v>-37600.147659841692</c:v>
                </c:pt>
                <c:pt idx="709">
                  <c:v>-20577.808552444039</c:v>
                </c:pt>
                <c:pt idx="710">
                  <c:v>-38650.806725195565</c:v>
                </c:pt>
                <c:pt idx="711">
                  <c:v>-38663.980103041889</c:v>
                </c:pt>
                <c:pt idx="712">
                  <c:v>-27260.463555061069</c:v>
                </c:pt>
                <c:pt idx="713">
                  <c:v>-33819.035978994361</c:v>
                </c:pt>
                <c:pt idx="714">
                  <c:v>-50059.749243501428</c:v>
                </c:pt>
                <c:pt idx="715">
                  <c:v>-23313.752519501199</c:v>
                </c:pt>
                <c:pt idx="716">
                  <c:v>-26694.841228189936</c:v>
                </c:pt>
                <c:pt idx="717">
                  <c:v>-44335.950326137448</c:v>
                </c:pt>
                <c:pt idx="718">
                  <c:v>-28357.5838830414</c:v>
                </c:pt>
                <c:pt idx="719">
                  <c:v>-33595.07869479584</c:v>
                </c:pt>
                <c:pt idx="720">
                  <c:v>-35577.766580393392</c:v>
                </c:pt>
                <c:pt idx="721">
                  <c:v>-32305.433899315583</c:v>
                </c:pt>
                <c:pt idx="722">
                  <c:v>-48255.488153804195</c:v>
                </c:pt>
                <c:pt idx="723">
                  <c:v>-28505.344789026669</c:v>
                </c:pt>
                <c:pt idx="724">
                  <c:v>-40214.943447741796</c:v>
                </c:pt>
                <c:pt idx="725">
                  <c:v>-11337.552276776958</c:v>
                </c:pt>
                <c:pt idx="726">
                  <c:v>-16840.548488672343</c:v>
                </c:pt>
                <c:pt idx="727">
                  <c:v>-44710.036502138202</c:v>
                </c:pt>
                <c:pt idx="728">
                  <c:v>-28869.354448333543</c:v>
                </c:pt>
                <c:pt idx="729">
                  <c:v>-30285.942826580562</c:v>
                </c:pt>
                <c:pt idx="730">
                  <c:v>-22892.201616119695</c:v>
                </c:pt>
                <c:pt idx="731">
                  <c:v>-37983.404951303528</c:v>
                </c:pt>
                <c:pt idx="732">
                  <c:v>-31143.662926963327</c:v>
                </c:pt>
                <c:pt idx="733">
                  <c:v>-32906.306751298645</c:v>
                </c:pt>
                <c:pt idx="734">
                  <c:v>-6188.1735062579828</c:v>
                </c:pt>
                <c:pt idx="735">
                  <c:v>-47733.929896190573</c:v>
                </c:pt>
                <c:pt idx="736">
                  <c:v>-19264.456512880279</c:v>
                </c:pt>
                <c:pt idx="737">
                  <c:v>-32977.460280275584</c:v>
                </c:pt>
                <c:pt idx="738">
                  <c:v>-26026.82439351466</c:v>
                </c:pt>
                <c:pt idx="739">
                  <c:v>-67485.011013427662</c:v>
                </c:pt>
                <c:pt idx="740">
                  <c:v>-42933.869564500696</c:v>
                </c:pt>
                <c:pt idx="741">
                  <c:v>-35731.072907173133</c:v>
                </c:pt>
                <c:pt idx="742">
                  <c:v>-26568.150074651567</c:v>
                </c:pt>
                <c:pt idx="743">
                  <c:v>-24140.363826711167</c:v>
                </c:pt>
                <c:pt idx="744">
                  <c:v>-23640.136744389267</c:v>
                </c:pt>
                <c:pt idx="745">
                  <c:v>-33288.93933308695</c:v>
                </c:pt>
                <c:pt idx="746">
                  <c:v>-31910.17007431107</c:v>
                </c:pt>
                <c:pt idx="747">
                  <c:v>-64063.433365709716</c:v>
                </c:pt>
                <c:pt idx="748">
                  <c:v>-43032.642462907897</c:v>
                </c:pt>
                <c:pt idx="749">
                  <c:v>-17626.861703117233</c:v>
                </c:pt>
                <c:pt idx="750">
                  <c:v>-45593.573877393545</c:v>
                </c:pt>
                <c:pt idx="751">
                  <c:v>-36423.08652436074</c:v>
                </c:pt>
                <c:pt idx="752">
                  <c:v>-23057.962527048192</c:v>
                </c:pt>
                <c:pt idx="753">
                  <c:v>-4115.7202557008568</c:v>
                </c:pt>
                <c:pt idx="754">
                  <c:v>-36054.927993852194</c:v>
                </c:pt>
                <c:pt idx="755">
                  <c:v>-5764.2262660541892</c:v>
                </c:pt>
                <c:pt idx="756">
                  <c:v>-36312.664982504546</c:v>
                </c:pt>
                <c:pt idx="757">
                  <c:v>-53525.828816059002</c:v>
                </c:pt>
                <c:pt idx="758">
                  <c:v>-17279.563580463364</c:v>
                </c:pt>
                <c:pt idx="759">
                  <c:v>-22370.368181915823</c:v>
                </c:pt>
                <c:pt idx="760">
                  <c:v>-21274.170034353789</c:v>
                </c:pt>
                <c:pt idx="761">
                  <c:v>-14830.778287209527</c:v>
                </c:pt>
                <c:pt idx="762">
                  <c:v>-34413.586067384502</c:v>
                </c:pt>
                <c:pt idx="763">
                  <c:v>-35697.293692122737</c:v>
                </c:pt>
                <c:pt idx="764">
                  <c:v>-46620.1242844355</c:v>
                </c:pt>
                <c:pt idx="765">
                  <c:v>-32932.743895299835</c:v>
                </c:pt>
                <c:pt idx="766">
                  <c:v>-16013.071369785859</c:v>
                </c:pt>
                <c:pt idx="767">
                  <c:v>-37455.513421138749</c:v>
                </c:pt>
                <c:pt idx="768">
                  <c:v>-31839.99658089802</c:v>
                </c:pt>
                <c:pt idx="769">
                  <c:v>-27867.793344652251</c:v>
                </c:pt>
                <c:pt idx="770">
                  <c:v>-27358.576330114476</c:v>
                </c:pt>
                <c:pt idx="771">
                  <c:v>-21915.803380308615</c:v>
                </c:pt>
                <c:pt idx="772">
                  <c:v>-56038.363120727401</c:v>
                </c:pt>
                <c:pt idx="773">
                  <c:v>-15661.141691274723</c:v>
                </c:pt>
                <c:pt idx="774">
                  <c:v>-25742.127179616713</c:v>
                </c:pt>
                <c:pt idx="775">
                  <c:v>-21192.508184841528</c:v>
                </c:pt>
                <c:pt idx="776">
                  <c:v>-31319.213914457228</c:v>
                </c:pt>
                <c:pt idx="777">
                  <c:v>-36294.352678205702</c:v>
                </c:pt>
                <c:pt idx="778">
                  <c:v>-8782.7205249109393</c:v>
                </c:pt>
                <c:pt idx="779">
                  <c:v>-26323.703683369342</c:v>
                </c:pt>
                <c:pt idx="780">
                  <c:v>-20332.222660301268</c:v>
                </c:pt>
                <c:pt idx="781">
                  <c:v>-42395.355115475671</c:v>
                </c:pt>
                <c:pt idx="782">
                  <c:v>-10278.901214259051</c:v>
                </c:pt>
                <c:pt idx="783">
                  <c:v>-43232.978714910569</c:v>
                </c:pt>
                <c:pt idx="784">
                  <c:v>-17297.809468277672</c:v>
                </c:pt>
                <c:pt idx="785">
                  <c:v>-40594.164646113437</c:v>
                </c:pt>
                <c:pt idx="786">
                  <c:v>-23805.010374042089</c:v>
                </c:pt>
                <c:pt idx="787">
                  <c:v>-45359.340140317247</c:v>
                </c:pt>
                <c:pt idx="788">
                  <c:v>-3448.0787990256649</c:v>
                </c:pt>
                <c:pt idx="789">
                  <c:v>-25125.84859013716</c:v>
                </c:pt>
                <c:pt idx="790">
                  <c:v>-44145.921898817818</c:v>
                </c:pt>
                <c:pt idx="791">
                  <c:v>-18102.995994101511</c:v>
                </c:pt>
                <c:pt idx="792">
                  <c:v>-14087.280215679915</c:v>
                </c:pt>
                <c:pt idx="793">
                  <c:v>-24657.513485621399</c:v>
                </c:pt>
                <c:pt idx="794">
                  <c:v>-34728.594540162143</c:v>
                </c:pt>
                <c:pt idx="795">
                  <c:v>-22318.299285594592</c:v>
                </c:pt>
                <c:pt idx="796">
                  <c:v>-31813.461095962921</c:v>
                </c:pt>
                <c:pt idx="797">
                  <c:v>-32075.444205025924</c:v>
                </c:pt>
                <c:pt idx="798">
                  <c:v>-41376.205028151497</c:v>
                </c:pt>
                <c:pt idx="799">
                  <c:v>-22437.618206631159</c:v>
                </c:pt>
                <c:pt idx="800">
                  <c:v>-19259.812922201876</c:v>
                </c:pt>
                <c:pt idx="801">
                  <c:v>-48342.916502077671</c:v>
                </c:pt>
                <c:pt idx="802">
                  <c:v>-39130.277373188612</c:v>
                </c:pt>
                <c:pt idx="803">
                  <c:v>-32947.855700809334</c:v>
                </c:pt>
                <c:pt idx="804">
                  <c:v>-52845.084791687754</c:v>
                </c:pt>
                <c:pt idx="805">
                  <c:v>-47641.798070753503</c:v>
                </c:pt>
                <c:pt idx="806">
                  <c:v>-28857.121623013227</c:v>
                </c:pt>
                <c:pt idx="807">
                  <c:v>-22849.125823359223</c:v>
                </c:pt>
                <c:pt idx="808">
                  <c:v>-35417.854568286552</c:v>
                </c:pt>
                <c:pt idx="809">
                  <c:v>-29324.304645240103</c:v>
                </c:pt>
                <c:pt idx="810">
                  <c:v>-29657.789332894419</c:v>
                </c:pt>
                <c:pt idx="811">
                  <c:v>-44918.365472056947</c:v>
                </c:pt>
                <c:pt idx="812">
                  <c:v>-35435.579920669348</c:v>
                </c:pt>
                <c:pt idx="813">
                  <c:v>-19385.281967867486</c:v>
                </c:pt>
                <c:pt idx="814">
                  <c:v>-28583.983421643046</c:v>
                </c:pt>
                <c:pt idx="815">
                  <c:v>-23606.900225346035</c:v>
                </c:pt>
                <c:pt idx="816">
                  <c:v>-41308.301006738373</c:v>
                </c:pt>
                <c:pt idx="817">
                  <c:v>-27927.143385013289</c:v>
                </c:pt>
                <c:pt idx="818">
                  <c:v>-39875.610895277379</c:v>
                </c:pt>
                <c:pt idx="819">
                  <c:v>-16854.103658730688</c:v>
                </c:pt>
                <c:pt idx="820">
                  <c:v>-8636.3343387968052</c:v>
                </c:pt>
                <c:pt idx="821">
                  <c:v>-31351.310289728368</c:v>
                </c:pt>
                <c:pt idx="822">
                  <c:v>-16022.739684965229</c:v>
                </c:pt>
                <c:pt idx="823">
                  <c:v>-50811.459047923403</c:v>
                </c:pt>
                <c:pt idx="824">
                  <c:v>-25390.896605755232</c:v>
                </c:pt>
                <c:pt idx="825">
                  <c:v>-34000.451218634233</c:v>
                </c:pt>
                <c:pt idx="826">
                  <c:v>-21409.922412763801</c:v>
                </c:pt>
                <c:pt idx="827">
                  <c:v>12555.906072608748</c:v>
                </c:pt>
                <c:pt idx="828">
                  <c:v>-19262.849058060325</c:v>
                </c:pt>
                <c:pt idx="829">
                  <c:v>-22851.923116897597</c:v>
                </c:pt>
                <c:pt idx="830">
                  <c:v>-36941.115529012168</c:v>
                </c:pt>
                <c:pt idx="831">
                  <c:v>-39822.387288910468</c:v>
                </c:pt>
                <c:pt idx="832">
                  <c:v>-40635.031564662306</c:v>
                </c:pt>
                <c:pt idx="833">
                  <c:v>-31968.030821940716</c:v>
                </c:pt>
                <c:pt idx="834">
                  <c:v>-58042.460652314636</c:v>
                </c:pt>
                <c:pt idx="835">
                  <c:v>-11526.807742326579</c:v>
                </c:pt>
                <c:pt idx="836">
                  <c:v>-36477.144736386545</c:v>
                </c:pt>
                <c:pt idx="837">
                  <c:v>-17413.346136961729</c:v>
                </c:pt>
                <c:pt idx="838">
                  <c:v>-45479.237915164689</c:v>
                </c:pt>
                <c:pt idx="839">
                  <c:v>-28163.206384004705</c:v>
                </c:pt>
                <c:pt idx="840">
                  <c:v>-27277.182592650337</c:v>
                </c:pt>
                <c:pt idx="841">
                  <c:v>-18554.470935653851</c:v>
                </c:pt>
                <c:pt idx="842">
                  <c:v>-11803.81648559004</c:v>
                </c:pt>
                <c:pt idx="843">
                  <c:v>-31168.494388074774</c:v>
                </c:pt>
                <c:pt idx="844">
                  <c:v>-48157.94719119159</c:v>
                </c:pt>
                <c:pt idx="845">
                  <c:v>-23941.39530945399</c:v>
                </c:pt>
                <c:pt idx="846">
                  <c:v>-24306.802693260615</c:v>
                </c:pt>
                <c:pt idx="847">
                  <c:v>-31321.139977909857</c:v>
                </c:pt>
                <c:pt idx="848">
                  <c:v>-39598.210834384852</c:v>
                </c:pt>
                <c:pt idx="849">
                  <c:v>-34783.739459321558</c:v>
                </c:pt>
                <c:pt idx="850">
                  <c:v>-22274.219404159565</c:v>
                </c:pt>
                <c:pt idx="851">
                  <c:v>-24313.555853846789</c:v>
                </c:pt>
                <c:pt idx="852">
                  <c:v>-30850.78718412084</c:v>
                </c:pt>
                <c:pt idx="853">
                  <c:v>-41262.813540403804</c:v>
                </c:pt>
                <c:pt idx="854">
                  <c:v>-31865.78227284459</c:v>
                </c:pt>
                <c:pt idx="855">
                  <c:v>-40862.70001484605</c:v>
                </c:pt>
                <c:pt idx="856">
                  <c:v>-14746.964912505267</c:v>
                </c:pt>
                <c:pt idx="857">
                  <c:v>-19440.511109996994</c:v>
                </c:pt>
                <c:pt idx="858">
                  <c:v>-46099.938120372506</c:v>
                </c:pt>
                <c:pt idx="859">
                  <c:v>-44547.454451174446</c:v>
                </c:pt>
                <c:pt idx="860">
                  <c:v>-20173.255559502126</c:v>
                </c:pt>
                <c:pt idx="861">
                  <c:v>-27665.810790068048</c:v>
                </c:pt>
                <c:pt idx="862">
                  <c:v>-42562.579140091344</c:v>
                </c:pt>
                <c:pt idx="863">
                  <c:v>-26785.285755645062</c:v>
                </c:pt>
                <c:pt idx="864">
                  <c:v>-23646.120413512384</c:v>
                </c:pt>
                <c:pt idx="865">
                  <c:v>-31179.329254519529</c:v>
                </c:pt>
                <c:pt idx="866">
                  <c:v>-39800.81384266878</c:v>
                </c:pt>
                <c:pt idx="867">
                  <c:v>-25890.643498021003</c:v>
                </c:pt>
                <c:pt idx="868">
                  <c:v>-43919.842288592816</c:v>
                </c:pt>
                <c:pt idx="869">
                  <c:v>-64119.952030343309</c:v>
                </c:pt>
                <c:pt idx="870">
                  <c:v>-23529.060297743243</c:v>
                </c:pt>
                <c:pt idx="871">
                  <c:v>-38508.046450455295</c:v>
                </c:pt>
                <c:pt idx="872">
                  <c:v>-42618.137989095674</c:v>
                </c:pt>
                <c:pt idx="873">
                  <c:v>-40952.913154602124</c:v>
                </c:pt>
                <c:pt idx="874">
                  <c:v>-33829.325812745723</c:v>
                </c:pt>
                <c:pt idx="875">
                  <c:v>-25092.09898517406</c:v>
                </c:pt>
                <c:pt idx="876">
                  <c:v>-40974.296601182345</c:v>
                </c:pt>
                <c:pt idx="877">
                  <c:v>-32364.071348136684</c:v>
                </c:pt>
                <c:pt idx="878">
                  <c:v>-29486.046180838021</c:v>
                </c:pt>
                <c:pt idx="879">
                  <c:v>-39921.057389928013</c:v>
                </c:pt>
                <c:pt idx="880">
                  <c:v>-38360.879391560418</c:v>
                </c:pt>
                <c:pt idx="881">
                  <c:v>-29192.306319158917</c:v>
                </c:pt>
                <c:pt idx="882">
                  <c:v>-16840.987379784405</c:v>
                </c:pt>
                <c:pt idx="883">
                  <c:v>-24935.798427178786</c:v>
                </c:pt>
                <c:pt idx="884">
                  <c:v>-31195.976495055205</c:v>
                </c:pt>
                <c:pt idx="885">
                  <c:v>-13803.113707335826</c:v>
                </c:pt>
                <c:pt idx="886">
                  <c:v>-22128.006901380708</c:v>
                </c:pt>
                <c:pt idx="887">
                  <c:v>-23819.393776096607</c:v>
                </c:pt>
                <c:pt idx="888">
                  <c:v>-40403.908647751727</c:v>
                </c:pt>
                <c:pt idx="889">
                  <c:v>-32191.391221962855</c:v>
                </c:pt>
                <c:pt idx="890">
                  <c:v>-38359.08761014053</c:v>
                </c:pt>
                <c:pt idx="891">
                  <c:v>-27404.729055302567</c:v>
                </c:pt>
                <c:pt idx="892">
                  <c:v>-35257.184068562652</c:v>
                </c:pt>
                <c:pt idx="893">
                  <c:v>-27491.723013496201</c:v>
                </c:pt>
                <c:pt idx="894">
                  <c:v>-40617.993448204201</c:v>
                </c:pt>
                <c:pt idx="895">
                  <c:v>-24997.910227570668</c:v>
                </c:pt>
                <c:pt idx="896">
                  <c:v>-20026.56678434796</c:v>
                </c:pt>
                <c:pt idx="897">
                  <c:v>-33189.743576625697</c:v>
                </c:pt>
                <c:pt idx="898">
                  <c:v>-31589.066813399113</c:v>
                </c:pt>
                <c:pt idx="899">
                  <c:v>-32878.539567614673</c:v>
                </c:pt>
                <c:pt idx="900">
                  <c:v>-32755.809174538241</c:v>
                </c:pt>
                <c:pt idx="901">
                  <c:v>-27461.23479895448</c:v>
                </c:pt>
                <c:pt idx="902">
                  <c:v>-40458.40607181986</c:v>
                </c:pt>
                <c:pt idx="903">
                  <c:v>-44743.886609397174</c:v>
                </c:pt>
                <c:pt idx="904">
                  <c:v>-32462.266111403398</c:v>
                </c:pt>
                <c:pt idx="905">
                  <c:v>-40165.2411221824</c:v>
                </c:pt>
                <c:pt idx="906">
                  <c:v>-22234.331163425843</c:v>
                </c:pt>
                <c:pt idx="907">
                  <c:v>-29546.929460809115</c:v>
                </c:pt>
                <c:pt idx="908">
                  <c:v>-22286.091039547799</c:v>
                </c:pt>
                <c:pt idx="909">
                  <c:v>-30008.422667600709</c:v>
                </c:pt>
                <c:pt idx="910">
                  <c:v>-40020.976382139183</c:v>
                </c:pt>
                <c:pt idx="911">
                  <c:v>-33076.125433849418</c:v>
                </c:pt>
                <c:pt idx="912">
                  <c:v>-48069.765989576408</c:v>
                </c:pt>
                <c:pt idx="913">
                  <c:v>-13850.406408015857</c:v>
                </c:pt>
                <c:pt idx="914">
                  <c:v>-14905.330175833304</c:v>
                </c:pt>
                <c:pt idx="915">
                  <c:v>-25939.805262933049</c:v>
                </c:pt>
                <c:pt idx="916">
                  <c:v>-15125.903403879944</c:v>
                </c:pt>
                <c:pt idx="917">
                  <c:v>-26342.598443316994</c:v>
                </c:pt>
                <c:pt idx="918">
                  <c:v>-27746.049942893558</c:v>
                </c:pt>
                <c:pt idx="919">
                  <c:v>-31740.469284535837</c:v>
                </c:pt>
                <c:pt idx="920">
                  <c:v>-32803.805842330985</c:v>
                </c:pt>
                <c:pt idx="921">
                  <c:v>-28763.82882459696</c:v>
                </c:pt>
                <c:pt idx="922">
                  <c:v>-29239.674282164327</c:v>
                </c:pt>
                <c:pt idx="923">
                  <c:v>-22790.759961114425</c:v>
                </c:pt>
                <c:pt idx="924">
                  <c:v>-32314.642133396424</c:v>
                </c:pt>
                <c:pt idx="925">
                  <c:v>-27705.498662669561</c:v>
                </c:pt>
                <c:pt idx="926">
                  <c:v>-21469.811870098405</c:v>
                </c:pt>
                <c:pt idx="927">
                  <c:v>-33180.090252115704</c:v>
                </c:pt>
                <c:pt idx="928">
                  <c:v>-39785.101634803708</c:v>
                </c:pt>
                <c:pt idx="929">
                  <c:v>-39809.209823174591</c:v>
                </c:pt>
                <c:pt idx="930">
                  <c:v>-28443.409081155449</c:v>
                </c:pt>
                <c:pt idx="931">
                  <c:v>-21060.715916900255</c:v>
                </c:pt>
                <c:pt idx="932">
                  <c:v>-29400.172072235539</c:v>
                </c:pt>
                <c:pt idx="933">
                  <c:v>-36689.006603386122</c:v>
                </c:pt>
                <c:pt idx="934">
                  <c:v>-34301.999227956825</c:v>
                </c:pt>
                <c:pt idx="935">
                  <c:v>-36736.042421903534</c:v>
                </c:pt>
                <c:pt idx="936">
                  <c:v>-26282.407285135021</c:v>
                </c:pt>
                <c:pt idx="937">
                  <c:v>-27970.907957530842</c:v>
                </c:pt>
                <c:pt idx="938">
                  <c:v>-30067.635445095249</c:v>
                </c:pt>
                <c:pt idx="939">
                  <c:v>-22145.422390606167</c:v>
                </c:pt>
                <c:pt idx="940">
                  <c:v>-19682.187038603035</c:v>
                </c:pt>
                <c:pt idx="941">
                  <c:v>-26010.883922920737</c:v>
                </c:pt>
                <c:pt idx="942">
                  <c:v>-39165.003908125465</c:v>
                </c:pt>
                <c:pt idx="943">
                  <c:v>-28666.104963832142</c:v>
                </c:pt>
                <c:pt idx="944">
                  <c:v>-39068.916085895282</c:v>
                </c:pt>
                <c:pt idx="945">
                  <c:v>-47087.830211700522</c:v>
                </c:pt>
                <c:pt idx="946">
                  <c:v>-17265.179610500665</c:v>
                </c:pt>
                <c:pt idx="947">
                  <c:v>-14814.541653256281</c:v>
                </c:pt>
                <c:pt idx="948">
                  <c:v>-22694.094516011035</c:v>
                </c:pt>
                <c:pt idx="949">
                  <c:v>-18796.697736671485</c:v>
                </c:pt>
                <c:pt idx="950">
                  <c:v>-28552.629857191438</c:v>
                </c:pt>
                <c:pt idx="951">
                  <c:v>-41056.734790635441</c:v>
                </c:pt>
                <c:pt idx="952">
                  <c:v>-33969.71975617214</c:v>
                </c:pt>
                <c:pt idx="953">
                  <c:v>-18823.749061289505</c:v>
                </c:pt>
                <c:pt idx="954">
                  <c:v>-30902.101982810884</c:v>
                </c:pt>
                <c:pt idx="955">
                  <c:v>-26972.533196388351</c:v>
                </c:pt>
                <c:pt idx="956">
                  <c:v>-38763.260890255027</c:v>
                </c:pt>
                <c:pt idx="957">
                  <c:v>-17957.160004806778</c:v>
                </c:pt>
                <c:pt idx="958">
                  <c:v>-14176.309326839808</c:v>
                </c:pt>
                <c:pt idx="959">
                  <c:v>-19014.036704378697</c:v>
                </c:pt>
                <c:pt idx="960">
                  <c:v>-38085.216753726316</c:v>
                </c:pt>
                <c:pt idx="961">
                  <c:v>-43811.485969542075</c:v>
                </c:pt>
                <c:pt idx="962">
                  <c:v>-3854.1606371301168</c:v>
                </c:pt>
                <c:pt idx="963">
                  <c:v>-31580.380683720985</c:v>
                </c:pt>
                <c:pt idx="964">
                  <c:v>-42961.517168100196</c:v>
                </c:pt>
                <c:pt idx="965">
                  <c:v>-32502.126822181104</c:v>
                </c:pt>
                <c:pt idx="966">
                  <c:v>-16021.949166826424</c:v>
                </c:pt>
                <c:pt idx="967">
                  <c:v>-34744.968705977328</c:v>
                </c:pt>
                <c:pt idx="968">
                  <c:v>-30536.032562724795</c:v>
                </c:pt>
                <c:pt idx="969">
                  <c:v>-40192.655540550739</c:v>
                </c:pt>
                <c:pt idx="970">
                  <c:v>-39648.840670156831</c:v>
                </c:pt>
                <c:pt idx="971">
                  <c:v>-25745.706596580421</c:v>
                </c:pt>
                <c:pt idx="972">
                  <c:v>-31964.622477937752</c:v>
                </c:pt>
                <c:pt idx="973">
                  <c:v>-24742.839540193396</c:v>
                </c:pt>
                <c:pt idx="974">
                  <c:v>-22997.814381262579</c:v>
                </c:pt>
                <c:pt idx="975">
                  <c:v>-31610.514572464002</c:v>
                </c:pt>
                <c:pt idx="976">
                  <c:v>-23101.19974294753</c:v>
                </c:pt>
                <c:pt idx="977">
                  <c:v>-31328.285488911628</c:v>
                </c:pt>
                <c:pt idx="978">
                  <c:v>-29450.398032122532</c:v>
                </c:pt>
                <c:pt idx="979">
                  <c:v>-20384.53750907346</c:v>
                </c:pt>
                <c:pt idx="980">
                  <c:v>-29327.421433911615</c:v>
                </c:pt>
                <c:pt idx="981">
                  <c:v>-53686.516532473441</c:v>
                </c:pt>
                <c:pt idx="982">
                  <c:v>-28598.808062283089</c:v>
                </c:pt>
                <c:pt idx="983">
                  <c:v>-14237.433536631361</c:v>
                </c:pt>
                <c:pt idx="984">
                  <c:v>-28498.647808597831</c:v>
                </c:pt>
                <c:pt idx="985">
                  <c:v>-36535.417692583593</c:v>
                </c:pt>
                <c:pt idx="986">
                  <c:v>-14101.772672103936</c:v>
                </c:pt>
                <c:pt idx="987">
                  <c:v>-34882.520760105035</c:v>
                </c:pt>
                <c:pt idx="988">
                  <c:v>-34459.039276043666</c:v>
                </c:pt>
                <c:pt idx="989">
                  <c:v>-34170.041397528657</c:v>
                </c:pt>
                <c:pt idx="990">
                  <c:v>-30398.739154170384</c:v>
                </c:pt>
                <c:pt idx="991">
                  <c:v>-71823.93254226647</c:v>
                </c:pt>
                <c:pt idx="992">
                  <c:v>-13442.313982473686</c:v>
                </c:pt>
                <c:pt idx="993">
                  <c:v>-23144.066458186906</c:v>
                </c:pt>
                <c:pt idx="994">
                  <c:v>-20118.760393601115</c:v>
                </c:pt>
                <c:pt idx="995">
                  <c:v>-35237.794726894121</c:v>
                </c:pt>
                <c:pt idx="996">
                  <c:v>-37002.634196623912</c:v>
                </c:pt>
                <c:pt idx="997">
                  <c:v>-15141.626724953705</c:v>
                </c:pt>
                <c:pt idx="998">
                  <c:v>-33926.998607218367</c:v>
                </c:pt>
                <c:pt idx="999">
                  <c:v>-37639.609517991616</c:v>
                </c:pt>
              </c:numCache>
            </c:numRef>
          </c:yVal>
          <c:smooth val="0"/>
          <c:extLst>
            <c:ext xmlns:c16="http://schemas.microsoft.com/office/drawing/2014/chart" uri="{C3380CC4-5D6E-409C-BE32-E72D297353CC}">
              <c16:uniqueId val="{00000000-3130-4D5C-B6D0-60F4F1A56584}"/>
            </c:ext>
          </c:extLst>
        </c:ser>
        <c:dLbls>
          <c:showLegendKey val="0"/>
          <c:showVal val="0"/>
          <c:showCatName val="0"/>
          <c:showSerName val="0"/>
          <c:showPercent val="0"/>
          <c:showBubbleSize val="0"/>
        </c:dLbls>
        <c:axId val="1597438272"/>
        <c:axId val="1"/>
      </c:scatterChart>
      <c:valAx>
        <c:axId val="1597438272"/>
        <c:scaling>
          <c:orientation val="minMax"/>
        </c:scaling>
        <c:delete val="0"/>
        <c:axPos val="b"/>
        <c:title>
          <c:tx>
            <c:rich>
              <a:bodyPr/>
              <a:lstStyle/>
              <a:p>
                <a:pPr>
                  <a:defRPr sz="1875" b="1" i="0" u="none" strike="noStrike" baseline="0">
                    <a:solidFill>
                      <a:srgbClr val="000000"/>
                    </a:solidFill>
                    <a:latin typeface="Arial"/>
                    <a:ea typeface="Arial"/>
                    <a:cs typeface="Arial"/>
                  </a:defRPr>
                </a:pPr>
                <a:r>
                  <a:rPr lang="en-ZA"/>
                  <a:t>DALYs</a:t>
                </a:r>
              </a:p>
            </c:rich>
          </c:tx>
          <c:layout>
            <c:manualLayout>
              <c:xMode val="edge"/>
              <c:yMode val="edge"/>
              <c:x val="0.45948936926072137"/>
              <c:y val="0.90048950303230446"/>
            </c:manualLayout>
          </c:layout>
          <c:overlay val="0"/>
          <c:spPr>
            <a:noFill/>
            <a:ln w="25400">
              <a:noFill/>
            </a:ln>
          </c:spPr>
        </c:title>
        <c:numFmt formatCode="0.00" sourceLinked="0"/>
        <c:majorTickMark val="out"/>
        <c:minorTickMark val="none"/>
        <c:tickLblPos val="low"/>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title>
          <c:tx>
            <c:rich>
              <a:bodyPr/>
              <a:lstStyle/>
              <a:p>
                <a:pPr>
                  <a:defRPr sz="1875" b="1" i="0" u="none" strike="noStrike" baseline="0">
                    <a:solidFill>
                      <a:srgbClr val="000000"/>
                    </a:solidFill>
                    <a:latin typeface="Arial"/>
                    <a:ea typeface="Arial"/>
                    <a:cs typeface="Arial"/>
                  </a:defRPr>
                </a:pPr>
                <a:r>
                  <a:rPr lang="en-ZA"/>
                  <a:t>Cost</a:t>
                </a:r>
              </a:p>
            </c:rich>
          </c:tx>
          <c:layout>
            <c:manualLayout>
              <c:xMode val="edge"/>
              <c:yMode val="edge"/>
              <c:x val="1.4428450228227261E-2"/>
              <c:y val="0.38499189894841124"/>
            </c:manualLayout>
          </c:layout>
          <c:overlay val="0"/>
          <c:spPr>
            <a:noFill/>
            <a:ln w="25400">
              <a:noFill/>
            </a:ln>
          </c:spPr>
        </c:title>
        <c:numFmt formatCode="&quot;R&quot;#,##0" sourceLinked="0"/>
        <c:majorTickMark val="out"/>
        <c:minorTickMark val="none"/>
        <c:tickLblPos val="low"/>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597438272"/>
        <c:crosses val="autoZero"/>
        <c:crossBetween val="midCat"/>
      </c:valAx>
      <c:spPr>
        <a:noFill/>
        <a:ln w="25400">
          <a:noFill/>
        </a:ln>
      </c:spPr>
    </c:plotArea>
    <c:plotVisOnly val="1"/>
    <c:dispBlanksAs val="gap"/>
    <c:showDLblsOverMax val="0"/>
  </c:chart>
  <c:spPr>
    <a:noFill/>
    <a:ln w="9525">
      <a:noFill/>
    </a:ln>
  </c:spPr>
  <c:txPr>
    <a:bodyPr/>
    <a:lstStyle/>
    <a:p>
      <a:pPr>
        <a:defRPr sz="925"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18534961154274"/>
          <c:y val="4.4045676998368678E-2"/>
          <c:w val="0.76137624861265263"/>
          <c:h val="0.78303425774877655"/>
        </c:manualLayout>
      </c:layout>
      <c:scatterChart>
        <c:scatterStyle val="lineMarker"/>
        <c:varyColors val="0"/>
        <c:ser>
          <c:idx val="0"/>
          <c:order val="0"/>
          <c:tx>
            <c:v>PSG</c:v>
          </c:tx>
          <c:spPr>
            <a:ln w="3175">
              <a:solidFill>
                <a:srgbClr val="000080"/>
              </a:solidFill>
              <a:prstDash val="solid"/>
            </a:ln>
          </c:spPr>
          <c:marker>
            <c:symbol val="none"/>
          </c:marker>
          <c:xVal>
            <c:numRef>
              <c:f>Simulation!$T$6:$T$63</c:f>
              <c:numCache>
                <c:formatCode>_-* #,##0_-;\-* #,##0_-;_-* "-"??_-;_-@_-</c:formatCode>
                <c:ptCount val="58"/>
                <c:pt idx="0">
                  <c:v>0</c:v>
                </c:pt>
                <c:pt idx="1">
                  <c:v>1000</c:v>
                </c:pt>
                <c:pt idx="2">
                  <c:v>2000</c:v>
                </c:pt>
                <c:pt idx="3">
                  <c:v>3000</c:v>
                </c:pt>
                <c:pt idx="4">
                  <c:v>4000</c:v>
                </c:pt>
                <c:pt idx="5">
                  <c:v>5000</c:v>
                </c:pt>
                <c:pt idx="6">
                  <c:v>6000</c:v>
                </c:pt>
                <c:pt idx="7">
                  <c:v>7000</c:v>
                </c:pt>
                <c:pt idx="8">
                  <c:v>8000</c:v>
                </c:pt>
                <c:pt idx="9">
                  <c:v>9000</c:v>
                </c:pt>
                <c:pt idx="10">
                  <c:v>10000</c:v>
                </c:pt>
                <c:pt idx="11">
                  <c:v>11000</c:v>
                </c:pt>
                <c:pt idx="12">
                  <c:v>12000</c:v>
                </c:pt>
                <c:pt idx="13">
                  <c:v>13000</c:v>
                </c:pt>
                <c:pt idx="14">
                  <c:v>14000</c:v>
                </c:pt>
                <c:pt idx="15">
                  <c:v>15000</c:v>
                </c:pt>
                <c:pt idx="16">
                  <c:v>16000</c:v>
                </c:pt>
                <c:pt idx="17">
                  <c:v>17000</c:v>
                </c:pt>
                <c:pt idx="18">
                  <c:v>18000</c:v>
                </c:pt>
                <c:pt idx="19">
                  <c:v>19000</c:v>
                </c:pt>
                <c:pt idx="20">
                  <c:v>20000</c:v>
                </c:pt>
                <c:pt idx="21">
                  <c:v>21000</c:v>
                </c:pt>
                <c:pt idx="22">
                  <c:v>22000</c:v>
                </c:pt>
                <c:pt idx="23">
                  <c:v>23000</c:v>
                </c:pt>
                <c:pt idx="24">
                  <c:v>24000</c:v>
                </c:pt>
                <c:pt idx="25">
                  <c:v>25000</c:v>
                </c:pt>
                <c:pt idx="26">
                  <c:v>26000</c:v>
                </c:pt>
                <c:pt idx="27">
                  <c:v>27000</c:v>
                </c:pt>
                <c:pt idx="28">
                  <c:v>28000</c:v>
                </c:pt>
                <c:pt idx="29">
                  <c:v>29000</c:v>
                </c:pt>
                <c:pt idx="30">
                  <c:v>30000</c:v>
                </c:pt>
                <c:pt idx="31">
                  <c:v>31000</c:v>
                </c:pt>
                <c:pt idx="32">
                  <c:v>32000</c:v>
                </c:pt>
                <c:pt idx="33">
                  <c:v>33000</c:v>
                </c:pt>
                <c:pt idx="34">
                  <c:v>34000</c:v>
                </c:pt>
                <c:pt idx="35">
                  <c:v>35000</c:v>
                </c:pt>
                <c:pt idx="36">
                  <c:v>36000</c:v>
                </c:pt>
                <c:pt idx="37">
                  <c:v>37000</c:v>
                </c:pt>
                <c:pt idx="38">
                  <c:v>38000</c:v>
                </c:pt>
                <c:pt idx="39">
                  <c:v>39000</c:v>
                </c:pt>
                <c:pt idx="40">
                  <c:v>40000</c:v>
                </c:pt>
                <c:pt idx="41">
                  <c:v>41000</c:v>
                </c:pt>
                <c:pt idx="42">
                  <c:v>42000</c:v>
                </c:pt>
                <c:pt idx="43">
                  <c:v>43000</c:v>
                </c:pt>
                <c:pt idx="44">
                  <c:v>44000</c:v>
                </c:pt>
                <c:pt idx="45">
                  <c:v>45000</c:v>
                </c:pt>
                <c:pt idx="46">
                  <c:v>46000</c:v>
                </c:pt>
                <c:pt idx="47">
                  <c:v>47000</c:v>
                </c:pt>
                <c:pt idx="48">
                  <c:v>48000</c:v>
                </c:pt>
                <c:pt idx="49">
                  <c:v>49000</c:v>
                </c:pt>
                <c:pt idx="50">
                  <c:v>50000</c:v>
                </c:pt>
                <c:pt idx="51">
                  <c:v>51000</c:v>
                </c:pt>
                <c:pt idx="52">
                  <c:v>52000</c:v>
                </c:pt>
                <c:pt idx="53">
                  <c:v>53000</c:v>
                </c:pt>
                <c:pt idx="54">
                  <c:v>54000</c:v>
                </c:pt>
                <c:pt idx="55">
                  <c:v>55000</c:v>
                </c:pt>
                <c:pt idx="56">
                  <c:v>56000</c:v>
                </c:pt>
                <c:pt idx="57">
                  <c:v>57000</c:v>
                </c:pt>
              </c:numCache>
            </c:numRef>
          </c:xVal>
          <c:yVal>
            <c:numRef>
              <c:f>Simulation!$U$6:$U$63</c:f>
              <c:numCache>
                <c:formatCode>General</c:formatCode>
                <c:ptCount val="58"/>
                <c:pt idx="0">
                  <c:v>2E-3</c:v>
                </c:pt>
                <c:pt idx="1">
                  <c:v>2E-3</c:v>
                </c:pt>
                <c:pt idx="2">
                  <c:v>2E-3</c:v>
                </c:pt>
                <c:pt idx="3">
                  <c:v>2E-3</c:v>
                </c:pt>
                <c:pt idx="4">
                  <c:v>2E-3</c:v>
                </c:pt>
                <c:pt idx="5">
                  <c:v>2E-3</c:v>
                </c:pt>
                <c:pt idx="6">
                  <c:v>2E-3</c:v>
                </c:pt>
                <c:pt idx="7">
                  <c:v>2E-3</c:v>
                </c:pt>
                <c:pt idx="8">
                  <c:v>2E-3</c:v>
                </c:pt>
                <c:pt idx="9">
                  <c:v>2E-3</c:v>
                </c:pt>
                <c:pt idx="10">
                  <c:v>2E-3</c:v>
                </c:pt>
                <c:pt idx="11">
                  <c:v>2E-3</c:v>
                </c:pt>
                <c:pt idx="12">
                  <c:v>2E-3</c:v>
                </c:pt>
                <c:pt idx="13">
                  <c:v>2E-3</c:v>
                </c:pt>
                <c:pt idx="14">
                  <c:v>2E-3</c:v>
                </c:pt>
                <c:pt idx="15">
                  <c:v>2E-3</c:v>
                </c:pt>
                <c:pt idx="16">
                  <c:v>2E-3</c:v>
                </c:pt>
                <c:pt idx="17">
                  <c:v>2E-3</c:v>
                </c:pt>
                <c:pt idx="18">
                  <c:v>2E-3</c:v>
                </c:pt>
                <c:pt idx="19">
                  <c:v>2E-3</c:v>
                </c:pt>
                <c:pt idx="20">
                  <c:v>2E-3</c:v>
                </c:pt>
                <c:pt idx="21">
                  <c:v>2E-3</c:v>
                </c:pt>
                <c:pt idx="22">
                  <c:v>2E-3</c:v>
                </c:pt>
                <c:pt idx="23">
                  <c:v>2E-3</c:v>
                </c:pt>
                <c:pt idx="24">
                  <c:v>2E-3</c:v>
                </c:pt>
                <c:pt idx="25">
                  <c:v>2E-3</c:v>
                </c:pt>
                <c:pt idx="26">
                  <c:v>2E-3</c:v>
                </c:pt>
                <c:pt idx="27">
                  <c:v>2E-3</c:v>
                </c:pt>
                <c:pt idx="28">
                  <c:v>2E-3</c:v>
                </c:pt>
                <c:pt idx="29">
                  <c:v>2E-3</c:v>
                </c:pt>
                <c:pt idx="30">
                  <c:v>2E-3</c:v>
                </c:pt>
                <c:pt idx="31">
                  <c:v>2E-3</c:v>
                </c:pt>
                <c:pt idx="32">
                  <c:v>2E-3</c:v>
                </c:pt>
                <c:pt idx="33">
                  <c:v>2E-3</c:v>
                </c:pt>
                <c:pt idx="34">
                  <c:v>2E-3</c:v>
                </c:pt>
                <c:pt idx="35">
                  <c:v>2E-3</c:v>
                </c:pt>
                <c:pt idx="36">
                  <c:v>2E-3</c:v>
                </c:pt>
                <c:pt idx="37">
                  <c:v>2E-3</c:v>
                </c:pt>
                <c:pt idx="38">
                  <c:v>2E-3</c:v>
                </c:pt>
                <c:pt idx="39">
                  <c:v>2E-3</c:v>
                </c:pt>
                <c:pt idx="40">
                  <c:v>2E-3</c:v>
                </c:pt>
                <c:pt idx="41">
                  <c:v>2E-3</c:v>
                </c:pt>
                <c:pt idx="42">
                  <c:v>2E-3</c:v>
                </c:pt>
                <c:pt idx="43">
                  <c:v>2E-3</c:v>
                </c:pt>
                <c:pt idx="44">
                  <c:v>2E-3</c:v>
                </c:pt>
                <c:pt idx="45">
                  <c:v>2E-3</c:v>
                </c:pt>
                <c:pt idx="46">
                  <c:v>2E-3</c:v>
                </c:pt>
                <c:pt idx="47">
                  <c:v>2E-3</c:v>
                </c:pt>
                <c:pt idx="48">
                  <c:v>2E-3</c:v>
                </c:pt>
                <c:pt idx="49">
                  <c:v>2E-3</c:v>
                </c:pt>
                <c:pt idx="50">
                  <c:v>2E-3</c:v>
                </c:pt>
                <c:pt idx="51">
                  <c:v>2E-3</c:v>
                </c:pt>
                <c:pt idx="52">
                  <c:v>2E-3</c:v>
                </c:pt>
                <c:pt idx="53">
                  <c:v>2E-3</c:v>
                </c:pt>
                <c:pt idx="54">
                  <c:v>2E-3</c:v>
                </c:pt>
                <c:pt idx="55">
                  <c:v>2E-3</c:v>
                </c:pt>
                <c:pt idx="56">
                  <c:v>2E-3</c:v>
                </c:pt>
                <c:pt idx="57">
                  <c:v>2E-3</c:v>
                </c:pt>
              </c:numCache>
            </c:numRef>
          </c:yVal>
          <c:smooth val="1"/>
          <c:extLst>
            <c:ext xmlns:c16="http://schemas.microsoft.com/office/drawing/2014/chart" uri="{C3380CC4-5D6E-409C-BE32-E72D297353CC}">
              <c16:uniqueId val="{00000000-B26B-4961-AC0C-1E83F4EB36B0}"/>
            </c:ext>
          </c:extLst>
        </c:ser>
        <c:ser>
          <c:idx val="1"/>
          <c:order val="1"/>
          <c:tx>
            <c:v>Comparator</c:v>
          </c:tx>
          <c:spPr>
            <a:ln w="3175">
              <a:solidFill>
                <a:srgbClr val="008000"/>
              </a:solidFill>
              <a:prstDash val="solid"/>
            </a:ln>
          </c:spPr>
          <c:marker>
            <c:symbol val="none"/>
          </c:marker>
          <c:xVal>
            <c:numRef>
              <c:f>Simulation!$T$6:$T$63</c:f>
              <c:numCache>
                <c:formatCode>_-* #,##0_-;\-* #,##0_-;_-* "-"??_-;_-@_-</c:formatCode>
                <c:ptCount val="58"/>
                <c:pt idx="0">
                  <c:v>0</c:v>
                </c:pt>
                <c:pt idx="1">
                  <c:v>1000</c:v>
                </c:pt>
                <c:pt idx="2">
                  <c:v>2000</c:v>
                </c:pt>
                <c:pt idx="3">
                  <c:v>3000</c:v>
                </c:pt>
                <c:pt idx="4">
                  <c:v>4000</c:v>
                </c:pt>
                <c:pt idx="5">
                  <c:v>5000</c:v>
                </c:pt>
                <c:pt idx="6">
                  <c:v>6000</c:v>
                </c:pt>
                <c:pt idx="7">
                  <c:v>7000</c:v>
                </c:pt>
                <c:pt idx="8">
                  <c:v>8000</c:v>
                </c:pt>
                <c:pt idx="9">
                  <c:v>9000</c:v>
                </c:pt>
                <c:pt idx="10">
                  <c:v>10000</c:v>
                </c:pt>
                <c:pt idx="11">
                  <c:v>11000</c:v>
                </c:pt>
                <c:pt idx="12">
                  <c:v>12000</c:v>
                </c:pt>
                <c:pt idx="13">
                  <c:v>13000</c:v>
                </c:pt>
                <c:pt idx="14">
                  <c:v>14000</c:v>
                </c:pt>
                <c:pt idx="15">
                  <c:v>15000</c:v>
                </c:pt>
                <c:pt idx="16">
                  <c:v>16000</c:v>
                </c:pt>
                <c:pt idx="17">
                  <c:v>17000</c:v>
                </c:pt>
                <c:pt idx="18">
                  <c:v>18000</c:v>
                </c:pt>
                <c:pt idx="19">
                  <c:v>19000</c:v>
                </c:pt>
                <c:pt idx="20">
                  <c:v>20000</c:v>
                </c:pt>
                <c:pt idx="21">
                  <c:v>21000</c:v>
                </c:pt>
                <c:pt idx="22">
                  <c:v>22000</c:v>
                </c:pt>
                <c:pt idx="23">
                  <c:v>23000</c:v>
                </c:pt>
                <c:pt idx="24">
                  <c:v>24000</c:v>
                </c:pt>
                <c:pt idx="25">
                  <c:v>25000</c:v>
                </c:pt>
                <c:pt idx="26">
                  <c:v>26000</c:v>
                </c:pt>
                <c:pt idx="27">
                  <c:v>27000</c:v>
                </c:pt>
                <c:pt idx="28">
                  <c:v>28000</c:v>
                </c:pt>
                <c:pt idx="29">
                  <c:v>29000</c:v>
                </c:pt>
                <c:pt idx="30">
                  <c:v>30000</c:v>
                </c:pt>
                <c:pt idx="31">
                  <c:v>31000</c:v>
                </c:pt>
                <c:pt idx="32">
                  <c:v>32000</c:v>
                </c:pt>
                <c:pt idx="33">
                  <c:v>33000</c:v>
                </c:pt>
                <c:pt idx="34">
                  <c:v>34000</c:v>
                </c:pt>
                <c:pt idx="35">
                  <c:v>35000</c:v>
                </c:pt>
                <c:pt idx="36">
                  <c:v>36000</c:v>
                </c:pt>
                <c:pt idx="37">
                  <c:v>37000</c:v>
                </c:pt>
                <c:pt idx="38">
                  <c:v>38000</c:v>
                </c:pt>
                <c:pt idx="39">
                  <c:v>39000</c:v>
                </c:pt>
                <c:pt idx="40">
                  <c:v>40000</c:v>
                </c:pt>
                <c:pt idx="41">
                  <c:v>41000</c:v>
                </c:pt>
                <c:pt idx="42">
                  <c:v>42000</c:v>
                </c:pt>
                <c:pt idx="43">
                  <c:v>43000</c:v>
                </c:pt>
                <c:pt idx="44">
                  <c:v>44000</c:v>
                </c:pt>
                <c:pt idx="45">
                  <c:v>45000</c:v>
                </c:pt>
                <c:pt idx="46">
                  <c:v>46000</c:v>
                </c:pt>
                <c:pt idx="47">
                  <c:v>47000</c:v>
                </c:pt>
                <c:pt idx="48">
                  <c:v>48000</c:v>
                </c:pt>
                <c:pt idx="49">
                  <c:v>49000</c:v>
                </c:pt>
                <c:pt idx="50">
                  <c:v>50000</c:v>
                </c:pt>
                <c:pt idx="51">
                  <c:v>51000</c:v>
                </c:pt>
                <c:pt idx="52">
                  <c:v>52000</c:v>
                </c:pt>
                <c:pt idx="53">
                  <c:v>53000</c:v>
                </c:pt>
                <c:pt idx="54">
                  <c:v>54000</c:v>
                </c:pt>
                <c:pt idx="55">
                  <c:v>55000</c:v>
                </c:pt>
                <c:pt idx="56">
                  <c:v>56000</c:v>
                </c:pt>
                <c:pt idx="57">
                  <c:v>57000</c:v>
                </c:pt>
              </c:numCache>
            </c:numRef>
          </c:xVal>
          <c:yVal>
            <c:numRef>
              <c:f>Simulation!$V$6:$V$63</c:f>
              <c:numCache>
                <c:formatCode>General</c:formatCode>
                <c:ptCount val="58"/>
                <c:pt idx="0">
                  <c:v>0.99799799799799804</c:v>
                </c:pt>
                <c:pt idx="1">
                  <c:v>0.99799799799799804</c:v>
                </c:pt>
                <c:pt idx="2">
                  <c:v>0.99799799799799804</c:v>
                </c:pt>
                <c:pt idx="3">
                  <c:v>0.99799799799799804</c:v>
                </c:pt>
                <c:pt idx="4">
                  <c:v>0.99799799799799804</c:v>
                </c:pt>
                <c:pt idx="5">
                  <c:v>0.99799799799799804</c:v>
                </c:pt>
                <c:pt idx="6">
                  <c:v>0.99799799799799804</c:v>
                </c:pt>
                <c:pt idx="7">
                  <c:v>0.99799799799799804</c:v>
                </c:pt>
                <c:pt idx="8">
                  <c:v>0.99799799799799804</c:v>
                </c:pt>
                <c:pt idx="9">
                  <c:v>0.99799799799799804</c:v>
                </c:pt>
                <c:pt idx="10">
                  <c:v>0.99799799799799804</c:v>
                </c:pt>
                <c:pt idx="11">
                  <c:v>0.99799799799799804</c:v>
                </c:pt>
                <c:pt idx="12">
                  <c:v>0.99799799799799804</c:v>
                </c:pt>
                <c:pt idx="13">
                  <c:v>0.99799799799799804</c:v>
                </c:pt>
                <c:pt idx="14">
                  <c:v>0.99799799799799804</c:v>
                </c:pt>
                <c:pt idx="15">
                  <c:v>0.99799799799799804</c:v>
                </c:pt>
                <c:pt idx="16">
                  <c:v>0.99799799799799804</c:v>
                </c:pt>
                <c:pt idx="17">
                  <c:v>0.99799799799799804</c:v>
                </c:pt>
                <c:pt idx="18">
                  <c:v>0.99799799799799804</c:v>
                </c:pt>
                <c:pt idx="19">
                  <c:v>0.99799799799799804</c:v>
                </c:pt>
                <c:pt idx="20">
                  <c:v>0.99799799799799804</c:v>
                </c:pt>
                <c:pt idx="21">
                  <c:v>0.99799799799799804</c:v>
                </c:pt>
                <c:pt idx="22">
                  <c:v>0.99799799799799804</c:v>
                </c:pt>
                <c:pt idx="23">
                  <c:v>0.99799799799799804</c:v>
                </c:pt>
                <c:pt idx="24">
                  <c:v>0.99799799799799804</c:v>
                </c:pt>
                <c:pt idx="25">
                  <c:v>0.99799799799799804</c:v>
                </c:pt>
                <c:pt idx="26">
                  <c:v>0.99799799799799804</c:v>
                </c:pt>
                <c:pt idx="27">
                  <c:v>0.99799799799799804</c:v>
                </c:pt>
                <c:pt idx="28">
                  <c:v>0.99799799799799804</c:v>
                </c:pt>
                <c:pt idx="29">
                  <c:v>0.99799799799799804</c:v>
                </c:pt>
                <c:pt idx="30">
                  <c:v>0.99799799799799804</c:v>
                </c:pt>
                <c:pt idx="31">
                  <c:v>0.99799799799799804</c:v>
                </c:pt>
                <c:pt idx="32">
                  <c:v>0.99799799799799804</c:v>
                </c:pt>
                <c:pt idx="33">
                  <c:v>0.99799799799799804</c:v>
                </c:pt>
                <c:pt idx="34">
                  <c:v>0.99799799799799804</c:v>
                </c:pt>
                <c:pt idx="35">
                  <c:v>0.99799799799799804</c:v>
                </c:pt>
                <c:pt idx="36">
                  <c:v>0.99799799799799804</c:v>
                </c:pt>
                <c:pt idx="37">
                  <c:v>0.99799799799799804</c:v>
                </c:pt>
                <c:pt idx="38">
                  <c:v>0.99799799799799804</c:v>
                </c:pt>
                <c:pt idx="39">
                  <c:v>0.99799799799799804</c:v>
                </c:pt>
                <c:pt idx="40">
                  <c:v>0.99799799799799804</c:v>
                </c:pt>
                <c:pt idx="41">
                  <c:v>0.99799799799799804</c:v>
                </c:pt>
                <c:pt idx="42">
                  <c:v>0.99799799799799804</c:v>
                </c:pt>
                <c:pt idx="43">
                  <c:v>0.99799799799799804</c:v>
                </c:pt>
                <c:pt idx="44">
                  <c:v>0.99799799799799804</c:v>
                </c:pt>
                <c:pt idx="45">
                  <c:v>0.99799799799799804</c:v>
                </c:pt>
                <c:pt idx="46">
                  <c:v>0.99799799799799804</c:v>
                </c:pt>
                <c:pt idx="47">
                  <c:v>0.99799799799799804</c:v>
                </c:pt>
                <c:pt idx="48">
                  <c:v>0.99799799799799804</c:v>
                </c:pt>
                <c:pt idx="49">
                  <c:v>0.99799799799799804</c:v>
                </c:pt>
                <c:pt idx="50">
                  <c:v>0.99799799799799804</c:v>
                </c:pt>
                <c:pt idx="51">
                  <c:v>0.99799799799799804</c:v>
                </c:pt>
                <c:pt idx="52">
                  <c:v>0.99799799799799804</c:v>
                </c:pt>
                <c:pt idx="53">
                  <c:v>0.99799799799799804</c:v>
                </c:pt>
                <c:pt idx="54">
                  <c:v>0.99799799799799804</c:v>
                </c:pt>
                <c:pt idx="55">
                  <c:v>0.99799799799799804</c:v>
                </c:pt>
                <c:pt idx="56">
                  <c:v>0.99799799799799804</c:v>
                </c:pt>
                <c:pt idx="57">
                  <c:v>0.99799799799799804</c:v>
                </c:pt>
              </c:numCache>
            </c:numRef>
          </c:yVal>
          <c:smooth val="1"/>
          <c:extLst>
            <c:ext xmlns:c16="http://schemas.microsoft.com/office/drawing/2014/chart" uri="{C3380CC4-5D6E-409C-BE32-E72D297353CC}">
              <c16:uniqueId val="{00000001-B26B-4961-AC0C-1E83F4EB36B0}"/>
            </c:ext>
          </c:extLst>
        </c:ser>
        <c:dLbls>
          <c:showLegendKey val="0"/>
          <c:showVal val="0"/>
          <c:showCatName val="0"/>
          <c:showSerName val="0"/>
          <c:showPercent val="0"/>
          <c:showBubbleSize val="0"/>
        </c:dLbls>
        <c:axId val="1756845456"/>
        <c:axId val="1"/>
      </c:scatterChart>
      <c:valAx>
        <c:axId val="1756845456"/>
        <c:scaling>
          <c:orientation val="minMax"/>
          <c:max val="50000"/>
        </c:scaling>
        <c:delete val="0"/>
        <c:axPos val="b"/>
        <c:title>
          <c:tx>
            <c:rich>
              <a:bodyPr/>
              <a:lstStyle/>
              <a:p>
                <a:pPr>
                  <a:defRPr sz="1875" b="1" i="0" u="none" strike="noStrike" baseline="0">
                    <a:solidFill>
                      <a:srgbClr val="000000"/>
                    </a:solidFill>
                    <a:latin typeface="Arial"/>
                    <a:ea typeface="Arial"/>
                    <a:cs typeface="Arial"/>
                  </a:defRPr>
                </a:pPr>
                <a:r>
                  <a:rPr lang="en-ZA"/>
                  <a:t>Value of Cost-Effectiveness Threshold</a:t>
                </a:r>
              </a:p>
            </c:rich>
          </c:tx>
          <c:layout>
            <c:manualLayout>
              <c:xMode val="edge"/>
              <c:yMode val="edge"/>
              <c:x val="0.26426613191605725"/>
              <c:y val="0.90267197104949037"/>
            </c:manualLayout>
          </c:layout>
          <c:overlay val="0"/>
          <c:spPr>
            <a:noFill/>
            <a:ln w="25400">
              <a:noFill/>
            </a:ln>
          </c:spPr>
        </c:title>
        <c:numFmt formatCode="[$ZAR]\ #,##0" sourceLinked="0"/>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
        <c:crosses val="autoZero"/>
        <c:crossBetween val="midCat"/>
        <c:majorUnit val="10000"/>
        <c:minorUnit val="1000"/>
      </c:valAx>
      <c:valAx>
        <c:axId val="1"/>
        <c:scaling>
          <c:orientation val="minMax"/>
          <c:max val="1"/>
          <c:min val="0"/>
        </c:scaling>
        <c:delete val="0"/>
        <c:axPos val="l"/>
        <c:title>
          <c:tx>
            <c:rich>
              <a:bodyPr/>
              <a:lstStyle/>
              <a:p>
                <a:pPr>
                  <a:defRPr sz="1875" b="1" i="0" u="none" strike="noStrike" baseline="0">
                    <a:solidFill>
                      <a:srgbClr val="000000"/>
                    </a:solidFill>
                    <a:latin typeface="Arial"/>
                    <a:ea typeface="Arial"/>
                    <a:cs typeface="Arial"/>
                  </a:defRPr>
                </a:pPr>
                <a:r>
                  <a:rPr lang="en-ZA"/>
                  <a:t>Probability cost-effective</a:t>
                </a:r>
              </a:p>
            </c:rich>
          </c:tx>
          <c:layout>
            <c:manualLayout>
              <c:xMode val="edge"/>
              <c:yMode val="edge"/>
              <c:x val="1.4428450228227261E-2"/>
              <c:y val="0.18760195113225525"/>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1756845456"/>
        <c:crosses val="autoZero"/>
        <c:crossBetween val="midCat"/>
      </c:valAx>
      <c:spPr>
        <a:noFill/>
        <a:ln w="25400">
          <a:noFill/>
        </a:ln>
      </c:spPr>
    </c:plotArea>
    <c:legend>
      <c:legendPos val="r"/>
      <c:overlay val="0"/>
    </c:legend>
    <c:plotVisOnly val="1"/>
    <c:dispBlanksAs val="gap"/>
    <c:showDLblsOverMax val="0"/>
  </c:chart>
  <c:spPr>
    <a:noFill/>
    <a:ln w="9525">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ZA"/>
              <a:t>Tornado diagram</a:t>
            </a:r>
          </a:p>
        </c:rich>
      </c:tx>
      <c:overlay val="0"/>
    </c:title>
    <c:autoTitleDeleted val="0"/>
    <c:plotArea>
      <c:layout>
        <c:manualLayout>
          <c:layoutTarget val="inner"/>
          <c:xMode val="edge"/>
          <c:yMode val="edge"/>
          <c:x val="0.1547042849881187"/>
          <c:y val="5.9088220990310504E-2"/>
          <c:w val="0.7612095933263815"/>
          <c:h val="0.79503598400158126"/>
        </c:manualLayout>
      </c:layout>
      <c:barChart>
        <c:barDir val="bar"/>
        <c:grouping val="clustered"/>
        <c:varyColors val="0"/>
        <c:ser>
          <c:idx val="0"/>
          <c:order val="0"/>
          <c:spPr>
            <a:solidFill>
              <a:schemeClr val="accent3">
                <a:alpha val="50000"/>
              </a:schemeClr>
            </a:solidFill>
            <a:ln w="12700">
              <a:solidFill>
                <a:srgbClr val="000000"/>
              </a:solidFill>
              <a:prstDash val="solid"/>
            </a:ln>
          </c:spPr>
          <c:invertIfNegative val="0"/>
          <c:cat>
            <c:strRef>
              <c:f>'Tornado diagram'!$I$6:$I$45</c:f>
              <c:strCache>
                <c:ptCount val="40"/>
                <c:pt idx="0">
                  <c:v>Term with ANC</c:v>
                </c:pt>
                <c:pt idx="1">
                  <c:v>e_SGA</c:v>
                </c:pt>
                <c:pt idx="2">
                  <c:v>c_LBW</c:v>
                </c:pt>
                <c:pt idx="3">
                  <c:v>e_LBW</c:v>
                </c:pt>
                <c:pt idx="4">
                  <c:v>LBW term</c:v>
                </c:pt>
                <c:pt idx="5">
                  <c:v>Live birth with ANC</c:v>
                </c:pt>
                <c:pt idx="6">
                  <c:v>Death and preterm sga</c:v>
                </c:pt>
                <c:pt idx="7">
                  <c:v>e_ANC </c:v>
                </c:pt>
                <c:pt idx="8">
                  <c:v>Death and term sga</c:v>
                </c:pt>
                <c:pt idx="9">
                  <c:v>LBW prem</c:v>
                </c:pt>
                <c:pt idx="10">
                  <c:v>Term no ANC</c:v>
                </c:pt>
                <c:pt idx="11">
                  <c:v>SGA preterm lbw</c:v>
                </c:pt>
                <c:pt idx="12">
                  <c:v>e_mortality</c:v>
                </c:pt>
                <c:pt idx="13">
                  <c:v>Impairement hypo</c:v>
                </c:pt>
                <c:pt idx="14">
                  <c:v>Impairement no hypo</c:v>
                </c:pt>
                <c:pt idx="15">
                  <c:v>Death and prem aga</c:v>
                </c:pt>
                <c:pt idx="16">
                  <c:v>dw_CLD</c:v>
                </c:pt>
                <c:pt idx="17">
                  <c:v>ANC</c:v>
                </c:pt>
                <c:pt idx="18">
                  <c:v>CLD rds</c:v>
                </c:pt>
                <c:pt idx="19">
                  <c:v>c_grant</c:v>
                </c:pt>
                <c:pt idx="20">
                  <c:v>e_preterm</c:v>
                </c:pt>
                <c:pt idx="21">
                  <c:v>Death and term aga</c:v>
                </c:pt>
                <c:pt idx="22">
                  <c:v>Hypoglycaemia term sga</c:v>
                </c:pt>
                <c:pt idx="23">
                  <c:v>c_lung </c:v>
                </c:pt>
                <c:pt idx="24">
                  <c:v>Live birth no ANC</c:v>
                </c:pt>
                <c:pt idx="25">
                  <c:v>c_RDS</c:v>
                </c:pt>
                <c:pt idx="26">
                  <c:v>c_NICU_NBW</c:v>
                </c:pt>
                <c:pt idx="27">
                  <c:v>Hypoglycaemia prem sga</c:v>
                </c:pt>
                <c:pt idx="28">
                  <c:v>RDS prem</c:v>
                </c:pt>
                <c:pt idx="29">
                  <c:v>AGA term nbw</c:v>
                </c:pt>
                <c:pt idx="30">
                  <c:v>Hypoglycaemia prem sga</c:v>
                </c:pt>
                <c:pt idx="31">
                  <c:v>c_clinic fu</c:v>
                </c:pt>
                <c:pt idx="32">
                  <c:v>c_hypo</c:v>
                </c:pt>
                <c:pt idx="33">
                  <c:v>dw_motor</c:v>
                </c:pt>
                <c:pt idx="34">
                  <c:v>c_hosp fu</c:v>
                </c:pt>
                <c:pt idx="35">
                  <c:v>c_prem</c:v>
                </c:pt>
                <c:pt idx="36">
                  <c:v>c_ANC</c:v>
                </c:pt>
                <c:pt idx="37">
                  <c:v>c_SB</c:v>
                </c:pt>
                <c:pt idx="38">
                  <c:v>c_cog</c:v>
                </c:pt>
                <c:pt idx="39">
                  <c:v>c_CSG</c:v>
                </c:pt>
              </c:strCache>
            </c:strRef>
          </c:cat>
          <c:val>
            <c:numRef>
              <c:f>'Tornado diagram'!$J$6:$J$45</c:f>
              <c:numCache>
                <c:formatCode>#,##0</c:formatCode>
                <c:ptCount val="40"/>
                <c:pt idx="0">
                  <c:v>-801078.51772080769</c:v>
                </c:pt>
                <c:pt idx="1">
                  <c:v>3600</c:v>
                </c:pt>
                <c:pt idx="2">
                  <c:v>-88675.624253114278</c:v>
                </c:pt>
                <c:pt idx="3">
                  <c:v>-289136.76349978091</c:v>
                </c:pt>
                <c:pt idx="4">
                  <c:v>-183388.41858737409</c:v>
                </c:pt>
                <c:pt idx="5">
                  <c:v>-297894.36527852417</c:v>
                </c:pt>
                <c:pt idx="6">
                  <c:v>-291005.1620643934</c:v>
                </c:pt>
                <c:pt idx="7">
                  <c:v>-276700.18883215514</c:v>
                </c:pt>
                <c:pt idx="8">
                  <c:v>-269694.33449112851</c:v>
                </c:pt>
                <c:pt idx="9">
                  <c:v>-212204.48054564363</c:v>
                </c:pt>
                <c:pt idx="10">
                  <c:v>-271941.24312013824</c:v>
                </c:pt>
                <c:pt idx="11">
                  <c:v>-268399.95923899498</c:v>
                </c:pt>
                <c:pt idx="12">
                  <c:v>-268237.81090198806</c:v>
                </c:pt>
                <c:pt idx="13">
                  <c:v>-266143.43829182611</c:v>
                </c:pt>
                <c:pt idx="14">
                  <c:v>-224703.15023441479</c:v>
                </c:pt>
                <c:pt idx="15">
                  <c:v>-257346.05381550675</c:v>
                </c:pt>
                <c:pt idx="16">
                  <c:v>-252581.33158872355</c:v>
                </c:pt>
                <c:pt idx="17">
                  <c:v>-252697.55049388201</c:v>
                </c:pt>
                <c:pt idx="18">
                  <c:v>-252502.26746704368</c:v>
                </c:pt>
                <c:pt idx="19">
                  <c:v>-249715.5186591309</c:v>
                </c:pt>
                <c:pt idx="20">
                  <c:v>-233870.61727496039</c:v>
                </c:pt>
                <c:pt idx="21">
                  <c:v>-234530.0739359695</c:v>
                </c:pt>
                <c:pt idx="22">
                  <c:v>-247039.86948003381</c:v>
                </c:pt>
                <c:pt idx="23">
                  <c:v>-235990.98654215908</c:v>
                </c:pt>
                <c:pt idx="24">
                  <c:v>-243551.49348796546</c:v>
                </c:pt>
                <c:pt idx="25">
                  <c:v>-239178.93718213259</c:v>
                </c:pt>
                <c:pt idx="26">
                  <c:v>-240239.12466467384</c:v>
                </c:pt>
                <c:pt idx="27">
                  <c:v>-242539.01217361036</c:v>
                </c:pt>
                <c:pt idx="28">
                  <c:v>-240302.08691938123</c:v>
                </c:pt>
                <c:pt idx="29">
                  <c:v>-241821.79329350428</c:v>
                </c:pt>
                <c:pt idx="30">
                  <c:v>-241656.84745093845</c:v>
                </c:pt>
                <c:pt idx="31">
                  <c:v>-241575.64494037529</c:v>
                </c:pt>
                <c:pt idx="32">
                  <c:v>-240797.55606113723</c:v>
                </c:pt>
                <c:pt idx="33">
                  <c:v>-241309.06965962469</c:v>
                </c:pt>
                <c:pt idx="34">
                  <c:v>-241003.02875021641</c:v>
                </c:pt>
                <c:pt idx="35">
                  <c:v>-241020.89164488798</c:v>
                </c:pt>
                <c:pt idx="36">
                  <c:v>-241164.80625230868</c:v>
                </c:pt>
                <c:pt idx="37">
                  <c:v>-241070.48107318458</c:v>
                </c:pt>
                <c:pt idx="38">
                  <c:v>-241104.55228414983</c:v>
                </c:pt>
                <c:pt idx="39">
                  <c:v>-241347.863919008</c:v>
                </c:pt>
              </c:numCache>
            </c:numRef>
          </c:val>
          <c:extLst>
            <c:ext xmlns:c16="http://schemas.microsoft.com/office/drawing/2014/chart" uri="{C3380CC4-5D6E-409C-BE32-E72D297353CC}">
              <c16:uniqueId val="{00000000-E80A-415D-B431-BDB43CFED890}"/>
            </c:ext>
          </c:extLst>
        </c:ser>
        <c:ser>
          <c:idx val="1"/>
          <c:order val="1"/>
          <c:tx>
            <c:strRef>
              <c:f>'Tornado diagram'!$K$6:$K$45</c:f>
              <c:strCache>
                <c:ptCount val="40"/>
                <c:pt idx="0">
                  <c:v>-194,624</c:v>
                </c:pt>
                <c:pt idx="1">
                  <c:v>-255203.5618</c:v>
                </c:pt>
                <c:pt idx="2">
                  <c:v>-268,100</c:v>
                </c:pt>
                <c:pt idx="3">
                  <c:v>-167,927</c:v>
                </c:pt>
                <c:pt idx="4">
                  <c:v>-291,595</c:v>
                </c:pt>
                <c:pt idx="5">
                  <c:v>-205327.4993</c:v>
                </c:pt>
                <c:pt idx="6">
                  <c:v>-205,737</c:v>
                </c:pt>
                <c:pt idx="7">
                  <c:v>-214,350</c:v>
                </c:pt>
                <c:pt idx="8">
                  <c:v>-217984.4462</c:v>
                </c:pt>
                <c:pt idx="9">
                  <c:v>-263557.4259</c:v>
                </c:pt>
                <c:pt idx="10">
                  <c:v>-220,880</c:v>
                </c:pt>
                <c:pt idx="11">
                  <c:v>-218827.2717</c:v>
                </c:pt>
                <c:pt idx="12">
                  <c:v>-220,294</c:v>
                </c:pt>
                <c:pt idx="13">
                  <c:v>-220381.2313</c:v>
                </c:pt>
                <c:pt idx="14">
                  <c:v>-258740.6879</c:v>
                </c:pt>
                <c:pt idx="15">
                  <c:v>-226,786</c:v>
                </c:pt>
                <c:pt idx="16">
                  <c:v>-228103.6708</c:v>
                </c:pt>
                <c:pt idx="17">
                  <c:v>-228779.2556</c:v>
                </c:pt>
                <c:pt idx="18">
                  <c:v>-231,722</c:v>
                </c:pt>
                <c:pt idx="19">
                  <c:v>-232502.917</c:v>
                </c:pt>
                <c:pt idx="20">
                  <c:v>-249935.7255</c:v>
                </c:pt>
                <c:pt idx="21">
                  <c:v>-248,068</c:v>
                </c:pt>
                <c:pt idx="22">
                  <c:v>-235,467</c:v>
                </c:pt>
                <c:pt idx="23">
                  <c:v>-245886.2337</c:v>
                </c:pt>
                <c:pt idx="24">
                  <c:v>-238932.6767</c:v>
                </c:pt>
                <c:pt idx="25">
                  <c:v>-242,911</c:v>
                </c:pt>
                <c:pt idx="26">
                  <c:v>-237,314</c:v>
                </c:pt>
                <c:pt idx="27">
                  <c:v>-239,697</c:v>
                </c:pt>
                <c:pt idx="28">
                  <c:v>-241,853</c:v>
                </c:pt>
                <c:pt idx="29">
                  <c:v>-240,448</c:v>
                </c:pt>
                <c:pt idx="30">
                  <c:v>-240600.4221</c:v>
                </c:pt>
                <c:pt idx="31">
                  <c:v>-240673.8859</c:v>
                </c:pt>
                <c:pt idx="32">
                  <c:v>-241,421</c:v>
                </c:pt>
                <c:pt idx="33">
                  <c:v>-240858.761</c:v>
                </c:pt>
                <c:pt idx="34">
                  <c:v>-241,208</c:v>
                </c:pt>
                <c:pt idx="35">
                  <c:v>-241191.6556</c:v>
                </c:pt>
                <c:pt idx="36">
                  <c:v>-241057.3353</c:v>
                </c:pt>
                <c:pt idx="37">
                  <c:v>-241147.9546</c:v>
                </c:pt>
                <c:pt idx="38">
                  <c:v>-241,114</c:v>
                </c:pt>
                <c:pt idx="39">
                  <c:v>-241,348</c:v>
                </c:pt>
              </c:strCache>
            </c:strRef>
          </c:tx>
          <c:spPr>
            <a:solidFill>
              <a:srgbClr val="00B050"/>
            </a:solidFill>
            <a:ln w="12700">
              <a:solidFill>
                <a:srgbClr val="000000"/>
              </a:solidFill>
              <a:prstDash val="solid"/>
            </a:ln>
          </c:spPr>
          <c:invertIfNegative val="0"/>
          <c:cat>
            <c:strRef>
              <c:f>'Tornado diagram'!$I$6:$I$45</c:f>
              <c:strCache>
                <c:ptCount val="40"/>
                <c:pt idx="0">
                  <c:v>Term with ANC</c:v>
                </c:pt>
                <c:pt idx="1">
                  <c:v>e_SGA</c:v>
                </c:pt>
                <c:pt idx="2">
                  <c:v>c_LBW</c:v>
                </c:pt>
                <c:pt idx="3">
                  <c:v>e_LBW</c:v>
                </c:pt>
                <c:pt idx="4">
                  <c:v>LBW term</c:v>
                </c:pt>
                <c:pt idx="5">
                  <c:v>Live birth with ANC</c:v>
                </c:pt>
                <c:pt idx="6">
                  <c:v>Death and preterm sga</c:v>
                </c:pt>
                <c:pt idx="7">
                  <c:v>e_ANC </c:v>
                </c:pt>
                <c:pt idx="8">
                  <c:v>Death and term sga</c:v>
                </c:pt>
                <c:pt idx="9">
                  <c:v>LBW prem</c:v>
                </c:pt>
                <c:pt idx="10">
                  <c:v>Term no ANC</c:v>
                </c:pt>
                <c:pt idx="11">
                  <c:v>SGA preterm lbw</c:v>
                </c:pt>
                <c:pt idx="12">
                  <c:v>e_mortality</c:v>
                </c:pt>
                <c:pt idx="13">
                  <c:v>Impairement hypo</c:v>
                </c:pt>
                <c:pt idx="14">
                  <c:v>Impairement no hypo</c:v>
                </c:pt>
                <c:pt idx="15">
                  <c:v>Death and prem aga</c:v>
                </c:pt>
                <c:pt idx="16">
                  <c:v>dw_CLD</c:v>
                </c:pt>
                <c:pt idx="17">
                  <c:v>ANC</c:v>
                </c:pt>
                <c:pt idx="18">
                  <c:v>CLD rds</c:v>
                </c:pt>
                <c:pt idx="19">
                  <c:v>c_grant</c:v>
                </c:pt>
                <c:pt idx="20">
                  <c:v>e_preterm</c:v>
                </c:pt>
                <c:pt idx="21">
                  <c:v>Death and term aga</c:v>
                </c:pt>
                <c:pt idx="22">
                  <c:v>Hypoglycaemia term sga</c:v>
                </c:pt>
                <c:pt idx="23">
                  <c:v>c_lung </c:v>
                </c:pt>
                <c:pt idx="24">
                  <c:v>Live birth no ANC</c:v>
                </c:pt>
                <c:pt idx="25">
                  <c:v>c_RDS</c:v>
                </c:pt>
                <c:pt idx="26">
                  <c:v>c_NICU_NBW</c:v>
                </c:pt>
                <c:pt idx="27">
                  <c:v>Hypoglycaemia prem sga</c:v>
                </c:pt>
                <c:pt idx="28">
                  <c:v>RDS prem</c:v>
                </c:pt>
                <c:pt idx="29">
                  <c:v>AGA term nbw</c:v>
                </c:pt>
                <c:pt idx="30">
                  <c:v>Hypoglycaemia prem sga</c:v>
                </c:pt>
                <c:pt idx="31">
                  <c:v>c_clinic fu</c:v>
                </c:pt>
                <c:pt idx="32">
                  <c:v>c_hypo</c:v>
                </c:pt>
                <c:pt idx="33">
                  <c:v>dw_motor</c:v>
                </c:pt>
                <c:pt idx="34">
                  <c:v>c_hosp fu</c:v>
                </c:pt>
                <c:pt idx="35">
                  <c:v>c_prem</c:v>
                </c:pt>
                <c:pt idx="36">
                  <c:v>c_ANC</c:v>
                </c:pt>
                <c:pt idx="37">
                  <c:v>c_SB</c:v>
                </c:pt>
                <c:pt idx="38">
                  <c:v>c_cog</c:v>
                </c:pt>
                <c:pt idx="39">
                  <c:v>c_CSG</c:v>
                </c:pt>
              </c:strCache>
            </c:strRef>
          </c:cat>
          <c:val>
            <c:numRef>
              <c:f>'Tornado diagram'!$K$6:$K$45</c:f>
              <c:numCache>
                <c:formatCode>General</c:formatCode>
                <c:ptCount val="40"/>
                <c:pt idx="0" formatCode="#,##0">
                  <c:v>-194624.11162654698</c:v>
                </c:pt>
                <c:pt idx="1">
                  <c:v>-255203.56184252127</c:v>
                </c:pt>
                <c:pt idx="2" formatCode="#,##0">
                  <c:v>-268100.0486089433</c:v>
                </c:pt>
                <c:pt idx="3" formatCode="#,##0">
                  <c:v>-167927.17501233166</c:v>
                </c:pt>
                <c:pt idx="4" formatCode="#,##0">
                  <c:v>-291595.29979281506</c:v>
                </c:pt>
                <c:pt idx="5">
                  <c:v>-205327.49934148978</c:v>
                </c:pt>
                <c:pt idx="6" formatCode="#,##0">
                  <c:v>-205737.41966569857</c:v>
                </c:pt>
                <c:pt idx="7" formatCode="#,##0">
                  <c:v>-214350.44392411612</c:v>
                </c:pt>
                <c:pt idx="8">
                  <c:v>-217984.44617636976</c:v>
                </c:pt>
                <c:pt idx="9">
                  <c:v>-263557.42593032826</c:v>
                </c:pt>
                <c:pt idx="10" formatCode="#,##0">
                  <c:v>-220880.41694045483</c:v>
                </c:pt>
                <c:pt idx="11">
                  <c:v>-218827.27167887584</c:v>
                </c:pt>
                <c:pt idx="12" formatCode="#,##0">
                  <c:v>-220293.91565579199</c:v>
                </c:pt>
                <c:pt idx="13">
                  <c:v>-220381.23125324072</c:v>
                </c:pt>
                <c:pt idx="14">
                  <c:v>-258740.68794612112</c:v>
                </c:pt>
                <c:pt idx="15" formatCode="#,##0">
                  <c:v>-226785.57327441964</c:v>
                </c:pt>
                <c:pt idx="16">
                  <c:v>-228103.67078597459</c:v>
                </c:pt>
                <c:pt idx="17">
                  <c:v>-228779.2556414245</c:v>
                </c:pt>
                <c:pt idx="18" formatCode="#,##0">
                  <c:v>-231722.08929962464</c:v>
                </c:pt>
                <c:pt idx="19">
                  <c:v>-232502.91700028753</c:v>
                </c:pt>
                <c:pt idx="20">
                  <c:v>-249935.72545157443</c:v>
                </c:pt>
                <c:pt idx="21" formatCode="#,##0">
                  <c:v>-248067.61817153843</c:v>
                </c:pt>
                <c:pt idx="22" formatCode="#,##0">
                  <c:v>-235467.39863452679</c:v>
                </c:pt>
                <c:pt idx="23">
                  <c:v>-245886.233698089</c:v>
                </c:pt>
                <c:pt idx="24">
                  <c:v>-238932.67667544752</c:v>
                </c:pt>
                <c:pt idx="25" formatCode="#,##0">
                  <c:v>-242910.81310077943</c:v>
                </c:pt>
                <c:pt idx="26" formatCode="#,##0">
                  <c:v>-237314.19809686884</c:v>
                </c:pt>
                <c:pt idx="27" formatCode="#,##0">
                  <c:v>-239696.85580649303</c:v>
                </c:pt>
                <c:pt idx="28" formatCode="#,##0">
                  <c:v>-241852.69364796759</c:v>
                </c:pt>
                <c:pt idx="29" formatCode="#,##0">
                  <c:v>-240448.25422430015</c:v>
                </c:pt>
                <c:pt idx="30">
                  <c:v>-240600.42211171871</c:v>
                </c:pt>
                <c:pt idx="31">
                  <c:v>-240673.8858597533</c:v>
                </c:pt>
                <c:pt idx="32" formatCode="#,##0">
                  <c:v>-241420.87959828053</c:v>
                </c:pt>
                <c:pt idx="33">
                  <c:v>-240858.76100751871</c:v>
                </c:pt>
                <c:pt idx="34" formatCode="#,##0">
                  <c:v>-241208.32763723488</c:v>
                </c:pt>
                <c:pt idx="35">
                  <c:v>-241191.65560220671</c:v>
                </c:pt>
                <c:pt idx="36">
                  <c:v>-241057.33530194915</c:v>
                </c:pt>
                <c:pt idx="37">
                  <c:v>-241147.95458623255</c:v>
                </c:pt>
                <c:pt idx="38" formatCode="#,##0">
                  <c:v>-241113.57233889631</c:v>
                </c:pt>
                <c:pt idx="39" formatCode="#,##0">
                  <c:v>-241347.863919008</c:v>
                </c:pt>
              </c:numCache>
            </c:numRef>
          </c:val>
          <c:extLst>
            <c:ext xmlns:c16="http://schemas.microsoft.com/office/drawing/2014/chart" uri="{C3380CC4-5D6E-409C-BE32-E72D297353CC}">
              <c16:uniqueId val="{00000001-E80A-415D-B431-BDB43CFED890}"/>
            </c:ext>
          </c:extLst>
        </c:ser>
        <c:dLbls>
          <c:showLegendKey val="0"/>
          <c:showVal val="0"/>
          <c:showCatName val="0"/>
          <c:showSerName val="0"/>
          <c:showPercent val="0"/>
          <c:showBubbleSize val="0"/>
        </c:dLbls>
        <c:gapWidth val="100"/>
        <c:overlap val="100"/>
        <c:axId val="599897680"/>
        <c:axId val="1"/>
      </c:barChart>
      <c:catAx>
        <c:axId val="599897680"/>
        <c:scaling>
          <c:orientation val="maxMin"/>
        </c:scaling>
        <c:delete val="0"/>
        <c:axPos val="l"/>
        <c:numFmt formatCode="General" sourceLinked="1"/>
        <c:majorTickMark val="none"/>
        <c:minorTickMark val="none"/>
        <c:tickLblPos val="low"/>
        <c:spPr>
          <a:ln w="3175">
            <a:solidFill>
              <a:srgbClr val="000000"/>
            </a:solidFill>
            <a:prstDash val="solid"/>
          </a:ln>
        </c:spPr>
        <c:txPr>
          <a:bodyPr rot="0" vert="horz"/>
          <a:lstStyle/>
          <a:p>
            <a:pPr>
              <a:defRPr sz="1400" b="1" i="0" u="none" strike="noStrike" baseline="0">
                <a:solidFill>
                  <a:srgbClr val="000000"/>
                </a:solidFill>
                <a:latin typeface="Calibri"/>
                <a:ea typeface="Calibri"/>
                <a:cs typeface="Calibri"/>
              </a:defRPr>
            </a:pPr>
            <a:endParaRPr lang="en-US"/>
          </a:p>
        </c:txPr>
        <c:crossAx val="1"/>
        <c:crossesAt val="-241109"/>
        <c:auto val="0"/>
        <c:lblAlgn val="ctr"/>
        <c:lblOffset val="100"/>
        <c:tickLblSkip val="1"/>
        <c:tickMarkSkip val="1"/>
        <c:noMultiLvlLbl val="0"/>
      </c:catAx>
      <c:valAx>
        <c:axId val="1"/>
        <c:scaling>
          <c:orientation val="minMax"/>
        </c:scaling>
        <c:delete val="0"/>
        <c:axPos val="b"/>
        <c:title>
          <c:tx>
            <c:rich>
              <a:bodyPr/>
              <a:lstStyle/>
              <a:p>
                <a:pPr>
                  <a:defRPr sz="1400" b="1" i="0" u="none" strike="noStrike" baseline="0">
                    <a:solidFill>
                      <a:srgbClr val="000000"/>
                    </a:solidFill>
                    <a:latin typeface="Calibri"/>
                    <a:ea typeface="Calibri"/>
                    <a:cs typeface="Calibri"/>
                  </a:defRPr>
                </a:pPr>
                <a:r>
                  <a:rPr lang="en-ZA"/>
                  <a:t>ICER</a:t>
                </a:r>
              </a:p>
            </c:rich>
          </c:tx>
          <c:layout>
            <c:manualLayout>
              <c:xMode val="edge"/>
              <c:yMode val="edge"/>
              <c:x val="0.43868289565193536"/>
              <c:y val="0.96981731895838574"/>
            </c:manualLayout>
          </c:layout>
          <c:overlay val="0"/>
        </c:title>
        <c:numFmt formatCode="&quot;R&quot;#,##0" sourceLinked="0"/>
        <c:majorTickMark val="cross"/>
        <c:minorTickMark val="none"/>
        <c:tickLblPos val="nextTo"/>
        <c:spPr>
          <a:ln w="3175">
            <a:solidFill>
              <a:srgbClr val="000000"/>
            </a:solidFill>
            <a:prstDash val="solid"/>
          </a:ln>
        </c:spPr>
        <c:txPr>
          <a:bodyPr rot="-5400000" vert="horz"/>
          <a:lstStyle/>
          <a:p>
            <a:pPr>
              <a:defRPr sz="1400" b="0" i="0" u="none" strike="noStrike" baseline="0">
                <a:solidFill>
                  <a:srgbClr val="000000"/>
                </a:solidFill>
                <a:latin typeface="Calibri"/>
                <a:ea typeface="Calibri"/>
                <a:cs typeface="Calibri"/>
              </a:defRPr>
            </a:pPr>
            <a:endParaRPr lang="en-US"/>
          </a:p>
        </c:txPr>
        <c:crossAx val="599897680"/>
        <c:crosses val="max"/>
        <c:crossBetween val="between"/>
      </c:valAx>
      <c:spPr>
        <a:noFill/>
        <a:ln w="25400">
          <a:noFill/>
        </a:ln>
      </c:spPr>
    </c:plotArea>
    <c:plotVisOnly val="1"/>
    <c:dispBlanksAs val="gap"/>
    <c:showDLblsOverMax val="0"/>
  </c:chart>
  <c:spPr>
    <a:solidFill>
      <a:srgbClr val="FFFFFF"/>
    </a:solidFill>
    <a:ln w="12700">
      <a:solidFill>
        <a:schemeClr val="bg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04688207077564"/>
          <c:y val="4.371647509578544E-2"/>
          <c:w val="0.73176233143270886"/>
          <c:h val="0.85118773946360149"/>
        </c:manualLayout>
      </c:layout>
      <c:scatterChart>
        <c:scatterStyle val="lineMarker"/>
        <c:varyColors val="0"/>
        <c:ser>
          <c:idx val="0"/>
          <c:order val="0"/>
          <c:spPr>
            <a:ln w="28575">
              <a:noFill/>
            </a:ln>
          </c:spPr>
          <c:marker>
            <c:symbol val="circle"/>
            <c:size val="5"/>
            <c:spPr>
              <a:solidFill>
                <a:schemeClr val="accent1"/>
              </a:solidFill>
              <a:ln w="9525">
                <a:solidFill>
                  <a:schemeClr val="accent1"/>
                </a:solidFill>
              </a:ln>
              <a:effectLst/>
            </c:spPr>
          </c:marker>
          <c:xVal>
            <c:numRef>
              <c:f>'WTP vs INMB'!$B$4:$B$34</c:f>
              <c:numCache>
                <c:formatCode>"R"#,##0.00</c:formatCode>
                <c:ptCount val="31"/>
                <c:pt idx="0">
                  <c:v>19250</c:v>
                </c:pt>
                <c:pt idx="1">
                  <c:v>20533.333333333332</c:v>
                </c:pt>
                <c:pt idx="2">
                  <c:v>21816.666666666664</c:v>
                </c:pt>
                <c:pt idx="3">
                  <c:v>23099.999999999996</c:v>
                </c:pt>
                <c:pt idx="4">
                  <c:v>24383.333333333328</c:v>
                </c:pt>
                <c:pt idx="5">
                  <c:v>25666.666666666661</c:v>
                </c:pt>
                <c:pt idx="6">
                  <c:v>26949.999999999993</c:v>
                </c:pt>
                <c:pt idx="7">
                  <c:v>28233.333333333325</c:v>
                </c:pt>
                <c:pt idx="8">
                  <c:v>29516.666666666657</c:v>
                </c:pt>
                <c:pt idx="9">
                  <c:v>30799.999999999989</c:v>
                </c:pt>
                <c:pt idx="10">
                  <c:v>32083.333333333321</c:v>
                </c:pt>
                <c:pt idx="11">
                  <c:v>33366.666666666657</c:v>
                </c:pt>
                <c:pt idx="12">
                  <c:v>34649.999999999993</c:v>
                </c:pt>
                <c:pt idx="13">
                  <c:v>35933.333333333328</c:v>
                </c:pt>
                <c:pt idx="14">
                  <c:v>37216.666666666664</c:v>
                </c:pt>
                <c:pt idx="15">
                  <c:v>38500</c:v>
                </c:pt>
                <c:pt idx="16">
                  <c:v>39783.333333333336</c:v>
                </c:pt>
                <c:pt idx="17">
                  <c:v>41066.666666666672</c:v>
                </c:pt>
                <c:pt idx="18">
                  <c:v>42350.000000000007</c:v>
                </c:pt>
                <c:pt idx="19">
                  <c:v>43633.333333333343</c:v>
                </c:pt>
                <c:pt idx="20">
                  <c:v>44916.666666666679</c:v>
                </c:pt>
                <c:pt idx="21">
                  <c:v>46200.000000000015</c:v>
                </c:pt>
                <c:pt idx="22">
                  <c:v>47483.33333333335</c:v>
                </c:pt>
                <c:pt idx="23">
                  <c:v>48766.666666666686</c:v>
                </c:pt>
                <c:pt idx="24">
                  <c:v>50050.000000000022</c:v>
                </c:pt>
                <c:pt idx="25">
                  <c:v>51333.333333333358</c:v>
                </c:pt>
                <c:pt idx="26">
                  <c:v>52616.666666666693</c:v>
                </c:pt>
                <c:pt idx="27">
                  <c:v>53900.000000000029</c:v>
                </c:pt>
                <c:pt idx="28">
                  <c:v>55183.333333333365</c:v>
                </c:pt>
                <c:pt idx="29">
                  <c:v>56466.666666666701</c:v>
                </c:pt>
                <c:pt idx="30">
                  <c:v>57750.000000000036</c:v>
                </c:pt>
              </c:numCache>
            </c:numRef>
          </c:xVal>
          <c:yVal>
            <c:numRef>
              <c:f>'WTP vs INMB'!$C$4:$C$34</c:f>
              <c:numCache>
                <c:formatCode>"R"#,##0.00</c:formatCode>
                <c:ptCount val="31"/>
                <c:pt idx="0">
                  <c:v>33666.213421910827</c:v>
                </c:pt>
                <c:pt idx="1">
                  <c:v>33832.360449876673</c:v>
                </c:pt>
                <c:pt idx="2">
                  <c:v>33998.507477842526</c:v>
                </c:pt>
                <c:pt idx="3">
                  <c:v>34164.654505808372</c:v>
                </c:pt>
                <c:pt idx="4">
                  <c:v>34330.801533774225</c:v>
                </c:pt>
                <c:pt idx="5">
                  <c:v>34496.948561740071</c:v>
                </c:pt>
                <c:pt idx="6">
                  <c:v>34663.095589705925</c:v>
                </c:pt>
                <c:pt idx="7">
                  <c:v>34829.242617671771</c:v>
                </c:pt>
                <c:pt idx="8">
                  <c:v>34995.389645637624</c:v>
                </c:pt>
                <c:pt idx="9">
                  <c:v>35161.53667360347</c:v>
                </c:pt>
                <c:pt idx="10">
                  <c:v>35327.683701569316</c:v>
                </c:pt>
                <c:pt idx="11">
                  <c:v>35493.83072953517</c:v>
                </c:pt>
                <c:pt idx="12">
                  <c:v>35659.977757501016</c:v>
                </c:pt>
                <c:pt idx="13">
                  <c:v>35826.124785466869</c:v>
                </c:pt>
                <c:pt idx="14">
                  <c:v>35992.271813432715</c:v>
                </c:pt>
                <c:pt idx="15">
                  <c:v>36158.418841398568</c:v>
                </c:pt>
                <c:pt idx="16">
                  <c:v>36324.565869364415</c:v>
                </c:pt>
                <c:pt idx="17">
                  <c:v>36490.712897330268</c:v>
                </c:pt>
                <c:pt idx="18">
                  <c:v>36656.859925296114</c:v>
                </c:pt>
                <c:pt idx="19">
                  <c:v>36823.006953261967</c:v>
                </c:pt>
                <c:pt idx="20">
                  <c:v>36989.153981227821</c:v>
                </c:pt>
                <c:pt idx="21">
                  <c:v>37155.301009193667</c:v>
                </c:pt>
                <c:pt idx="22">
                  <c:v>37321.448037159513</c:v>
                </c:pt>
                <c:pt idx="23">
                  <c:v>37487.595065125366</c:v>
                </c:pt>
                <c:pt idx="24">
                  <c:v>37653.742093091219</c:v>
                </c:pt>
                <c:pt idx="25">
                  <c:v>37819.889121057065</c:v>
                </c:pt>
                <c:pt idx="26">
                  <c:v>37986.036149022912</c:v>
                </c:pt>
                <c:pt idx="27">
                  <c:v>38152.183176988765</c:v>
                </c:pt>
                <c:pt idx="28">
                  <c:v>38318.330204954618</c:v>
                </c:pt>
                <c:pt idx="29">
                  <c:v>38484.477232920464</c:v>
                </c:pt>
                <c:pt idx="30">
                  <c:v>38650.62426088631</c:v>
                </c:pt>
              </c:numCache>
            </c:numRef>
          </c:yVal>
          <c:smooth val="0"/>
          <c:extLst>
            <c:ext xmlns:c15="http://schemas.microsoft.com/office/drawing/2012/chart" uri="{02D57815-91ED-43cb-92C2-25804820EDAC}">
              <c15:filteredSeriesTitle>
                <c15:tx>
                  <c:v>WTP vs INMB</c:v>
                </c15:tx>
              </c15:filteredSeriesTitle>
            </c:ext>
            <c:ext xmlns:c16="http://schemas.microsoft.com/office/drawing/2014/chart" uri="{C3380CC4-5D6E-409C-BE32-E72D297353CC}">
              <c16:uniqueId val="{00000000-1D34-43FE-A68C-24991D6DCED4}"/>
            </c:ext>
          </c:extLst>
        </c:ser>
        <c:dLbls>
          <c:showLegendKey val="0"/>
          <c:showVal val="0"/>
          <c:showCatName val="0"/>
          <c:showSerName val="0"/>
          <c:showPercent val="0"/>
          <c:showBubbleSize val="0"/>
        </c:dLbls>
        <c:axId val="599895384"/>
        <c:axId val="1"/>
      </c:scatterChart>
      <c:valAx>
        <c:axId val="599895384"/>
        <c:scaling>
          <c:orientation val="minMax"/>
        </c:scaling>
        <c:delete val="0"/>
        <c:axPos val="b"/>
        <c:title>
          <c:tx>
            <c:rich>
              <a:bodyPr/>
              <a:lstStyle/>
              <a:p>
                <a:pPr>
                  <a:defRPr sz="1050" b="1" i="0" u="none" strike="noStrike" baseline="0">
                    <a:solidFill>
                      <a:srgbClr val="000000"/>
                    </a:solidFill>
                    <a:latin typeface="Arial"/>
                    <a:ea typeface="Arial"/>
                    <a:cs typeface="Arial"/>
                  </a:defRPr>
                </a:pPr>
                <a:r>
                  <a:rPr lang="en-ZA"/>
                  <a:t>Willingness-to-Pay (R/DALY)</a:t>
                </a:r>
              </a:p>
            </c:rich>
          </c:tx>
          <c:layout>
            <c:manualLayout>
              <c:xMode val="edge"/>
              <c:yMode val="edge"/>
              <c:x val="0.374728248665329"/>
              <c:y val="0.9557812678712797"/>
            </c:manualLayout>
          </c:layout>
          <c:overlay val="0"/>
          <c:spPr>
            <a:noFill/>
            <a:ln w="25400">
              <a:noFill/>
            </a:ln>
          </c:spPr>
        </c:title>
        <c:numFmt formatCode="&quot;R&quot;#,##0" sourceLinked="0"/>
        <c:majorTickMark val="out"/>
        <c:minorTickMark val="none"/>
        <c:tickLblPos val="nextTo"/>
        <c:spPr>
          <a:noFill/>
          <a:ln w="9525" cap="flat" cmpd="sng" algn="ctr">
            <a:solidFill>
              <a:schemeClr val="tx1"/>
            </a:solidFill>
            <a:round/>
          </a:ln>
          <a:effectLst/>
        </c:spPr>
        <c:txPr>
          <a:bodyPr rot="0" vert="horz"/>
          <a:lstStyle/>
          <a:p>
            <a:pPr>
              <a:defRPr sz="105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title>
          <c:tx>
            <c:rich>
              <a:bodyPr/>
              <a:lstStyle/>
              <a:p>
                <a:pPr>
                  <a:defRPr sz="1050" b="1" i="0" u="none" strike="noStrike" baseline="0">
                    <a:solidFill>
                      <a:srgbClr val="000000"/>
                    </a:solidFill>
                    <a:latin typeface="Arial"/>
                    <a:ea typeface="Arial"/>
                    <a:cs typeface="Arial"/>
                  </a:defRPr>
                </a:pPr>
                <a:r>
                  <a:rPr lang="en-ZA"/>
                  <a:t>Incremental Net Monetary Benefit</a:t>
                </a:r>
              </a:p>
            </c:rich>
          </c:tx>
          <c:layout>
            <c:manualLayout>
              <c:xMode val="edge"/>
              <c:yMode val="edge"/>
              <c:x val="1.5633579381234214E-3"/>
              <c:y val="0.14917660356539739"/>
            </c:manualLayout>
          </c:layout>
          <c:overlay val="0"/>
          <c:spPr>
            <a:noFill/>
            <a:ln w="25400">
              <a:noFill/>
            </a:ln>
          </c:spPr>
        </c:title>
        <c:numFmt formatCode="[$ZAR]\ #,##0" sourceLinked="0"/>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599895384"/>
        <c:crosses val="autoZero"/>
        <c:crossBetween val="midCat"/>
      </c:valAx>
      <c:spPr>
        <a:noFill/>
        <a:ln w="25400">
          <a:noFill/>
        </a:ln>
      </c:spPr>
    </c:plotArea>
    <c:plotVisOnly val="1"/>
    <c:dispBlanksAs val="gap"/>
    <c:showDLblsOverMax val="0"/>
  </c:chart>
  <c:spPr>
    <a:solidFill>
      <a:schemeClr val="bg1"/>
    </a:solidFill>
    <a:ln w="9525" cap="flat" cmpd="sng" algn="ctr">
      <a:noFill/>
      <a:round/>
    </a:ln>
    <a:effectLst/>
  </c:spPr>
  <c:txPr>
    <a:bodyPr/>
    <a:lstStyle/>
    <a:p>
      <a:pPr>
        <a:defRPr sz="105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ZA"/>
              <a:t>Tornado diagram</a:t>
            </a:r>
          </a:p>
        </c:rich>
      </c:tx>
      <c:overlay val="0"/>
    </c:title>
    <c:autoTitleDeleted val="0"/>
    <c:plotArea>
      <c:layout>
        <c:manualLayout>
          <c:layoutTarget val="inner"/>
          <c:xMode val="edge"/>
          <c:yMode val="edge"/>
          <c:x val="0.1547042849881187"/>
          <c:y val="5.9088220990310504E-2"/>
          <c:w val="0.7612095933263815"/>
          <c:h val="0.79503598400158126"/>
        </c:manualLayout>
      </c:layout>
      <c:barChart>
        <c:barDir val="bar"/>
        <c:grouping val="clustered"/>
        <c:varyColors val="0"/>
        <c:ser>
          <c:idx val="0"/>
          <c:order val="0"/>
          <c:spPr>
            <a:solidFill>
              <a:schemeClr val="accent3">
                <a:alpha val="50000"/>
              </a:schemeClr>
            </a:solidFill>
            <a:ln w="12700">
              <a:solidFill>
                <a:srgbClr val="000000"/>
              </a:solidFill>
              <a:prstDash val="solid"/>
            </a:ln>
          </c:spPr>
          <c:invertIfNegative val="0"/>
          <c:cat>
            <c:strRef>
              <c:f>'Tornado diagram - INMB'!$I$6:$I$45</c:f>
              <c:strCache>
                <c:ptCount val="40"/>
                <c:pt idx="0">
                  <c:v>Term with ANC</c:v>
                </c:pt>
                <c:pt idx="1">
                  <c:v>c_LBW</c:v>
                </c:pt>
                <c:pt idx="2">
                  <c:v>e_LBW</c:v>
                </c:pt>
                <c:pt idx="3">
                  <c:v>LBW term</c:v>
                </c:pt>
                <c:pt idx="4">
                  <c:v>LBW prem</c:v>
                </c:pt>
                <c:pt idx="5">
                  <c:v>Term no ANC</c:v>
                </c:pt>
                <c:pt idx="6">
                  <c:v>c_grant</c:v>
                </c:pt>
                <c:pt idx="7">
                  <c:v>e_preterm</c:v>
                </c:pt>
                <c:pt idx="8">
                  <c:v>c_lung </c:v>
                </c:pt>
                <c:pt idx="9">
                  <c:v>CLD rds</c:v>
                </c:pt>
                <c:pt idx="10">
                  <c:v>e_ANC </c:v>
                </c:pt>
                <c:pt idx="11">
                  <c:v>Live birth no ANC</c:v>
                </c:pt>
                <c:pt idx="12">
                  <c:v>Live birth with ANC</c:v>
                </c:pt>
                <c:pt idx="13">
                  <c:v>ANC</c:v>
                </c:pt>
                <c:pt idx="14">
                  <c:v>RDS prem</c:v>
                </c:pt>
                <c:pt idx="15">
                  <c:v>c_RDS</c:v>
                </c:pt>
                <c:pt idx="16">
                  <c:v>c_NICU_NBW</c:v>
                </c:pt>
                <c:pt idx="17">
                  <c:v>c_clinic fu</c:v>
                </c:pt>
                <c:pt idx="18">
                  <c:v>Death and preterm sga</c:v>
                </c:pt>
                <c:pt idx="19">
                  <c:v>c_hypo</c:v>
                </c:pt>
                <c:pt idx="20">
                  <c:v>Hypoglycaemia term sga</c:v>
                </c:pt>
                <c:pt idx="21">
                  <c:v>SGA preterm lbw</c:v>
                </c:pt>
                <c:pt idx="22">
                  <c:v>Death and prem aga</c:v>
                </c:pt>
                <c:pt idx="23">
                  <c:v>e_mortality</c:v>
                </c:pt>
                <c:pt idx="24">
                  <c:v>e_SGA</c:v>
                </c:pt>
                <c:pt idx="25">
                  <c:v>Death and term sga</c:v>
                </c:pt>
                <c:pt idx="26">
                  <c:v>c_hosp fu</c:v>
                </c:pt>
                <c:pt idx="27">
                  <c:v>c_prem</c:v>
                </c:pt>
                <c:pt idx="28">
                  <c:v>AGA term nbw</c:v>
                </c:pt>
                <c:pt idx="29">
                  <c:v>Hypoglycaemia prem sga</c:v>
                </c:pt>
                <c:pt idx="30">
                  <c:v>c_ANC</c:v>
                </c:pt>
                <c:pt idx="31">
                  <c:v>c_SB</c:v>
                </c:pt>
                <c:pt idx="32">
                  <c:v>Hypoglycaemia prem sga</c:v>
                </c:pt>
                <c:pt idx="33">
                  <c:v>Impairement hypo</c:v>
                </c:pt>
                <c:pt idx="34">
                  <c:v>Death and term aga</c:v>
                </c:pt>
                <c:pt idx="35">
                  <c:v>c_cog</c:v>
                </c:pt>
                <c:pt idx="36">
                  <c:v>Impairement no hypo</c:v>
                </c:pt>
                <c:pt idx="37">
                  <c:v>dw_CLD</c:v>
                </c:pt>
                <c:pt idx="38">
                  <c:v>dw_motor</c:v>
                </c:pt>
                <c:pt idx="39">
                  <c:v>c_CSG</c:v>
                </c:pt>
              </c:strCache>
            </c:strRef>
          </c:cat>
          <c:val>
            <c:numRef>
              <c:f>'Tornado diagram - INMB'!$J$6:$J$45</c:f>
              <c:numCache>
                <c:formatCode>#,##0</c:formatCode>
                <c:ptCount val="40"/>
                <c:pt idx="0">
                  <c:v>16995.816652566558</c:v>
                </c:pt>
                <c:pt idx="1">
                  <c:v>11849.105662499926</c:v>
                </c:pt>
                <c:pt idx="2">
                  <c:v>40291.468877909021</c:v>
                </c:pt>
                <c:pt idx="3">
                  <c:v>22866.51640708396</c:v>
                </c:pt>
                <c:pt idx="4">
                  <c:v>25675.691641531521</c:v>
                </c:pt>
                <c:pt idx="5">
                  <c:v>28791.791860003184</c:v>
                </c:pt>
                <c:pt idx="6">
                  <c:v>33367.744417701091</c:v>
                </c:pt>
                <c:pt idx="7">
                  <c:v>33194.716570977267</c:v>
                </c:pt>
                <c:pt idx="8">
                  <c:v>31533.830841201387</c:v>
                </c:pt>
                <c:pt idx="9">
                  <c:v>31571.852118685405</c:v>
                </c:pt>
                <c:pt idx="10">
                  <c:v>31736.008079440828</c:v>
                </c:pt>
                <c:pt idx="11">
                  <c:v>31767.14770495976</c:v>
                </c:pt>
                <c:pt idx="12">
                  <c:v>31872.725553660042</c:v>
                </c:pt>
                <c:pt idx="13">
                  <c:v>31929.26111804659</c:v>
                </c:pt>
                <c:pt idx="14">
                  <c:v>31891.430921840409</c:v>
                </c:pt>
                <c:pt idx="15">
                  <c:v>31959.814467457662</c:v>
                </c:pt>
                <c:pt idx="16">
                  <c:v>32101.479931992013</c:v>
                </c:pt>
                <c:pt idx="17">
                  <c:v>32280.069821832047</c:v>
                </c:pt>
                <c:pt idx="18">
                  <c:v>32261.486924643119</c:v>
                </c:pt>
                <c:pt idx="19">
                  <c:v>32176.099227629165</c:v>
                </c:pt>
                <c:pt idx="20">
                  <c:v>32186.327901874829</c:v>
                </c:pt>
                <c:pt idx="21">
                  <c:v>32240.696450574935</c:v>
                </c:pt>
                <c:pt idx="22">
                  <c:v>32234.592396316453</c:v>
                </c:pt>
                <c:pt idx="23">
                  <c:v>32234.48085914168</c:v>
                </c:pt>
                <c:pt idx="24">
                  <c:v>32232.766571617482</c:v>
                </c:pt>
                <c:pt idx="25">
                  <c:v>32231.980371141399</c:v>
                </c:pt>
                <c:pt idx="26">
                  <c:v>32203.555111071357</c:v>
                </c:pt>
                <c:pt idx="27">
                  <c:v>32205.942005194564</c:v>
                </c:pt>
                <c:pt idx="28">
                  <c:v>32209.445402353202</c:v>
                </c:pt>
                <c:pt idx="29">
                  <c:v>32210.019027050701</c:v>
                </c:pt>
                <c:pt idx="30">
                  <c:v>32225.172311201066</c:v>
                </c:pt>
                <c:pt idx="31">
                  <c:v>32212.568294894561</c:v>
                </c:pt>
                <c:pt idx="32">
                  <c:v>32214.769156553753</c:v>
                </c:pt>
                <c:pt idx="33">
                  <c:v>32216.416682940544</c:v>
                </c:pt>
                <c:pt idx="34">
                  <c:v>32216.57565867572</c:v>
                </c:pt>
                <c:pt idx="35">
                  <c:v>32217.120993363584</c:v>
                </c:pt>
                <c:pt idx="36">
                  <c:v>32217.425352245788</c:v>
                </c:pt>
                <c:pt idx="37">
                  <c:v>32217.744417701077</c:v>
                </c:pt>
                <c:pt idx="38">
                  <c:v>32217.744417701077</c:v>
                </c:pt>
                <c:pt idx="39">
                  <c:v>32249.633031419507</c:v>
                </c:pt>
              </c:numCache>
            </c:numRef>
          </c:val>
          <c:extLst>
            <c:ext xmlns:c16="http://schemas.microsoft.com/office/drawing/2014/chart" uri="{C3380CC4-5D6E-409C-BE32-E72D297353CC}">
              <c16:uniqueId val="{00000000-93CD-4662-932B-0220638500B9}"/>
            </c:ext>
          </c:extLst>
        </c:ser>
        <c:ser>
          <c:idx val="1"/>
          <c:order val="1"/>
          <c:tx>
            <c:strRef>
              <c:f>'Tornado diagram - INMB'!$K$6:$K$45</c:f>
              <c:strCache>
                <c:ptCount val="40"/>
                <c:pt idx="0">
                  <c:v>46424.877</c:v>
                </c:pt>
                <c:pt idx="1">
                  <c:v>35824.34103</c:v>
                </c:pt>
                <c:pt idx="2">
                  <c:v>21116.37328</c:v>
                </c:pt>
                <c:pt idx="3">
                  <c:v>41568.97243</c:v>
                </c:pt>
                <c:pt idx="4">
                  <c:v>38323.66034</c:v>
                </c:pt>
                <c:pt idx="5">
                  <c:v>35643.69698</c:v>
                </c:pt>
                <c:pt idx="6">
                  <c:v>31067.74442</c:v>
                </c:pt>
                <c:pt idx="7">
                  <c:v>31170.98854</c:v>
                </c:pt>
                <c:pt idx="8">
                  <c:v>32856.06376</c:v>
                </c:pt>
                <c:pt idx="9">
                  <c:v>32820.57723</c:v>
                </c:pt>
                <c:pt idx="10">
                  <c:v>32699.48076</c:v>
                </c:pt>
                <c:pt idx="11">
                  <c:v>32,638</c:v>
                </c:pt>
                <c:pt idx="12">
                  <c:v>32,540</c:v>
                </c:pt>
                <c:pt idx="13">
                  <c:v>32563.51518</c:v>
                </c:pt>
                <c:pt idx="14">
                  <c:v>32522.30368</c:v>
                </c:pt>
                <c:pt idx="15">
                  <c:v>32458.47904</c:v>
                </c:pt>
                <c:pt idx="16">
                  <c:v>31710.64238</c:v>
                </c:pt>
                <c:pt idx="17">
                  <c:v>32159.57404</c:v>
                </c:pt>
                <c:pt idx="18">
                  <c:v>32,174</c:v>
                </c:pt>
                <c:pt idx="19">
                  <c:v>32259.38961</c:v>
                </c:pt>
                <c:pt idx="20">
                  <c:v>32249.16093</c:v>
                </c:pt>
                <c:pt idx="21">
                  <c:v>32194.79238</c:v>
                </c:pt>
                <c:pt idx="22">
                  <c:v>32200.89644</c:v>
                </c:pt>
                <c:pt idx="23">
                  <c:v>32202.12374</c:v>
                </c:pt>
                <c:pt idx="24">
                  <c:v>32201.90856</c:v>
                </c:pt>
                <c:pt idx="25">
                  <c:v>32203.50846</c:v>
                </c:pt>
                <c:pt idx="26">
                  <c:v>32230.98777</c:v>
                </c:pt>
                <c:pt idx="27">
                  <c:v>32228.76</c:v>
                </c:pt>
                <c:pt idx="28">
                  <c:v>32225.49017</c:v>
                </c:pt>
                <c:pt idx="29">
                  <c:v>32225.46981</c:v>
                </c:pt>
                <c:pt idx="30">
                  <c:v>32210.81172</c:v>
                </c:pt>
                <c:pt idx="31">
                  <c:v>32222.92054</c:v>
                </c:pt>
                <c:pt idx="32">
                  <c:v>32220.52133</c:v>
                </c:pt>
                <c:pt idx="33">
                  <c:v>32,219</c:v>
                </c:pt>
                <c:pt idx="34">
                  <c:v>32,219</c:v>
                </c:pt>
                <c:pt idx="35">
                  <c:v>32,218</c:v>
                </c:pt>
                <c:pt idx="36">
                  <c:v>32218.04221</c:v>
                </c:pt>
                <c:pt idx="37">
                  <c:v>32,218</c:v>
                </c:pt>
                <c:pt idx="38">
                  <c:v>32,218</c:v>
                </c:pt>
                <c:pt idx="39">
                  <c:v>32,250</c:v>
                </c:pt>
              </c:strCache>
            </c:strRef>
          </c:tx>
          <c:spPr>
            <a:solidFill>
              <a:srgbClr val="00B050"/>
            </a:solidFill>
            <a:ln w="12700">
              <a:solidFill>
                <a:srgbClr val="000000"/>
              </a:solidFill>
              <a:prstDash val="solid"/>
            </a:ln>
          </c:spPr>
          <c:invertIfNegative val="0"/>
          <c:cat>
            <c:strRef>
              <c:f>'Tornado diagram - INMB'!$I$6:$I$45</c:f>
              <c:strCache>
                <c:ptCount val="40"/>
                <c:pt idx="0">
                  <c:v>Term with ANC</c:v>
                </c:pt>
                <c:pt idx="1">
                  <c:v>c_LBW</c:v>
                </c:pt>
                <c:pt idx="2">
                  <c:v>e_LBW</c:v>
                </c:pt>
                <c:pt idx="3">
                  <c:v>LBW term</c:v>
                </c:pt>
                <c:pt idx="4">
                  <c:v>LBW prem</c:v>
                </c:pt>
                <c:pt idx="5">
                  <c:v>Term no ANC</c:v>
                </c:pt>
                <c:pt idx="6">
                  <c:v>c_grant</c:v>
                </c:pt>
                <c:pt idx="7">
                  <c:v>e_preterm</c:v>
                </c:pt>
                <c:pt idx="8">
                  <c:v>c_lung </c:v>
                </c:pt>
                <c:pt idx="9">
                  <c:v>CLD rds</c:v>
                </c:pt>
                <c:pt idx="10">
                  <c:v>e_ANC </c:v>
                </c:pt>
                <c:pt idx="11">
                  <c:v>Live birth no ANC</c:v>
                </c:pt>
                <c:pt idx="12">
                  <c:v>Live birth with ANC</c:v>
                </c:pt>
                <c:pt idx="13">
                  <c:v>ANC</c:v>
                </c:pt>
                <c:pt idx="14">
                  <c:v>RDS prem</c:v>
                </c:pt>
                <c:pt idx="15">
                  <c:v>c_RDS</c:v>
                </c:pt>
                <c:pt idx="16">
                  <c:v>c_NICU_NBW</c:v>
                </c:pt>
                <c:pt idx="17">
                  <c:v>c_clinic fu</c:v>
                </c:pt>
                <c:pt idx="18">
                  <c:v>Death and preterm sga</c:v>
                </c:pt>
                <c:pt idx="19">
                  <c:v>c_hypo</c:v>
                </c:pt>
                <c:pt idx="20">
                  <c:v>Hypoglycaemia term sga</c:v>
                </c:pt>
                <c:pt idx="21">
                  <c:v>SGA preterm lbw</c:v>
                </c:pt>
                <c:pt idx="22">
                  <c:v>Death and prem aga</c:v>
                </c:pt>
                <c:pt idx="23">
                  <c:v>e_mortality</c:v>
                </c:pt>
                <c:pt idx="24">
                  <c:v>e_SGA</c:v>
                </c:pt>
                <c:pt idx="25">
                  <c:v>Death and term sga</c:v>
                </c:pt>
                <c:pt idx="26">
                  <c:v>c_hosp fu</c:v>
                </c:pt>
                <c:pt idx="27">
                  <c:v>c_prem</c:v>
                </c:pt>
                <c:pt idx="28">
                  <c:v>AGA term nbw</c:v>
                </c:pt>
                <c:pt idx="29">
                  <c:v>Hypoglycaemia prem sga</c:v>
                </c:pt>
                <c:pt idx="30">
                  <c:v>c_ANC</c:v>
                </c:pt>
                <c:pt idx="31">
                  <c:v>c_SB</c:v>
                </c:pt>
                <c:pt idx="32">
                  <c:v>Hypoglycaemia prem sga</c:v>
                </c:pt>
                <c:pt idx="33">
                  <c:v>Impairement hypo</c:v>
                </c:pt>
                <c:pt idx="34">
                  <c:v>Death and term aga</c:v>
                </c:pt>
                <c:pt idx="35">
                  <c:v>c_cog</c:v>
                </c:pt>
                <c:pt idx="36">
                  <c:v>Impairement no hypo</c:v>
                </c:pt>
                <c:pt idx="37">
                  <c:v>dw_CLD</c:v>
                </c:pt>
                <c:pt idx="38">
                  <c:v>dw_motor</c:v>
                </c:pt>
                <c:pt idx="39">
                  <c:v>c_CSG</c:v>
                </c:pt>
              </c:strCache>
            </c:strRef>
          </c:cat>
          <c:val>
            <c:numRef>
              <c:f>'Tornado diagram - INMB'!$K$6:$K$45</c:f>
              <c:numCache>
                <c:formatCode>General</c:formatCode>
                <c:ptCount val="40"/>
                <c:pt idx="0">
                  <c:v>46424.876998493404</c:v>
                </c:pt>
                <c:pt idx="1">
                  <c:v>35824.341027711096</c:v>
                </c:pt>
                <c:pt idx="2">
                  <c:v>21116.373284915186</c:v>
                </c:pt>
                <c:pt idx="3">
                  <c:v>41568.972428318346</c:v>
                </c:pt>
                <c:pt idx="4">
                  <c:v>38323.660342125775</c:v>
                </c:pt>
                <c:pt idx="5">
                  <c:v>35643.696975398969</c:v>
                </c:pt>
                <c:pt idx="6">
                  <c:v>31067.744417701164</c:v>
                </c:pt>
                <c:pt idx="7">
                  <c:v>31170.988539190948</c:v>
                </c:pt>
                <c:pt idx="8">
                  <c:v>32856.063755767507</c:v>
                </c:pt>
                <c:pt idx="9">
                  <c:v>32820.577230115756</c:v>
                </c:pt>
                <c:pt idx="10">
                  <c:v>32699.480755961384</c:v>
                </c:pt>
                <c:pt idx="11" formatCode="#,##0">
                  <c:v>32638.301349592992</c:v>
                </c:pt>
                <c:pt idx="12" formatCode="#,##0">
                  <c:v>32539.762024139389</c:v>
                </c:pt>
                <c:pt idx="13">
                  <c:v>32563.515181116629</c:v>
                </c:pt>
                <c:pt idx="14">
                  <c:v>32522.303680504163</c:v>
                </c:pt>
                <c:pt idx="15">
                  <c:v>32458.479037928191</c:v>
                </c:pt>
                <c:pt idx="16">
                  <c:v>31710.642379407684</c:v>
                </c:pt>
                <c:pt idx="17">
                  <c:v>32159.574040512147</c:v>
                </c:pt>
                <c:pt idx="18" formatCode="#,##0">
                  <c:v>32174.001910758947</c:v>
                </c:pt>
                <c:pt idx="19">
                  <c:v>32259.389607773002</c:v>
                </c:pt>
                <c:pt idx="20">
                  <c:v>32249.160933527397</c:v>
                </c:pt>
                <c:pt idx="21">
                  <c:v>32194.792384827175</c:v>
                </c:pt>
                <c:pt idx="22">
                  <c:v>32200.896439085569</c:v>
                </c:pt>
                <c:pt idx="23">
                  <c:v>32202.123739023198</c:v>
                </c:pt>
                <c:pt idx="24">
                  <c:v>32201.908563780904</c:v>
                </c:pt>
                <c:pt idx="25">
                  <c:v>32203.508464260856</c:v>
                </c:pt>
                <c:pt idx="26">
                  <c:v>32230.987770555454</c:v>
                </c:pt>
                <c:pt idx="27">
                  <c:v>32228.760002706942</c:v>
                </c:pt>
                <c:pt idx="28">
                  <c:v>32225.490165359166</c:v>
                </c:pt>
                <c:pt idx="29">
                  <c:v>32225.469808351409</c:v>
                </c:pt>
                <c:pt idx="30">
                  <c:v>32210.811717101111</c:v>
                </c:pt>
                <c:pt idx="31">
                  <c:v>32222.920540507519</c:v>
                </c:pt>
                <c:pt idx="32">
                  <c:v>32220.521328105126</c:v>
                </c:pt>
                <c:pt idx="33" formatCode="#,##0">
                  <c:v>32219.072152461697</c:v>
                </c:pt>
                <c:pt idx="34" formatCode="#,##0">
                  <c:v>32218.913176726463</c:v>
                </c:pt>
                <c:pt idx="35" formatCode="#,##0">
                  <c:v>32218.326280415946</c:v>
                </c:pt>
                <c:pt idx="36">
                  <c:v>32218.042212125962</c:v>
                </c:pt>
                <c:pt idx="37" formatCode="#,##0">
                  <c:v>32217.744417701077</c:v>
                </c:pt>
                <c:pt idx="38" formatCode="#,##0">
                  <c:v>32217.744417701077</c:v>
                </c:pt>
                <c:pt idx="39" formatCode="#,##0">
                  <c:v>32249.633031419507</c:v>
                </c:pt>
              </c:numCache>
            </c:numRef>
          </c:val>
          <c:extLst>
            <c:ext xmlns:c16="http://schemas.microsoft.com/office/drawing/2014/chart" uri="{C3380CC4-5D6E-409C-BE32-E72D297353CC}">
              <c16:uniqueId val="{00000001-93CD-4662-932B-0220638500B9}"/>
            </c:ext>
          </c:extLst>
        </c:ser>
        <c:dLbls>
          <c:showLegendKey val="0"/>
          <c:showVal val="0"/>
          <c:showCatName val="0"/>
          <c:showSerName val="0"/>
          <c:showPercent val="0"/>
          <c:showBubbleSize val="0"/>
        </c:dLbls>
        <c:gapWidth val="100"/>
        <c:overlap val="100"/>
        <c:axId val="599897680"/>
        <c:axId val="1"/>
      </c:barChart>
      <c:catAx>
        <c:axId val="599897680"/>
        <c:scaling>
          <c:orientation val="maxMin"/>
        </c:scaling>
        <c:delete val="0"/>
        <c:axPos val="l"/>
        <c:numFmt formatCode="General" sourceLinked="1"/>
        <c:majorTickMark val="none"/>
        <c:minorTickMark val="none"/>
        <c:tickLblPos val="low"/>
        <c:spPr>
          <a:ln w="3175">
            <a:solidFill>
              <a:srgbClr val="000000"/>
            </a:solidFill>
            <a:prstDash val="solid"/>
          </a:ln>
        </c:spPr>
        <c:txPr>
          <a:bodyPr rot="0" vert="horz"/>
          <a:lstStyle/>
          <a:p>
            <a:pPr>
              <a:defRPr sz="1400" b="1" i="0" u="none" strike="noStrike" baseline="0">
                <a:solidFill>
                  <a:srgbClr val="000000"/>
                </a:solidFill>
                <a:latin typeface="Calibri"/>
                <a:ea typeface="Calibri"/>
                <a:cs typeface="Calibri"/>
              </a:defRPr>
            </a:pPr>
            <a:endParaRPr lang="en-US"/>
          </a:p>
        </c:txPr>
        <c:crossAx val="1"/>
        <c:crossesAt val="32218"/>
        <c:auto val="0"/>
        <c:lblAlgn val="ctr"/>
        <c:lblOffset val="100"/>
        <c:tickLblSkip val="1"/>
        <c:tickMarkSkip val="1"/>
        <c:noMultiLvlLbl val="0"/>
      </c:catAx>
      <c:valAx>
        <c:axId val="1"/>
        <c:scaling>
          <c:orientation val="minMax"/>
          <c:min val="-11000"/>
        </c:scaling>
        <c:delete val="0"/>
        <c:axPos val="b"/>
        <c:title>
          <c:tx>
            <c:rich>
              <a:bodyPr/>
              <a:lstStyle/>
              <a:p>
                <a:pPr>
                  <a:defRPr sz="1400" b="1" i="0" u="none" strike="noStrike" baseline="0">
                    <a:solidFill>
                      <a:srgbClr val="000000"/>
                    </a:solidFill>
                    <a:latin typeface="Calibri"/>
                    <a:ea typeface="Calibri"/>
                    <a:cs typeface="Calibri"/>
                  </a:defRPr>
                </a:pPr>
                <a:r>
                  <a:rPr lang="en-ZA"/>
                  <a:t>INMB</a:t>
                </a:r>
              </a:p>
            </c:rich>
          </c:tx>
          <c:layout>
            <c:manualLayout>
              <c:xMode val="edge"/>
              <c:yMode val="edge"/>
              <c:x val="0.43868289565193536"/>
              <c:y val="0.96981731895838574"/>
            </c:manualLayout>
          </c:layout>
          <c:overlay val="0"/>
        </c:title>
        <c:numFmt formatCode="&quot;R&quot;#,##0" sourceLinked="0"/>
        <c:majorTickMark val="cross"/>
        <c:minorTickMark val="none"/>
        <c:tickLblPos val="nextTo"/>
        <c:spPr>
          <a:ln w="3175">
            <a:solidFill>
              <a:srgbClr val="000000"/>
            </a:solidFill>
            <a:prstDash val="solid"/>
          </a:ln>
        </c:spPr>
        <c:txPr>
          <a:bodyPr rot="-5400000" vert="horz"/>
          <a:lstStyle/>
          <a:p>
            <a:pPr>
              <a:defRPr sz="1400" b="0" i="0" u="none" strike="noStrike" baseline="0">
                <a:solidFill>
                  <a:srgbClr val="000000"/>
                </a:solidFill>
                <a:latin typeface="Calibri"/>
                <a:ea typeface="Calibri"/>
                <a:cs typeface="Calibri"/>
              </a:defRPr>
            </a:pPr>
            <a:endParaRPr lang="en-US"/>
          </a:p>
        </c:txPr>
        <c:crossAx val="599897680"/>
        <c:crosses val="max"/>
        <c:crossBetween val="between"/>
      </c:valAx>
      <c:spPr>
        <a:noFill/>
        <a:ln w="25400">
          <a:noFill/>
        </a:ln>
      </c:spPr>
    </c:plotArea>
    <c:plotVisOnly val="1"/>
    <c:dispBlanksAs val="gap"/>
    <c:showDLblsOverMax val="0"/>
  </c:chart>
  <c:spPr>
    <a:solidFill>
      <a:srgbClr val="FFFFFF"/>
    </a:solidFill>
    <a:ln w="12700">
      <a:solidFill>
        <a:schemeClr val="bg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oddHeader>&amp;A</c:oddHeader>
      <c:oddFooter>Page &amp;P</c:oddFooter>
    </c:headerFooter>
    <c:pageMargins b="1" l="0.75" r="0.75" t="1" header="0.5" footer="0.5"/>
    <c:pageSetup orientation="landscape" horizontalDpi="300" verticalDpi="30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2">
    <tabColor theme="9" tint="0.79998168889431442"/>
  </sheetPr>
  <sheetViews>
    <sheetView zoomScale="55" workbookViewId="0"/>
  </sheetViews>
  <pageMargins left="0.75" right="0.75" top="1" bottom="1" header="0.5" footer="0.5"/>
  <pageSetup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3">
    <tabColor theme="9" tint="0.79998168889431442"/>
  </sheetPr>
  <sheetViews>
    <sheetView tabSelected="1" zoomScale="55" workbookViewId="0"/>
  </sheetViews>
  <pageMargins left="0.75" right="0.75" top="1" bottom="1" header="0.5" footer="0.5"/>
  <pageSetup orientation="landscape" r:id="rId1"/>
  <headerFooter alignWithMargins="0"/>
  <drawing r:id="rId2"/>
</chartsheet>
</file>

<file path=xl/drawings/_rels/drawing10.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264885</xdr:colOff>
      <xdr:row>200</xdr:row>
      <xdr:rowOff>72571</xdr:rowOff>
    </xdr:from>
    <xdr:to>
      <xdr:col>2</xdr:col>
      <xdr:colOff>286656</xdr:colOff>
      <xdr:row>201</xdr:row>
      <xdr:rowOff>76200</xdr:rowOff>
    </xdr:to>
    <xdr:sp macro="" textlink="">
      <xdr:nvSpPr>
        <xdr:cNvPr id="2" name="Rectangle 1">
          <a:extLst>
            <a:ext uri="{FF2B5EF4-FFF2-40B4-BE49-F238E27FC236}">
              <a16:creationId xmlns:a16="http://schemas.microsoft.com/office/drawing/2014/main" id="{E40A454E-3209-43BB-9A2E-40E20026A289}"/>
            </a:ext>
          </a:extLst>
        </xdr:cNvPr>
        <xdr:cNvSpPr/>
      </xdr:nvSpPr>
      <xdr:spPr>
        <a:xfrm>
          <a:off x="874485" y="11959771"/>
          <a:ext cx="631371" cy="1865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6</xdr:col>
      <xdr:colOff>517071</xdr:colOff>
      <xdr:row>259</xdr:row>
      <xdr:rowOff>65313</xdr:rowOff>
    </xdr:from>
    <xdr:to>
      <xdr:col>8</xdr:col>
      <xdr:colOff>70757</xdr:colOff>
      <xdr:row>261</xdr:row>
      <xdr:rowOff>32656</xdr:rowOff>
    </xdr:to>
    <xdr:sp macro="" textlink="">
      <xdr:nvSpPr>
        <xdr:cNvPr id="3" name="Rectangle: Rounded Corners 2">
          <a:extLst>
            <a:ext uri="{FF2B5EF4-FFF2-40B4-BE49-F238E27FC236}">
              <a16:creationId xmlns:a16="http://schemas.microsoft.com/office/drawing/2014/main" id="{3F39285A-A756-449C-81F9-F96DFC60E149}"/>
            </a:ext>
          </a:extLst>
        </xdr:cNvPr>
        <xdr:cNvSpPr/>
      </xdr:nvSpPr>
      <xdr:spPr>
        <a:xfrm>
          <a:off x="4174671" y="23687313"/>
          <a:ext cx="772886" cy="3483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grant</a:t>
          </a:r>
        </a:p>
      </xdr:txBody>
    </xdr:sp>
    <xdr:clientData/>
  </xdr:twoCellAnchor>
  <xdr:twoCellAnchor>
    <xdr:from>
      <xdr:col>6</xdr:col>
      <xdr:colOff>261801</xdr:colOff>
      <xdr:row>80</xdr:row>
      <xdr:rowOff>165462</xdr:rowOff>
    </xdr:from>
    <xdr:to>
      <xdr:col>7</xdr:col>
      <xdr:colOff>501287</xdr:colOff>
      <xdr:row>83</xdr:row>
      <xdr:rowOff>121920</xdr:rowOff>
    </xdr:to>
    <xdr:sp macro="" textlink="">
      <xdr:nvSpPr>
        <xdr:cNvPr id="4" name="Rectangle: Rounded Corners 3">
          <a:extLst>
            <a:ext uri="{FF2B5EF4-FFF2-40B4-BE49-F238E27FC236}">
              <a16:creationId xmlns:a16="http://schemas.microsoft.com/office/drawing/2014/main" id="{D1FB4956-B9F8-4EEE-8E14-BC2A119919F2}"/>
            </a:ext>
          </a:extLst>
        </xdr:cNvPr>
        <xdr:cNvSpPr/>
      </xdr:nvSpPr>
      <xdr:spPr>
        <a:xfrm>
          <a:off x="3919401" y="147958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Received grant</a:t>
          </a:r>
        </a:p>
      </xdr:txBody>
    </xdr:sp>
    <xdr:clientData/>
  </xdr:twoCellAnchor>
  <xdr:twoCellAnchor>
    <xdr:from>
      <xdr:col>4</xdr:col>
      <xdr:colOff>468086</xdr:colOff>
      <xdr:row>148</xdr:row>
      <xdr:rowOff>0</xdr:rowOff>
    </xdr:from>
    <xdr:to>
      <xdr:col>5</xdr:col>
      <xdr:colOff>174171</xdr:colOff>
      <xdr:row>149</xdr:row>
      <xdr:rowOff>76200</xdr:rowOff>
    </xdr:to>
    <xdr:sp macro="" textlink="">
      <xdr:nvSpPr>
        <xdr:cNvPr id="5" name="Oval 4">
          <a:extLst>
            <a:ext uri="{FF2B5EF4-FFF2-40B4-BE49-F238E27FC236}">
              <a16:creationId xmlns:a16="http://schemas.microsoft.com/office/drawing/2014/main" id="{A4A06246-E676-48E4-9263-7334683EA504}"/>
            </a:ext>
          </a:extLst>
        </xdr:cNvPr>
        <xdr:cNvSpPr/>
      </xdr:nvSpPr>
      <xdr:spPr>
        <a:xfrm>
          <a:off x="2906486" y="7863840"/>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613461</xdr:colOff>
      <xdr:row>148</xdr:row>
      <xdr:rowOff>130279</xdr:rowOff>
    </xdr:from>
    <xdr:to>
      <xdr:col>4</xdr:col>
      <xdr:colOff>468085</xdr:colOff>
      <xdr:row>151</xdr:row>
      <xdr:rowOff>7726</xdr:rowOff>
    </xdr:to>
    <xdr:cxnSp macro="">
      <xdr:nvCxnSpPr>
        <xdr:cNvPr id="6" name="Connector: Elbow 5">
          <a:extLst>
            <a:ext uri="{FF2B5EF4-FFF2-40B4-BE49-F238E27FC236}">
              <a16:creationId xmlns:a16="http://schemas.microsoft.com/office/drawing/2014/main" id="{140A5E73-D249-4085-9BD4-AD69411EBD85}"/>
            </a:ext>
          </a:extLst>
        </xdr:cNvPr>
        <xdr:cNvCxnSpPr>
          <a:stCxn id="255" idx="0"/>
          <a:endCxn id="5" idx="2"/>
        </xdr:cNvCxnSpPr>
      </xdr:nvCxnSpPr>
      <xdr:spPr>
        <a:xfrm rot="5400000" flipH="1" flipV="1">
          <a:off x="1847919" y="7361641"/>
          <a:ext cx="426087" cy="169104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16330</xdr:colOff>
      <xdr:row>82</xdr:row>
      <xdr:rowOff>52251</xdr:rowOff>
    </xdr:from>
    <xdr:to>
      <xdr:col>6</xdr:col>
      <xdr:colOff>261802</xdr:colOff>
      <xdr:row>148</xdr:row>
      <xdr:rowOff>0</xdr:rowOff>
    </xdr:to>
    <xdr:cxnSp macro="">
      <xdr:nvCxnSpPr>
        <xdr:cNvPr id="7" name="Connector: Elbow 6">
          <a:extLst>
            <a:ext uri="{FF2B5EF4-FFF2-40B4-BE49-F238E27FC236}">
              <a16:creationId xmlns:a16="http://schemas.microsoft.com/office/drawing/2014/main" id="{4217E341-150B-40E5-B5CC-03CAB84CBAC6}"/>
            </a:ext>
          </a:extLst>
        </xdr:cNvPr>
        <xdr:cNvCxnSpPr>
          <a:stCxn id="5" idx="0"/>
          <a:endCxn id="4" idx="1"/>
        </xdr:cNvCxnSpPr>
      </xdr:nvCxnSpPr>
      <xdr:spPr>
        <a:xfrm rot="5400000" flipH="1" flipV="1">
          <a:off x="-2539909" y="20652650"/>
          <a:ext cx="12063549" cy="8550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16330</xdr:colOff>
      <xdr:row>149</xdr:row>
      <xdr:rowOff>76199</xdr:rowOff>
    </xdr:from>
    <xdr:to>
      <xdr:col>6</xdr:col>
      <xdr:colOff>517072</xdr:colOff>
      <xdr:row>260</xdr:row>
      <xdr:rowOff>48984</xdr:rowOff>
    </xdr:to>
    <xdr:cxnSp macro="">
      <xdr:nvCxnSpPr>
        <xdr:cNvPr id="8" name="Connector: Elbow 7">
          <a:extLst>
            <a:ext uri="{FF2B5EF4-FFF2-40B4-BE49-F238E27FC236}">
              <a16:creationId xmlns:a16="http://schemas.microsoft.com/office/drawing/2014/main" id="{EEBFEF34-5129-407D-A3D6-A38214C40EAE}"/>
            </a:ext>
          </a:extLst>
        </xdr:cNvPr>
        <xdr:cNvCxnSpPr>
          <a:stCxn id="5" idx="4"/>
          <a:endCxn id="3" idx="1"/>
        </xdr:cNvCxnSpPr>
      </xdr:nvCxnSpPr>
      <xdr:spPr>
        <a:xfrm rot="16200000" flipH="1">
          <a:off x="-4082142" y="15604671"/>
          <a:ext cx="15403285" cy="111034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578032</xdr:colOff>
      <xdr:row>149</xdr:row>
      <xdr:rowOff>20139</xdr:rowOff>
    </xdr:from>
    <xdr:to>
      <xdr:col>12</xdr:col>
      <xdr:colOff>207918</xdr:colOff>
      <xdr:row>151</xdr:row>
      <xdr:rowOff>41911</xdr:rowOff>
    </xdr:to>
    <xdr:sp macro="" textlink="">
      <xdr:nvSpPr>
        <xdr:cNvPr id="9" name="Rectangle: Rounded Corners 8">
          <a:extLst>
            <a:ext uri="{FF2B5EF4-FFF2-40B4-BE49-F238E27FC236}">
              <a16:creationId xmlns:a16="http://schemas.microsoft.com/office/drawing/2014/main" id="{077FADF7-BF98-4AD8-9E6C-570034FF8E54}"/>
            </a:ext>
          </a:extLst>
        </xdr:cNvPr>
        <xdr:cNvSpPr/>
      </xdr:nvSpPr>
      <xdr:spPr>
        <a:xfrm>
          <a:off x="6674032" y="27314979"/>
          <a:ext cx="849086" cy="387532"/>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10</xdr:col>
      <xdr:colOff>393517</xdr:colOff>
      <xdr:row>57</xdr:row>
      <xdr:rowOff>89807</xdr:rowOff>
    </xdr:from>
    <xdr:to>
      <xdr:col>12</xdr:col>
      <xdr:colOff>23403</xdr:colOff>
      <xdr:row>60</xdr:row>
      <xdr:rowOff>46265</xdr:rowOff>
    </xdr:to>
    <xdr:sp macro="" textlink="">
      <xdr:nvSpPr>
        <xdr:cNvPr id="10" name="Rectangle: Rounded Corners 9">
          <a:extLst>
            <a:ext uri="{FF2B5EF4-FFF2-40B4-BE49-F238E27FC236}">
              <a16:creationId xmlns:a16="http://schemas.microsoft.com/office/drawing/2014/main" id="{B6846366-0DE2-49C1-A9C7-54CFA7BF0652}"/>
            </a:ext>
          </a:extLst>
        </xdr:cNvPr>
        <xdr:cNvSpPr/>
      </xdr:nvSpPr>
      <xdr:spPr>
        <a:xfrm>
          <a:off x="6489517" y="10513967"/>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11</xdr:col>
      <xdr:colOff>367395</xdr:colOff>
      <xdr:row>353</xdr:row>
      <xdr:rowOff>162199</xdr:rowOff>
    </xdr:from>
    <xdr:to>
      <xdr:col>12</xdr:col>
      <xdr:colOff>606881</xdr:colOff>
      <xdr:row>356</xdr:row>
      <xdr:rowOff>1090</xdr:rowOff>
    </xdr:to>
    <xdr:sp macro="" textlink="">
      <xdr:nvSpPr>
        <xdr:cNvPr id="11" name="Rectangle: Rounded Corners 10">
          <a:extLst>
            <a:ext uri="{FF2B5EF4-FFF2-40B4-BE49-F238E27FC236}">
              <a16:creationId xmlns:a16="http://schemas.microsoft.com/office/drawing/2014/main" id="{004FA3D8-CD77-4147-913B-656DE4045D28}"/>
            </a:ext>
          </a:extLst>
        </xdr:cNvPr>
        <xdr:cNvSpPr/>
      </xdr:nvSpPr>
      <xdr:spPr>
        <a:xfrm>
          <a:off x="7072995" y="64688359"/>
          <a:ext cx="849086" cy="38753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11</xdr:col>
      <xdr:colOff>423998</xdr:colOff>
      <xdr:row>249</xdr:row>
      <xdr:rowOff>99059</xdr:rowOff>
    </xdr:from>
    <xdr:to>
      <xdr:col>13</xdr:col>
      <xdr:colOff>53884</xdr:colOff>
      <xdr:row>252</xdr:row>
      <xdr:rowOff>55517</xdr:rowOff>
    </xdr:to>
    <xdr:sp macro="" textlink="">
      <xdr:nvSpPr>
        <xdr:cNvPr id="12" name="Rectangle: Rounded Corners 11">
          <a:extLst>
            <a:ext uri="{FF2B5EF4-FFF2-40B4-BE49-F238E27FC236}">
              <a16:creationId xmlns:a16="http://schemas.microsoft.com/office/drawing/2014/main" id="{6608FFB1-223B-4E78-8A88-A40319F597EB}"/>
            </a:ext>
          </a:extLst>
        </xdr:cNvPr>
        <xdr:cNvSpPr/>
      </xdr:nvSpPr>
      <xdr:spPr>
        <a:xfrm>
          <a:off x="7129598" y="45605699"/>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9</xdr:col>
      <xdr:colOff>234044</xdr:colOff>
      <xdr:row>58</xdr:row>
      <xdr:rowOff>159476</xdr:rowOff>
    </xdr:from>
    <xdr:to>
      <xdr:col>10</xdr:col>
      <xdr:colOff>393518</xdr:colOff>
      <xdr:row>81</xdr:row>
      <xdr:rowOff>119197</xdr:rowOff>
    </xdr:to>
    <xdr:cxnSp macro="">
      <xdr:nvCxnSpPr>
        <xdr:cNvPr id="13" name="Connector: Elbow 12">
          <a:extLst>
            <a:ext uri="{FF2B5EF4-FFF2-40B4-BE49-F238E27FC236}">
              <a16:creationId xmlns:a16="http://schemas.microsoft.com/office/drawing/2014/main" id="{2A938C7B-FBEC-4E5F-BD02-8754D709A374}"/>
            </a:ext>
          </a:extLst>
        </xdr:cNvPr>
        <xdr:cNvCxnSpPr>
          <a:stCxn id="18" idx="0"/>
          <a:endCxn id="10" idx="1"/>
        </xdr:cNvCxnSpPr>
      </xdr:nvCxnSpPr>
      <xdr:spPr>
        <a:xfrm rot="5400000" flipH="1" flipV="1">
          <a:off x="4022000" y="12464960"/>
          <a:ext cx="4165961" cy="76907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234043</xdr:colOff>
      <xdr:row>83</xdr:row>
      <xdr:rowOff>17959</xdr:rowOff>
    </xdr:from>
    <xdr:to>
      <xdr:col>10</xdr:col>
      <xdr:colOff>578032</xdr:colOff>
      <xdr:row>150</xdr:row>
      <xdr:rowOff>31024</xdr:rowOff>
    </xdr:to>
    <xdr:cxnSp macro="">
      <xdr:nvCxnSpPr>
        <xdr:cNvPr id="14" name="Connector: Elbow 13">
          <a:extLst>
            <a:ext uri="{FF2B5EF4-FFF2-40B4-BE49-F238E27FC236}">
              <a16:creationId xmlns:a16="http://schemas.microsoft.com/office/drawing/2014/main" id="{969D1E34-8FB3-47D0-B0F2-9D3C37C64121}"/>
            </a:ext>
          </a:extLst>
        </xdr:cNvPr>
        <xdr:cNvCxnSpPr>
          <a:stCxn id="18" idx="4"/>
          <a:endCxn id="9" idx="1"/>
        </xdr:cNvCxnSpPr>
      </xdr:nvCxnSpPr>
      <xdr:spPr>
        <a:xfrm rot="16200000" flipH="1">
          <a:off x="41365" y="20876077"/>
          <a:ext cx="12311745" cy="95358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462645</xdr:colOff>
      <xdr:row>250</xdr:row>
      <xdr:rowOff>168728</xdr:rowOff>
    </xdr:from>
    <xdr:to>
      <xdr:col>11</xdr:col>
      <xdr:colOff>423999</xdr:colOff>
      <xdr:row>259</xdr:row>
      <xdr:rowOff>111579</xdr:rowOff>
    </xdr:to>
    <xdr:cxnSp macro="">
      <xdr:nvCxnSpPr>
        <xdr:cNvPr id="15" name="Connector: Elbow 14">
          <a:extLst>
            <a:ext uri="{FF2B5EF4-FFF2-40B4-BE49-F238E27FC236}">
              <a16:creationId xmlns:a16="http://schemas.microsoft.com/office/drawing/2014/main" id="{D130EB40-E738-4407-BB93-D9584FAE7D36}"/>
            </a:ext>
          </a:extLst>
        </xdr:cNvPr>
        <xdr:cNvCxnSpPr>
          <a:stCxn id="19" idx="0"/>
          <a:endCxn id="12" idx="1"/>
        </xdr:cNvCxnSpPr>
      </xdr:nvCxnSpPr>
      <xdr:spPr>
        <a:xfrm rot="5400000" flipH="1" flipV="1">
          <a:off x="5744936" y="46062357"/>
          <a:ext cx="1588771" cy="118055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462644</xdr:colOff>
      <xdr:row>261</xdr:row>
      <xdr:rowOff>2721</xdr:rowOff>
    </xdr:from>
    <xdr:to>
      <xdr:col>11</xdr:col>
      <xdr:colOff>367395</xdr:colOff>
      <xdr:row>354</xdr:row>
      <xdr:rowOff>173084</xdr:rowOff>
    </xdr:to>
    <xdr:cxnSp macro="">
      <xdr:nvCxnSpPr>
        <xdr:cNvPr id="16" name="Connector: Elbow 15">
          <a:extLst>
            <a:ext uri="{FF2B5EF4-FFF2-40B4-BE49-F238E27FC236}">
              <a16:creationId xmlns:a16="http://schemas.microsoft.com/office/drawing/2014/main" id="{65A17A16-464F-4D7E-B387-67474717F3AC}"/>
            </a:ext>
          </a:extLst>
        </xdr:cNvPr>
        <xdr:cNvCxnSpPr>
          <a:stCxn id="19" idx="4"/>
          <a:endCxn id="11" idx="1"/>
        </xdr:cNvCxnSpPr>
      </xdr:nvCxnSpPr>
      <xdr:spPr>
        <a:xfrm rot="16200000" flipH="1">
          <a:off x="-2078082" y="55731047"/>
          <a:ext cx="17178203" cy="112395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76200</xdr:colOff>
      <xdr:row>81</xdr:row>
      <xdr:rowOff>119197</xdr:rowOff>
    </xdr:from>
    <xdr:to>
      <xdr:col>9</xdr:col>
      <xdr:colOff>391885</xdr:colOff>
      <xdr:row>83</xdr:row>
      <xdr:rowOff>17960</xdr:rowOff>
    </xdr:to>
    <xdr:sp macro="" textlink="">
      <xdr:nvSpPr>
        <xdr:cNvPr id="18" name="Oval 17">
          <a:extLst>
            <a:ext uri="{FF2B5EF4-FFF2-40B4-BE49-F238E27FC236}">
              <a16:creationId xmlns:a16="http://schemas.microsoft.com/office/drawing/2014/main" id="{A6933139-F34D-4FC1-9FE6-BF40CAD4A511}"/>
            </a:ext>
          </a:extLst>
        </xdr:cNvPr>
        <xdr:cNvSpPr/>
      </xdr:nvSpPr>
      <xdr:spPr>
        <a:xfrm>
          <a:off x="5562600" y="14932477"/>
          <a:ext cx="315685" cy="26452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304801</xdr:colOff>
      <xdr:row>259</xdr:row>
      <xdr:rowOff>111579</xdr:rowOff>
    </xdr:from>
    <xdr:to>
      <xdr:col>10</xdr:col>
      <xdr:colOff>10886</xdr:colOff>
      <xdr:row>261</xdr:row>
      <xdr:rowOff>2722</xdr:rowOff>
    </xdr:to>
    <xdr:sp macro="" textlink="">
      <xdr:nvSpPr>
        <xdr:cNvPr id="19" name="Oval 18">
          <a:extLst>
            <a:ext uri="{FF2B5EF4-FFF2-40B4-BE49-F238E27FC236}">
              <a16:creationId xmlns:a16="http://schemas.microsoft.com/office/drawing/2014/main" id="{D0F3D32B-4DE6-4B9A-B6C8-DBF1EFC6AE63}"/>
            </a:ext>
          </a:extLst>
        </xdr:cNvPr>
        <xdr:cNvSpPr/>
      </xdr:nvSpPr>
      <xdr:spPr>
        <a:xfrm>
          <a:off x="5791201" y="23733579"/>
          <a:ext cx="315685" cy="27214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501287</xdr:colOff>
      <xdr:row>82</xdr:row>
      <xdr:rowOff>52251</xdr:rowOff>
    </xdr:from>
    <xdr:to>
      <xdr:col>9</xdr:col>
      <xdr:colOff>76200</xdr:colOff>
      <xdr:row>82</xdr:row>
      <xdr:rowOff>68579</xdr:rowOff>
    </xdr:to>
    <xdr:cxnSp macro="">
      <xdr:nvCxnSpPr>
        <xdr:cNvPr id="24" name="Connector: Elbow 42">
          <a:extLst>
            <a:ext uri="{FF2B5EF4-FFF2-40B4-BE49-F238E27FC236}">
              <a16:creationId xmlns:a16="http://schemas.microsoft.com/office/drawing/2014/main" id="{8E067974-D8BB-4C82-805C-BB2AB21E3C47}"/>
            </a:ext>
          </a:extLst>
        </xdr:cNvPr>
        <xdr:cNvCxnSpPr>
          <a:cxnSpLocks/>
          <a:stCxn id="4" idx="3"/>
          <a:endCxn id="18" idx="2"/>
        </xdr:cNvCxnSpPr>
      </xdr:nvCxnSpPr>
      <xdr:spPr>
        <a:xfrm>
          <a:off x="4768487" y="15048411"/>
          <a:ext cx="794113" cy="1632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70757</xdr:colOff>
      <xdr:row>260</xdr:row>
      <xdr:rowOff>48985</xdr:rowOff>
    </xdr:from>
    <xdr:to>
      <xdr:col>9</xdr:col>
      <xdr:colOff>304801</xdr:colOff>
      <xdr:row>260</xdr:row>
      <xdr:rowOff>57151</xdr:rowOff>
    </xdr:to>
    <xdr:cxnSp macro="">
      <xdr:nvCxnSpPr>
        <xdr:cNvPr id="26" name="Connector: Elbow 47">
          <a:extLst>
            <a:ext uri="{FF2B5EF4-FFF2-40B4-BE49-F238E27FC236}">
              <a16:creationId xmlns:a16="http://schemas.microsoft.com/office/drawing/2014/main" id="{D641265C-6530-4C3D-81C7-AFB37FE3A134}"/>
            </a:ext>
          </a:extLst>
        </xdr:cNvPr>
        <xdr:cNvCxnSpPr>
          <a:cxnSpLocks/>
          <a:stCxn id="3" idx="3"/>
          <a:endCxn id="19" idx="2"/>
        </xdr:cNvCxnSpPr>
      </xdr:nvCxnSpPr>
      <xdr:spPr>
        <a:xfrm>
          <a:off x="4947557" y="23861485"/>
          <a:ext cx="843644" cy="816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594904</xdr:colOff>
      <xdr:row>39</xdr:row>
      <xdr:rowOff>81643</xdr:rowOff>
    </xdr:from>
    <xdr:to>
      <xdr:col>15</xdr:col>
      <xdr:colOff>224790</xdr:colOff>
      <xdr:row>42</xdr:row>
      <xdr:rowOff>38100</xdr:rowOff>
    </xdr:to>
    <xdr:sp macro="" textlink="">
      <xdr:nvSpPr>
        <xdr:cNvPr id="27" name="Rectangle: Rounded Corners 26">
          <a:extLst>
            <a:ext uri="{FF2B5EF4-FFF2-40B4-BE49-F238E27FC236}">
              <a16:creationId xmlns:a16="http://schemas.microsoft.com/office/drawing/2014/main" id="{7A85BD1C-9AD0-4283-B6D9-382818BC9D88}"/>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283573</xdr:colOff>
      <xdr:row>78</xdr:row>
      <xdr:rowOff>81099</xdr:rowOff>
    </xdr:from>
    <xdr:to>
      <xdr:col>15</xdr:col>
      <xdr:colOff>523059</xdr:colOff>
      <xdr:row>81</xdr:row>
      <xdr:rowOff>30480</xdr:rowOff>
    </xdr:to>
    <xdr:sp macro="" textlink="">
      <xdr:nvSpPr>
        <xdr:cNvPr id="28" name="Rectangle: Rounded Corners 27">
          <a:extLst>
            <a:ext uri="{FF2B5EF4-FFF2-40B4-BE49-F238E27FC236}">
              <a16:creationId xmlns:a16="http://schemas.microsoft.com/office/drawing/2014/main" id="{AE1A7D96-C319-4A7C-A22E-C313FB39BAB1}"/>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304801</xdr:colOff>
      <xdr:row>40</xdr:row>
      <xdr:rowOff>151313</xdr:rowOff>
    </xdr:from>
    <xdr:to>
      <xdr:col>13</xdr:col>
      <xdr:colOff>594904</xdr:colOff>
      <xdr:row>58</xdr:row>
      <xdr:rowOff>39188</xdr:rowOff>
    </xdr:to>
    <xdr:cxnSp macro="">
      <xdr:nvCxnSpPr>
        <xdr:cNvPr id="29" name="Connector: Elbow 28">
          <a:extLst>
            <a:ext uri="{FF2B5EF4-FFF2-40B4-BE49-F238E27FC236}">
              <a16:creationId xmlns:a16="http://schemas.microsoft.com/office/drawing/2014/main" id="{45E54F4A-51CC-44EE-99FF-D4490F85F6C1}"/>
            </a:ext>
          </a:extLst>
        </xdr:cNvPr>
        <xdr:cNvCxnSpPr>
          <a:stCxn id="31" idx="0"/>
          <a:endCxn id="27" idx="1"/>
        </xdr:cNvCxnSpPr>
      </xdr:nvCxnSpPr>
      <xdr:spPr>
        <a:xfrm rot="5400000" flipH="1" flipV="1">
          <a:off x="6784795" y="8911319"/>
          <a:ext cx="3179715" cy="2901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304802</xdr:colOff>
      <xdr:row>59</xdr:row>
      <xdr:rowOff>115386</xdr:rowOff>
    </xdr:from>
    <xdr:to>
      <xdr:col>14</xdr:col>
      <xdr:colOff>283574</xdr:colOff>
      <xdr:row>79</xdr:row>
      <xdr:rowOff>147229</xdr:rowOff>
    </xdr:to>
    <xdr:cxnSp macro="">
      <xdr:nvCxnSpPr>
        <xdr:cNvPr id="30" name="Connector: Elbow 29">
          <a:extLst>
            <a:ext uri="{FF2B5EF4-FFF2-40B4-BE49-F238E27FC236}">
              <a16:creationId xmlns:a16="http://schemas.microsoft.com/office/drawing/2014/main" id="{B5DE888E-D4D6-46E0-A680-EADE53CC97E4}"/>
            </a:ext>
          </a:extLst>
        </xdr:cNvPr>
        <xdr:cNvCxnSpPr>
          <a:stCxn id="31" idx="4"/>
          <a:endCxn id="28" idx="1"/>
        </xdr:cNvCxnSpPr>
      </xdr:nvCxnSpPr>
      <xdr:spPr>
        <a:xfrm rot="16200000" flipH="1">
          <a:off x="6679066" y="12455842"/>
          <a:ext cx="3689443" cy="5883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146958</xdr:colOff>
      <xdr:row>58</xdr:row>
      <xdr:rowOff>39187</xdr:rowOff>
    </xdr:from>
    <xdr:to>
      <xdr:col>13</xdr:col>
      <xdr:colOff>462643</xdr:colOff>
      <xdr:row>59</xdr:row>
      <xdr:rowOff>115387</xdr:rowOff>
    </xdr:to>
    <xdr:sp macro="" textlink="">
      <xdr:nvSpPr>
        <xdr:cNvPr id="31" name="Oval 30">
          <a:extLst>
            <a:ext uri="{FF2B5EF4-FFF2-40B4-BE49-F238E27FC236}">
              <a16:creationId xmlns:a16="http://schemas.microsoft.com/office/drawing/2014/main" id="{1EB8D14F-C8BD-4BE4-999C-CA1433169759}"/>
            </a:ext>
          </a:extLst>
        </xdr:cNvPr>
        <xdr:cNvSpPr/>
      </xdr:nvSpPr>
      <xdr:spPr>
        <a:xfrm>
          <a:off x="8071758" y="106462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23403</xdr:colOff>
      <xdr:row>58</xdr:row>
      <xdr:rowOff>159476</xdr:rowOff>
    </xdr:from>
    <xdr:to>
      <xdr:col>13</xdr:col>
      <xdr:colOff>146958</xdr:colOff>
      <xdr:row>58</xdr:row>
      <xdr:rowOff>168727</xdr:rowOff>
    </xdr:to>
    <xdr:cxnSp macro="">
      <xdr:nvCxnSpPr>
        <xdr:cNvPr id="32" name="Connector: Elbow 42">
          <a:extLst>
            <a:ext uri="{FF2B5EF4-FFF2-40B4-BE49-F238E27FC236}">
              <a16:creationId xmlns:a16="http://schemas.microsoft.com/office/drawing/2014/main" id="{1C8B558F-93C1-43D9-8428-B4C7F010BE9D}"/>
            </a:ext>
          </a:extLst>
        </xdr:cNvPr>
        <xdr:cNvCxnSpPr>
          <a:cxnSpLocks/>
          <a:stCxn id="10" idx="3"/>
          <a:endCxn id="31" idx="2"/>
        </xdr:cNvCxnSpPr>
      </xdr:nvCxnSpPr>
      <xdr:spPr>
        <a:xfrm>
          <a:off x="7338603" y="10766516"/>
          <a:ext cx="733155" cy="925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207918</xdr:colOff>
      <xdr:row>150</xdr:row>
      <xdr:rowOff>31025</xdr:rowOff>
    </xdr:from>
    <xdr:to>
      <xdr:col>12</xdr:col>
      <xdr:colOff>451758</xdr:colOff>
      <xdr:row>150</xdr:row>
      <xdr:rowOff>46807</xdr:rowOff>
    </xdr:to>
    <xdr:cxnSp macro="">
      <xdr:nvCxnSpPr>
        <xdr:cNvPr id="36" name="Connector: Elbow 42">
          <a:extLst>
            <a:ext uri="{FF2B5EF4-FFF2-40B4-BE49-F238E27FC236}">
              <a16:creationId xmlns:a16="http://schemas.microsoft.com/office/drawing/2014/main" id="{F545EAF1-8A40-4942-8B68-7569A45F1D51}"/>
            </a:ext>
          </a:extLst>
        </xdr:cNvPr>
        <xdr:cNvCxnSpPr>
          <a:cxnSpLocks/>
          <a:stCxn id="9" idx="3"/>
          <a:endCxn id="448" idx="2"/>
        </xdr:cNvCxnSpPr>
      </xdr:nvCxnSpPr>
      <xdr:spPr>
        <a:xfrm>
          <a:off x="7523118" y="27508745"/>
          <a:ext cx="243840" cy="1578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53884</xdr:colOff>
      <xdr:row>250</xdr:row>
      <xdr:rowOff>168728</xdr:rowOff>
    </xdr:from>
    <xdr:to>
      <xdr:col>14</xdr:col>
      <xdr:colOff>451758</xdr:colOff>
      <xdr:row>251</xdr:row>
      <xdr:rowOff>46807</xdr:rowOff>
    </xdr:to>
    <xdr:cxnSp macro="">
      <xdr:nvCxnSpPr>
        <xdr:cNvPr id="42" name="Connector: Elbow 42">
          <a:extLst>
            <a:ext uri="{FF2B5EF4-FFF2-40B4-BE49-F238E27FC236}">
              <a16:creationId xmlns:a16="http://schemas.microsoft.com/office/drawing/2014/main" id="{C302A273-E714-4519-86D0-A5A87F6E5984}"/>
            </a:ext>
          </a:extLst>
        </xdr:cNvPr>
        <xdr:cNvCxnSpPr>
          <a:cxnSpLocks/>
          <a:stCxn id="12" idx="3"/>
          <a:endCxn id="521" idx="2"/>
        </xdr:cNvCxnSpPr>
      </xdr:nvCxnSpPr>
      <xdr:spPr>
        <a:xfrm>
          <a:off x="7978684" y="45858248"/>
          <a:ext cx="1007474" cy="6095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606881</xdr:colOff>
      <xdr:row>354</xdr:row>
      <xdr:rowOff>173085</xdr:rowOff>
    </xdr:from>
    <xdr:to>
      <xdr:col>14</xdr:col>
      <xdr:colOff>451758</xdr:colOff>
      <xdr:row>355</xdr:row>
      <xdr:rowOff>46807</xdr:rowOff>
    </xdr:to>
    <xdr:cxnSp macro="">
      <xdr:nvCxnSpPr>
        <xdr:cNvPr id="48" name="Connector: Elbow 42">
          <a:extLst>
            <a:ext uri="{FF2B5EF4-FFF2-40B4-BE49-F238E27FC236}">
              <a16:creationId xmlns:a16="http://schemas.microsoft.com/office/drawing/2014/main" id="{29652CFC-9422-499F-AC75-089AE6280933}"/>
            </a:ext>
          </a:extLst>
        </xdr:cNvPr>
        <xdr:cNvCxnSpPr>
          <a:cxnSpLocks/>
          <a:stCxn id="11" idx="3"/>
          <a:endCxn id="594" idx="2"/>
        </xdr:cNvCxnSpPr>
      </xdr:nvCxnSpPr>
      <xdr:spPr>
        <a:xfrm>
          <a:off x="7922081" y="64882125"/>
          <a:ext cx="1064077" cy="5660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523059</xdr:colOff>
      <xdr:row>79</xdr:row>
      <xdr:rowOff>147230</xdr:rowOff>
    </xdr:from>
    <xdr:to>
      <xdr:col>17</xdr:col>
      <xdr:colOff>516528</xdr:colOff>
      <xdr:row>79</xdr:row>
      <xdr:rowOff>166551</xdr:rowOff>
    </xdr:to>
    <xdr:cxnSp macro="">
      <xdr:nvCxnSpPr>
        <xdr:cNvPr id="64" name="Connector: Elbow 351">
          <a:extLst>
            <a:ext uri="{FF2B5EF4-FFF2-40B4-BE49-F238E27FC236}">
              <a16:creationId xmlns:a16="http://schemas.microsoft.com/office/drawing/2014/main" id="{2F159C0E-B73B-4023-8557-E041E7187E6C}"/>
            </a:ext>
          </a:extLst>
        </xdr:cNvPr>
        <xdr:cNvCxnSpPr>
          <a:cxnSpLocks/>
          <a:stCxn id="28" idx="3"/>
          <a:endCxn id="340"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141514</xdr:colOff>
      <xdr:row>22</xdr:row>
      <xdr:rowOff>57150</xdr:rowOff>
    </xdr:from>
    <xdr:to>
      <xdr:col>18</xdr:col>
      <xdr:colOff>381000</xdr:colOff>
      <xdr:row>25</xdr:row>
      <xdr:rowOff>8164</xdr:rowOff>
    </xdr:to>
    <xdr:sp macro="" textlink="">
      <xdr:nvSpPr>
        <xdr:cNvPr id="75" name="Rectangle: Rounded Corners 74">
          <a:extLst>
            <a:ext uri="{FF2B5EF4-FFF2-40B4-BE49-F238E27FC236}">
              <a16:creationId xmlns:a16="http://schemas.microsoft.com/office/drawing/2014/main" id="{45B1DDA3-C857-4BB2-9BD0-B26390398B7C}"/>
            </a:ext>
          </a:extLst>
        </xdr:cNvPr>
        <xdr:cNvSpPr/>
      </xdr:nvSpPr>
      <xdr:spPr>
        <a:xfrm>
          <a:off x="10504714" y="4248150"/>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547042</xdr:colOff>
      <xdr:row>37</xdr:row>
      <xdr:rowOff>144797</xdr:rowOff>
    </xdr:from>
    <xdr:to>
      <xdr:col>19</xdr:col>
      <xdr:colOff>176928</xdr:colOff>
      <xdr:row>40</xdr:row>
      <xdr:rowOff>95110</xdr:rowOff>
    </xdr:to>
    <xdr:sp macro="" textlink="">
      <xdr:nvSpPr>
        <xdr:cNvPr id="76" name="Rectangle: Rounded Corners 75">
          <a:extLst>
            <a:ext uri="{FF2B5EF4-FFF2-40B4-BE49-F238E27FC236}">
              <a16:creationId xmlns:a16="http://schemas.microsoft.com/office/drawing/2014/main" id="{2CC5460C-2BED-48B8-B28B-E7346FA175DA}"/>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17</xdr:col>
      <xdr:colOff>487136</xdr:colOff>
      <xdr:row>46</xdr:row>
      <xdr:rowOff>127907</xdr:rowOff>
    </xdr:from>
    <xdr:to>
      <xdr:col>19</xdr:col>
      <xdr:colOff>117022</xdr:colOff>
      <xdr:row>49</xdr:row>
      <xdr:rowOff>78922</xdr:rowOff>
    </xdr:to>
    <xdr:sp macro="" textlink="">
      <xdr:nvSpPr>
        <xdr:cNvPr id="77" name="Rectangle: Rounded Corners 76">
          <a:extLst>
            <a:ext uri="{FF2B5EF4-FFF2-40B4-BE49-F238E27FC236}">
              <a16:creationId xmlns:a16="http://schemas.microsoft.com/office/drawing/2014/main" id="{AE9DF92C-1E32-441A-B064-5D11C7E176CA}"/>
            </a:ext>
          </a:extLst>
        </xdr:cNvPr>
        <xdr:cNvSpPr/>
      </xdr:nvSpPr>
      <xdr:spPr>
        <a:xfrm>
          <a:off x="10850336" y="8890907"/>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13608</xdr:colOff>
      <xdr:row>40</xdr:row>
      <xdr:rowOff>21771</xdr:rowOff>
    </xdr:from>
    <xdr:to>
      <xdr:col>16</xdr:col>
      <xdr:colOff>329293</xdr:colOff>
      <xdr:row>41</xdr:row>
      <xdr:rowOff>97970</xdr:rowOff>
    </xdr:to>
    <xdr:sp macro="" textlink="">
      <xdr:nvSpPr>
        <xdr:cNvPr id="78" name="Oval 77">
          <a:extLst>
            <a:ext uri="{FF2B5EF4-FFF2-40B4-BE49-F238E27FC236}">
              <a16:creationId xmlns:a16="http://schemas.microsoft.com/office/drawing/2014/main" id="{4A61BDE0-FCB0-4B37-96BD-E7CFFD60B638}"/>
            </a:ext>
          </a:extLst>
        </xdr:cNvPr>
        <xdr:cNvSpPr/>
      </xdr:nvSpPr>
      <xdr:spPr>
        <a:xfrm>
          <a:off x="9767208" y="7641771"/>
          <a:ext cx="315685" cy="26669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224790</xdr:colOff>
      <xdr:row>40</xdr:row>
      <xdr:rowOff>151311</xdr:rowOff>
    </xdr:from>
    <xdr:to>
      <xdr:col>16</xdr:col>
      <xdr:colOff>13608</xdr:colOff>
      <xdr:row>40</xdr:row>
      <xdr:rowOff>151312</xdr:rowOff>
    </xdr:to>
    <xdr:cxnSp macro="">
      <xdr:nvCxnSpPr>
        <xdr:cNvPr id="79" name="Connector: Elbow 42">
          <a:extLst>
            <a:ext uri="{FF2B5EF4-FFF2-40B4-BE49-F238E27FC236}">
              <a16:creationId xmlns:a16="http://schemas.microsoft.com/office/drawing/2014/main" id="{B449F311-F0E2-4B2A-B88F-C44EAB653186}"/>
            </a:ext>
          </a:extLst>
        </xdr:cNvPr>
        <xdr:cNvCxnSpPr>
          <a:cxnSpLocks/>
          <a:stCxn id="27" idx="3"/>
          <a:endCxn id="78"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171450</xdr:colOff>
      <xdr:row>23</xdr:row>
      <xdr:rowOff>127908</xdr:rowOff>
    </xdr:from>
    <xdr:to>
      <xdr:col>17</xdr:col>
      <xdr:colOff>141513</xdr:colOff>
      <xdr:row>40</xdr:row>
      <xdr:rowOff>21772</xdr:rowOff>
    </xdr:to>
    <xdr:cxnSp macro="">
      <xdr:nvCxnSpPr>
        <xdr:cNvPr id="80" name="Connector: Elbow 79">
          <a:extLst>
            <a:ext uri="{FF2B5EF4-FFF2-40B4-BE49-F238E27FC236}">
              <a16:creationId xmlns:a16="http://schemas.microsoft.com/office/drawing/2014/main" id="{C52F5978-7457-4619-BB87-2CAEF8543785}"/>
            </a:ext>
          </a:extLst>
        </xdr:cNvPr>
        <xdr:cNvCxnSpPr>
          <a:stCxn id="78" idx="0"/>
          <a:endCxn id="75" idx="1"/>
        </xdr:cNvCxnSpPr>
      </xdr:nvCxnSpPr>
      <xdr:spPr>
        <a:xfrm rot="5400000" flipH="1" flipV="1">
          <a:off x="8648700" y="5785758"/>
          <a:ext cx="313236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329293</xdr:colOff>
      <xdr:row>39</xdr:row>
      <xdr:rowOff>28514</xdr:rowOff>
    </xdr:from>
    <xdr:to>
      <xdr:col>17</xdr:col>
      <xdr:colOff>547042</xdr:colOff>
      <xdr:row>40</xdr:row>
      <xdr:rowOff>151311</xdr:rowOff>
    </xdr:to>
    <xdr:cxnSp macro="">
      <xdr:nvCxnSpPr>
        <xdr:cNvPr id="81" name="Connector: Elbow 80">
          <a:extLst>
            <a:ext uri="{FF2B5EF4-FFF2-40B4-BE49-F238E27FC236}">
              <a16:creationId xmlns:a16="http://schemas.microsoft.com/office/drawing/2014/main" id="{AC3C9AC8-F73C-493F-BE35-A655B87F76FE}"/>
            </a:ext>
          </a:extLst>
        </xdr:cNvPr>
        <xdr:cNvCxnSpPr>
          <a:stCxn id="78" idx="6"/>
          <a:endCxn id="76"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171451</xdr:colOff>
      <xdr:row>41</xdr:row>
      <xdr:rowOff>97969</xdr:rowOff>
    </xdr:from>
    <xdr:to>
      <xdr:col>17</xdr:col>
      <xdr:colOff>487136</xdr:colOff>
      <xdr:row>48</xdr:row>
      <xdr:rowOff>8164</xdr:rowOff>
    </xdr:to>
    <xdr:cxnSp macro="">
      <xdr:nvCxnSpPr>
        <xdr:cNvPr id="82" name="Connector: Elbow 81">
          <a:extLst>
            <a:ext uri="{FF2B5EF4-FFF2-40B4-BE49-F238E27FC236}">
              <a16:creationId xmlns:a16="http://schemas.microsoft.com/office/drawing/2014/main" id="{0D1E5949-8C07-40E0-B9FC-5E4BA2990B9B}"/>
            </a:ext>
          </a:extLst>
        </xdr:cNvPr>
        <xdr:cNvCxnSpPr>
          <a:stCxn id="78" idx="4"/>
          <a:endCxn id="77" idx="1"/>
        </xdr:cNvCxnSpPr>
      </xdr:nvCxnSpPr>
      <xdr:spPr>
        <a:xfrm rot="16200000" flipH="1">
          <a:off x="9765846" y="8067674"/>
          <a:ext cx="124369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103415</xdr:colOff>
      <xdr:row>47</xdr:row>
      <xdr:rowOff>76206</xdr:rowOff>
    </xdr:from>
    <xdr:to>
      <xdr:col>20</xdr:col>
      <xdr:colOff>310244</xdr:colOff>
      <xdr:row>48</xdr:row>
      <xdr:rowOff>130634</xdr:rowOff>
    </xdr:to>
    <xdr:sp macro="" textlink="">
      <xdr:nvSpPr>
        <xdr:cNvPr id="143" name="Isosceles Triangle 142">
          <a:extLst>
            <a:ext uri="{FF2B5EF4-FFF2-40B4-BE49-F238E27FC236}">
              <a16:creationId xmlns:a16="http://schemas.microsoft.com/office/drawing/2014/main" id="{7500A86C-D314-46C5-98CA-D99AAF40B899}"/>
            </a:ext>
          </a:extLst>
        </xdr:cNvPr>
        <xdr:cNvSpPr/>
      </xdr:nvSpPr>
      <xdr:spPr>
        <a:xfrm rot="5400000">
          <a:off x="12276366" y="9048755"/>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117022</xdr:colOff>
      <xdr:row>48</xdr:row>
      <xdr:rowOff>8165</xdr:rowOff>
    </xdr:from>
    <xdr:to>
      <xdr:col>20</xdr:col>
      <xdr:colOff>103416</xdr:colOff>
      <xdr:row>48</xdr:row>
      <xdr:rowOff>8170</xdr:rowOff>
    </xdr:to>
    <xdr:cxnSp macro="">
      <xdr:nvCxnSpPr>
        <xdr:cNvPr id="144" name="Connector: Elbow 351">
          <a:extLst>
            <a:ext uri="{FF2B5EF4-FFF2-40B4-BE49-F238E27FC236}">
              <a16:creationId xmlns:a16="http://schemas.microsoft.com/office/drawing/2014/main" id="{71251D40-88CE-47C3-AB43-5D5BBDC1CBF9}"/>
            </a:ext>
          </a:extLst>
        </xdr:cNvPr>
        <xdr:cNvCxnSpPr>
          <a:stCxn id="77" idx="3"/>
          <a:endCxn id="143" idx="3"/>
        </xdr:cNvCxnSpPr>
      </xdr:nvCxnSpPr>
      <xdr:spPr>
        <a:xfrm>
          <a:off x="11699422" y="915216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293546</xdr:colOff>
      <xdr:row>38</xdr:row>
      <xdr:rowOff>74114</xdr:rowOff>
    </xdr:from>
    <xdr:to>
      <xdr:col>20</xdr:col>
      <xdr:colOff>500375</xdr:colOff>
      <xdr:row>39</xdr:row>
      <xdr:rowOff>134687</xdr:rowOff>
    </xdr:to>
    <xdr:sp macro="" textlink="">
      <xdr:nvSpPr>
        <xdr:cNvPr id="145" name="Isosceles Triangle 144">
          <a:extLst>
            <a:ext uri="{FF2B5EF4-FFF2-40B4-BE49-F238E27FC236}">
              <a16:creationId xmlns:a16="http://schemas.microsoft.com/office/drawing/2014/main" id="{0F5D6210-0BB6-4A6F-B802-9B83EB0D32A5}"/>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176928</xdr:colOff>
      <xdr:row>39</xdr:row>
      <xdr:rowOff>12961</xdr:rowOff>
    </xdr:from>
    <xdr:to>
      <xdr:col>20</xdr:col>
      <xdr:colOff>293546</xdr:colOff>
      <xdr:row>39</xdr:row>
      <xdr:rowOff>28514</xdr:rowOff>
    </xdr:to>
    <xdr:cxnSp macro="">
      <xdr:nvCxnSpPr>
        <xdr:cNvPr id="146" name="Connector: Elbow 351">
          <a:extLst>
            <a:ext uri="{FF2B5EF4-FFF2-40B4-BE49-F238E27FC236}">
              <a16:creationId xmlns:a16="http://schemas.microsoft.com/office/drawing/2014/main" id="{36EFF983-8A44-49C6-86C3-89465EBB928B}"/>
            </a:ext>
          </a:extLst>
        </xdr:cNvPr>
        <xdr:cNvCxnSpPr>
          <a:stCxn id="76" idx="3"/>
          <a:endCxn id="145"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480604</xdr:colOff>
      <xdr:row>13</xdr:row>
      <xdr:rowOff>171450</xdr:rowOff>
    </xdr:from>
    <xdr:to>
      <xdr:col>23</xdr:col>
      <xdr:colOff>110490</xdr:colOff>
      <xdr:row>16</xdr:row>
      <xdr:rowOff>130084</xdr:rowOff>
    </xdr:to>
    <xdr:sp macro="" textlink="">
      <xdr:nvSpPr>
        <xdr:cNvPr id="147" name="Rectangle: Rounded Corners 146">
          <a:extLst>
            <a:ext uri="{FF2B5EF4-FFF2-40B4-BE49-F238E27FC236}">
              <a16:creationId xmlns:a16="http://schemas.microsoft.com/office/drawing/2014/main" id="{EAB6C15B-3327-49C5-9C7E-FBE3954EAE7C}"/>
            </a:ext>
          </a:extLst>
        </xdr:cNvPr>
        <xdr:cNvSpPr/>
      </xdr:nvSpPr>
      <xdr:spPr>
        <a:xfrm>
          <a:off x="13282204" y="474345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534629</xdr:colOff>
      <xdr:row>21</xdr:row>
      <xdr:rowOff>56922</xdr:rowOff>
    </xdr:from>
    <xdr:to>
      <xdr:col>23</xdr:col>
      <xdr:colOff>164515</xdr:colOff>
      <xdr:row>25</xdr:row>
      <xdr:rowOff>0</xdr:rowOff>
    </xdr:to>
    <xdr:sp macro="" textlink="">
      <xdr:nvSpPr>
        <xdr:cNvPr id="148" name="Rectangle: Rounded Corners 147">
          <a:extLst>
            <a:ext uri="{FF2B5EF4-FFF2-40B4-BE49-F238E27FC236}">
              <a16:creationId xmlns:a16="http://schemas.microsoft.com/office/drawing/2014/main" id="{BAF76EBF-93EA-441B-9E73-B97289A9BE0C}"/>
            </a:ext>
          </a:extLst>
        </xdr:cNvPr>
        <xdr:cNvSpPr/>
      </xdr:nvSpPr>
      <xdr:spPr>
        <a:xfrm>
          <a:off x="13336229" y="3897402"/>
          <a:ext cx="849086" cy="674598"/>
        </a:xfrm>
        <a:prstGeom prst="roundRect">
          <a:avLst>
            <a:gd name="adj" fmla="val 16667"/>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19</xdr:col>
      <xdr:colOff>601436</xdr:colOff>
      <xdr:row>23</xdr:row>
      <xdr:rowOff>-1</xdr:rowOff>
    </xdr:from>
    <xdr:to>
      <xdr:col>20</xdr:col>
      <xdr:colOff>307521</xdr:colOff>
      <xdr:row>24</xdr:row>
      <xdr:rowOff>76199</xdr:rowOff>
    </xdr:to>
    <xdr:sp macro="" textlink="">
      <xdr:nvSpPr>
        <xdr:cNvPr id="149" name="Oval 148">
          <a:extLst>
            <a:ext uri="{FF2B5EF4-FFF2-40B4-BE49-F238E27FC236}">
              <a16:creationId xmlns:a16="http://schemas.microsoft.com/office/drawing/2014/main" id="{FA83618D-2376-413B-AF79-64B446C0763E}"/>
            </a:ext>
          </a:extLst>
        </xdr:cNvPr>
        <xdr:cNvSpPr/>
      </xdr:nvSpPr>
      <xdr:spPr>
        <a:xfrm>
          <a:off x="12183836" y="4381499"/>
          <a:ext cx="315685" cy="2667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381000</xdr:colOff>
      <xdr:row>23</xdr:row>
      <xdr:rowOff>127907</xdr:rowOff>
    </xdr:from>
    <xdr:to>
      <xdr:col>19</xdr:col>
      <xdr:colOff>601436</xdr:colOff>
      <xdr:row>23</xdr:row>
      <xdr:rowOff>133349</xdr:rowOff>
    </xdr:to>
    <xdr:cxnSp macro="">
      <xdr:nvCxnSpPr>
        <xdr:cNvPr id="150" name="Connector: Elbow 42">
          <a:extLst>
            <a:ext uri="{FF2B5EF4-FFF2-40B4-BE49-F238E27FC236}">
              <a16:creationId xmlns:a16="http://schemas.microsoft.com/office/drawing/2014/main" id="{9435B7B6-D984-435E-A126-62ACDFC27099}"/>
            </a:ext>
          </a:extLst>
        </xdr:cNvPr>
        <xdr:cNvCxnSpPr>
          <a:cxnSpLocks/>
          <a:stCxn id="75" idx="3"/>
          <a:endCxn id="149" idx="2"/>
        </xdr:cNvCxnSpPr>
      </xdr:nvCxnSpPr>
      <xdr:spPr>
        <a:xfrm>
          <a:off x="11353800" y="450940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149678</xdr:colOff>
      <xdr:row>15</xdr:row>
      <xdr:rowOff>59328</xdr:rowOff>
    </xdr:from>
    <xdr:to>
      <xdr:col>21</xdr:col>
      <xdr:colOff>480603</xdr:colOff>
      <xdr:row>23</xdr:row>
      <xdr:rowOff>0</xdr:rowOff>
    </xdr:to>
    <xdr:cxnSp macro="">
      <xdr:nvCxnSpPr>
        <xdr:cNvPr id="151" name="Connector: Elbow 150">
          <a:extLst>
            <a:ext uri="{FF2B5EF4-FFF2-40B4-BE49-F238E27FC236}">
              <a16:creationId xmlns:a16="http://schemas.microsoft.com/office/drawing/2014/main" id="{1799B385-5D49-4241-A1C3-C96EE6F6F3F4}"/>
            </a:ext>
          </a:extLst>
        </xdr:cNvPr>
        <xdr:cNvCxnSpPr>
          <a:stCxn id="149" idx="0"/>
          <a:endCxn id="147"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307521</xdr:colOff>
      <xdr:row>23</xdr:row>
      <xdr:rowOff>28461</xdr:rowOff>
    </xdr:from>
    <xdr:to>
      <xdr:col>21</xdr:col>
      <xdr:colOff>534629</xdr:colOff>
      <xdr:row>23</xdr:row>
      <xdr:rowOff>129539</xdr:rowOff>
    </xdr:to>
    <xdr:cxnSp macro="">
      <xdr:nvCxnSpPr>
        <xdr:cNvPr id="152" name="Connector: Elbow 151">
          <a:extLst>
            <a:ext uri="{FF2B5EF4-FFF2-40B4-BE49-F238E27FC236}">
              <a16:creationId xmlns:a16="http://schemas.microsoft.com/office/drawing/2014/main" id="{8EE55291-97A0-4BCE-A6E6-05A504FEDFF5}"/>
            </a:ext>
          </a:extLst>
        </xdr:cNvPr>
        <xdr:cNvCxnSpPr>
          <a:stCxn id="149" idx="6"/>
          <a:endCxn id="148" idx="1"/>
        </xdr:cNvCxnSpPr>
      </xdr:nvCxnSpPr>
      <xdr:spPr>
        <a:xfrm flipV="1">
          <a:off x="12499521" y="4234701"/>
          <a:ext cx="836708" cy="101078"/>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385355</xdr:colOff>
      <xdr:row>22</xdr:row>
      <xdr:rowOff>105458</xdr:rowOff>
    </xdr:from>
    <xdr:to>
      <xdr:col>24</xdr:col>
      <xdr:colOff>592184</xdr:colOff>
      <xdr:row>23</xdr:row>
      <xdr:rowOff>159886</xdr:rowOff>
    </xdr:to>
    <xdr:sp macro="" textlink="">
      <xdr:nvSpPr>
        <xdr:cNvPr id="153" name="Isosceles Triangle 152">
          <a:extLst>
            <a:ext uri="{FF2B5EF4-FFF2-40B4-BE49-F238E27FC236}">
              <a16:creationId xmlns:a16="http://schemas.microsoft.com/office/drawing/2014/main" id="{C0D9BB01-A5B1-42BA-9454-DDC029E7AB8D}"/>
            </a:ext>
          </a:extLst>
        </xdr:cNvPr>
        <xdr:cNvSpPr/>
      </xdr:nvSpPr>
      <xdr:spPr>
        <a:xfrm rot="5400000">
          <a:off x="15000516" y="4144057"/>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164515</xdr:colOff>
      <xdr:row>23</xdr:row>
      <xdr:rowOff>28461</xdr:rowOff>
    </xdr:from>
    <xdr:to>
      <xdr:col>24</xdr:col>
      <xdr:colOff>385356</xdr:colOff>
      <xdr:row>23</xdr:row>
      <xdr:rowOff>41232</xdr:rowOff>
    </xdr:to>
    <xdr:cxnSp macro="">
      <xdr:nvCxnSpPr>
        <xdr:cNvPr id="154" name="Connector: Elbow 351">
          <a:extLst>
            <a:ext uri="{FF2B5EF4-FFF2-40B4-BE49-F238E27FC236}">
              <a16:creationId xmlns:a16="http://schemas.microsoft.com/office/drawing/2014/main" id="{1A13CCA7-016C-4207-8074-7ED600371847}"/>
            </a:ext>
          </a:extLst>
        </xdr:cNvPr>
        <xdr:cNvCxnSpPr>
          <a:cxnSpLocks/>
          <a:stCxn id="148" idx="3"/>
          <a:endCxn id="153" idx="3"/>
        </xdr:cNvCxnSpPr>
      </xdr:nvCxnSpPr>
      <xdr:spPr>
        <a:xfrm>
          <a:off x="14185315" y="4234701"/>
          <a:ext cx="830441" cy="1277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110490</xdr:colOff>
      <xdr:row>15</xdr:row>
      <xdr:rowOff>59327</xdr:rowOff>
    </xdr:from>
    <xdr:to>
      <xdr:col>24</xdr:col>
      <xdr:colOff>400948</xdr:colOff>
      <xdr:row>15</xdr:row>
      <xdr:rowOff>81824</xdr:rowOff>
    </xdr:to>
    <xdr:cxnSp macro="">
      <xdr:nvCxnSpPr>
        <xdr:cNvPr id="202" name="Connector: Elbow 42">
          <a:extLst>
            <a:ext uri="{FF2B5EF4-FFF2-40B4-BE49-F238E27FC236}">
              <a16:creationId xmlns:a16="http://schemas.microsoft.com/office/drawing/2014/main" id="{0F2144CB-7B6E-4B1C-A866-B1F1586902D5}"/>
            </a:ext>
          </a:extLst>
        </xdr:cNvPr>
        <xdr:cNvCxnSpPr>
          <a:cxnSpLocks/>
          <a:stCxn id="147" idx="3"/>
          <a:endCxn id="336"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186461</xdr:colOff>
      <xdr:row>151</xdr:row>
      <xdr:rowOff>7725</xdr:rowOff>
    </xdr:from>
    <xdr:to>
      <xdr:col>2</xdr:col>
      <xdr:colOff>425947</xdr:colOff>
      <xdr:row>153</xdr:row>
      <xdr:rowOff>148538</xdr:rowOff>
    </xdr:to>
    <xdr:sp macro="" textlink="">
      <xdr:nvSpPr>
        <xdr:cNvPr id="255" name="Rectangle: Rounded Corners 254">
          <a:extLst>
            <a:ext uri="{FF2B5EF4-FFF2-40B4-BE49-F238E27FC236}">
              <a16:creationId xmlns:a16="http://schemas.microsoft.com/office/drawing/2014/main" id="{EC117348-1348-41F8-A163-65CE7E44FD79}"/>
            </a:ext>
          </a:extLst>
        </xdr:cNvPr>
        <xdr:cNvSpPr/>
      </xdr:nvSpPr>
      <xdr:spPr>
        <a:xfrm>
          <a:off x="796061" y="8420205"/>
          <a:ext cx="849086" cy="50657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PSG</a:t>
          </a:r>
        </a:p>
      </xdr:txBody>
    </xdr:sp>
    <xdr:clientData/>
  </xdr:twoCellAnchor>
  <xdr:twoCellAnchor>
    <xdr:from>
      <xdr:col>1</xdr:col>
      <xdr:colOff>583029</xdr:colOff>
      <xdr:row>153</xdr:row>
      <xdr:rowOff>148538</xdr:rowOff>
    </xdr:from>
    <xdr:to>
      <xdr:col>1</xdr:col>
      <xdr:colOff>613462</xdr:colOff>
      <xdr:row>200</xdr:row>
      <xdr:rowOff>72571</xdr:rowOff>
    </xdr:to>
    <xdr:cxnSp macro="">
      <xdr:nvCxnSpPr>
        <xdr:cNvPr id="256" name="Connector: Elbow 833">
          <a:extLst>
            <a:ext uri="{FF2B5EF4-FFF2-40B4-BE49-F238E27FC236}">
              <a16:creationId xmlns:a16="http://schemas.microsoft.com/office/drawing/2014/main" id="{52E9F22E-5E5F-47AD-9E5E-63758B12CAF4}"/>
            </a:ext>
          </a:extLst>
        </xdr:cNvPr>
        <xdr:cNvCxnSpPr>
          <a:stCxn id="2" idx="0"/>
          <a:endCxn id="255" idx="2"/>
        </xdr:cNvCxnSpPr>
      </xdr:nvCxnSpPr>
      <xdr:spPr>
        <a:xfrm flipV="1">
          <a:off x="1192629" y="8926778"/>
          <a:ext cx="22813" cy="303299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549869</xdr:colOff>
      <xdr:row>31</xdr:row>
      <xdr:rowOff>26442</xdr:rowOff>
    </xdr:from>
    <xdr:to>
      <xdr:col>23</xdr:col>
      <xdr:colOff>179755</xdr:colOff>
      <xdr:row>33</xdr:row>
      <xdr:rowOff>165780</xdr:rowOff>
    </xdr:to>
    <xdr:sp macro="" textlink="">
      <xdr:nvSpPr>
        <xdr:cNvPr id="618" name="Rectangle: Rounded Corners 617">
          <a:extLst>
            <a:ext uri="{FF2B5EF4-FFF2-40B4-BE49-F238E27FC236}">
              <a16:creationId xmlns:a16="http://schemas.microsoft.com/office/drawing/2014/main" id="{311D6A25-8160-4243-9112-4B5A695937D2}"/>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20</xdr:col>
      <xdr:colOff>149679</xdr:colOff>
      <xdr:row>24</xdr:row>
      <xdr:rowOff>76199</xdr:rowOff>
    </xdr:from>
    <xdr:to>
      <xdr:col>21</xdr:col>
      <xdr:colOff>549869</xdr:colOff>
      <xdr:row>32</xdr:row>
      <xdr:rowOff>96111</xdr:rowOff>
    </xdr:to>
    <xdr:cxnSp macro="">
      <xdr:nvCxnSpPr>
        <xdr:cNvPr id="619" name="Connector: Elbow 618">
          <a:extLst>
            <a:ext uri="{FF2B5EF4-FFF2-40B4-BE49-F238E27FC236}">
              <a16:creationId xmlns:a16="http://schemas.microsoft.com/office/drawing/2014/main" id="{2A4B2F02-8AA7-48D5-9AB7-1F5B226815BC}"/>
            </a:ext>
          </a:extLst>
        </xdr:cNvPr>
        <xdr:cNvCxnSpPr>
          <a:stCxn id="149" idx="4"/>
          <a:endCxn id="618"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34835</xdr:colOff>
      <xdr:row>31</xdr:row>
      <xdr:rowOff>181655</xdr:rowOff>
    </xdr:from>
    <xdr:to>
      <xdr:col>25</xdr:col>
      <xdr:colOff>241664</xdr:colOff>
      <xdr:row>33</xdr:row>
      <xdr:rowOff>53203</xdr:rowOff>
    </xdr:to>
    <xdr:sp macro="" textlink="">
      <xdr:nvSpPr>
        <xdr:cNvPr id="625" name="Isosceles Triangle 624">
          <a:extLst>
            <a:ext uri="{FF2B5EF4-FFF2-40B4-BE49-F238E27FC236}">
              <a16:creationId xmlns:a16="http://schemas.microsoft.com/office/drawing/2014/main" id="{AD759988-295A-43B8-AD23-87653D38D2FE}"/>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179755</xdr:colOff>
      <xdr:row>32</xdr:row>
      <xdr:rowOff>96111</xdr:rowOff>
    </xdr:from>
    <xdr:to>
      <xdr:col>25</xdr:col>
      <xdr:colOff>34836</xdr:colOff>
      <xdr:row>32</xdr:row>
      <xdr:rowOff>117429</xdr:rowOff>
    </xdr:to>
    <xdr:cxnSp macro="">
      <xdr:nvCxnSpPr>
        <xdr:cNvPr id="626" name="Connector: Elbow 351">
          <a:extLst>
            <a:ext uri="{FF2B5EF4-FFF2-40B4-BE49-F238E27FC236}">
              <a16:creationId xmlns:a16="http://schemas.microsoft.com/office/drawing/2014/main" id="{499FCA09-A8C4-45AE-A620-C89D405EBA90}"/>
            </a:ext>
          </a:extLst>
        </xdr:cNvPr>
        <xdr:cNvCxnSpPr>
          <a:cxnSpLocks/>
          <a:stCxn id="618" idx="3"/>
          <a:endCxn id="625"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400947</xdr:colOff>
      <xdr:row>14</xdr:row>
      <xdr:rowOff>149860</xdr:rowOff>
    </xdr:from>
    <xdr:to>
      <xdr:col>24</xdr:col>
      <xdr:colOff>607776</xdr:colOff>
      <xdr:row>16</xdr:row>
      <xdr:rowOff>13788</xdr:rowOff>
    </xdr:to>
    <xdr:sp macro="" textlink="">
      <xdr:nvSpPr>
        <xdr:cNvPr id="336" name="Isosceles Triangle 335">
          <a:extLst>
            <a:ext uri="{FF2B5EF4-FFF2-40B4-BE49-F238E27FC236}">
              <a16:creationId xmlns:a16="http://schemas.microsoft.com/office/drawing/2014/main" id="{95F54433-8E9C-4177-82A7-F77BC25C4D6E}"/>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385354</xdr:colOff>
      <xdr:row>72</xdr:row>
      <xdr:rowOff>26670</xdr:rowOff>
    </xdr:from>
    <xdr:to>
      <xdr:col>21</xdr:col>
      <xdr:colOff>15240</xdr:colOff>
      <xdr:row>74</xdr:row>
      <xdr:rowOff>160564</xdr:rowOff>
    </xdr:to>
    <xdr:sp macro="" textlink="">
      <xdr:nvSpPr>
        <xdr:cNvPr id="337" name="Rectangle: Rounded Corners 336">
          <a:extLst>
            <a:ext uri="{FF2B5EF4-FFF2-40B4-BE49-F238E27FC236}">
              <a16:creationId xmlns:a16="http://schemas.microsoft.com/office/drawing/2014/main" id="{293DFF63-5DE4-44BD-871E-B62B5CEF6AB6}"/>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19</xdr:col>
      <xdr:colOff>547042</xdr:colOff>
      <xdr:row>87</xdr:row>
      <xdr:rowOff>144797</xdr:rowOff>
    </xdr:from>
    <xdr:to>
      <xdr:col>21</xdr:col>
      <xdr:colOff>176928</xdr:colOff>
      <xdr:row>90</xdr:row>
      <xdr:rowOff>95110</xdr:rowOff>
    </xdr:to>
    <xdr:sp macro="" textlink="">
      <xdr:nvSpPr>
        <xdr:cNvPr id="338" name="Rectangle: Rounded Corners 337">
          <a:extLst>
            <a:ext uri="{FF2B5EF4-FFF2-40B4-BE49-F238E27FC236}">
              <a16:creationId xmlns:a16="http://schemas.microsoft.com/office/drawing/2014/main" id="{A8DC32D9-C208-4227-BC87-FAB09CD1C523}"/>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96</xdr:row>
      <xdr:rowOff>127907</xdr:rowOff>
    </xdr:from>
    <xdr:to>
      <xdr:col>21</xdr:col>
      <xdr:colOff>117022</xdr:colOff>
      <xdr:row>99</xdr:row>
      <xdr:rowOff>78922</xdr:rowOff>
    </xdr:to>
    <xdr:sp macro="" textlink="">
      <xdr:nvSpPr>
        <xdr:cNvPr id="339" name="Rectangle: Rounded Corners 338">
          <a:extLst>
            <a:ext uri="{FF2B5EF4-FFF2-40B4-BE49-F238E27FC236}">
              <a16:creationId xmlns:a16="http://schemas.microsoft.com/office/drawing/2014/main" id="{165BF26A-3061-4367-ABD2-F770C9B21C22}"/>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17</xdr:col>
      <xdr:colOff>516528</xdr:colOff>
      <xdr:row>79</xdr:row>
      <xdr:rowOff>37011</xdr:rowOff>
    </xdr:from>
    <xdr:to>
      <xdr:col>18</xdr:col>
      <xdr:colOff>222613</xdr:colOff>
      <xdr:row>80</xdr:row>
      <xdr:rowOff>113210</xdr:rowOff>
    </xdr:to>
    <xdr:sp macro="" textlink="">
      <xdr:nvSpPr>
        <xdr:cNvPr id="340" name="Oval 339">
          <a:extLst>
            <a:ext uri="{FF2B5EF4-FFF2-40B4-BE49-F238E27FC236}">
              <a16:creationId xmlns:a16="http://schemas.microsoft.com/office/drawing/2014/main" id="{F1BC9F5F-988A-47FA-AF40-297D713F82BD}"/>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64770</xdr:colOff>
      <xdr:row>73</xdr:row>
      <xdr:rowOff>93618</xdr:rowOff>
    </xdr:from>
    <xdr:to>
      <xdr:col>19</xdr:col>
      <xdr:colOff>385353</xdr:colOff>
      <xdr:row>79</xdr:row>
      <xdr:rowOff>37012</xdr:rowOff>
    </xdr:to>
    <xdr:cxnSp macro="">
      <xdr:nvCxnSpPr>
        <xdr:cNvPr id="342" name="Connector: Elbow 341">
          <a:extLst>
            <a:ext uri="{FF2B5EF4-FFF2-40B4-BE49-F238E27FC236}">
              <a16:creationId xmlns:a16="http://schemas.microsoft.com/office/drawing/2014/main" id="{064F088D-E476-4622-BEE7-76AD8BB3BE72}"/>
            </a:ext>
          </a:extLst>
        </xdr:cNvPr>
        <xdr:cNvCxnSpPr>
          <a:cxnSpLocks/>
          <a:stCxn id="340" idx="0"/>
          <a:endCxn id="337"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222613</xdr:colOff>
      <xdr:row>79</xdr:row>
      <xdr:rowOff>166551</xdr:rowOff>
    </xdr:from>
    <xdr:to>
      <xdr:col>19</xdr:col>
      <xdr:colOff>547042</xdr:colOff>
      <xdr:row>89</xdr:row>
      <xdr:rowOff>28514</xdr:rowOff>
    </xdr:to>
    <xdr:cxnSp macro="">
      <xdr:nvCxnSpPr>
        <xdr:cNvPr id="343" name="Connector: Elbow 342">
          <a:extLst>
            <a:ext uri="{FF2B5EF4-FFF2-40B4-BE49-F238E27FC236}">
              <a16:creationId xmlns:a16="http://schemas.microsoft.com/office/drawing/2014/main" id="{EB007FF9-77A3-4E3B-8E7B-7EFC3B4232F9}"/>
            </a:ext>
          </a:extLst>
        </xdr:cNvPr>
        <xdr:cNvCxnSpPr>
          <a:stCxn id="340" idx="6"/>
          <a:endCxn id="338"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64771</xdr:colOff>
      <xdr:row>80</xdr:row>
      <xdr:rowOff>113209</xdr:rowOff>
    </xdr:from>
    <xdr:to>
      <xdr:col>19</xdr:col>
      <xdr:colOff>487136</xdr:colOff>
      <xdr:row>98</xdr:row>
      <xdr:rowOff>11974</xdr:rowOff>
    </xdr:to>
    <xdr:cxnSp macro="">
      <xdr:nvCxnSpPr>
        <xdr:cNvPr id="344" name="Connector: Elbow 343">
          <a:extLst>
            <a:ext uri="{FF2B5EF4-FFF2-40B4-BE49-F238E27FC236}">
              <a16:creationId xmlns:a16="http://schemas.microsoft.com/office/drawing/2014/main" id="{CEEAEAA6-4E8F-4B9E-BF1A-1D5BEDEAC364}"/>
            </a:ext>
          </a:extLst>
        </xdr:cNvPr>
        <xdr:cNvCxnSpPr>
          <a:stCxn id="340" idx="4"/>
          <a:endCxn id="339"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97</xdr:row>
      <xdr:rowOff>76206</xdr:rowOff>
    </xdr:from>
    <xdr:to>
      <xdr:col>22</xdr:col>
      <xdr:colOff>310244</xdr:colOff>
      <xdr:row>98</xdr:row>
      <xdr:rowOff>130634</xdr:rowOff>
    </xdr:to>
    <xdr:sp macro="" textlink="">
      <xdr:nvSpPr>
        <xdr:cNvPr id="345" name="Isosceles Triangle 344">
          <a:extLst>
            <a:ext uri="{FF2B5EF4-FFF2-40B4-BE49-F238E27FC236}">
              <a16:creationId xmlns:a16="http://schemas.microsoft.com/office/drawing/2014/main" id="{B40C0814-FC49-48A3-9EB1-AD3E5168303C}"/>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98</xdr:row>
      <xdr:rowOff>8165</xdr:rowOff>
    </xdr:from>
    <xdr:to>
      <xdr:col>22</xdr:col>
      <xdr:colOff>103416</xdr:colOff>
      <xdr:row>98</xdr:row>
      <xdr:rowOff>8170</xdr:rowOff>
    </xdr:to>
    <xdr:cxnSp macro="">
      <xdr:nvCxnSpPr>
        <xdr:cNvPr id="346" name="Connector: Elbow 351">
          <a:extLst>
            <a:ext uri="{FF2B5EF4-FFF2-40B4-BE49-F238E27FC236}">
              <a16:creationId xmlns:a16="http://schemas.microsoft.com/office/drawing/2014/main" id="{842D6CF9-4B2F-4A31-842D-71BF525F2E41}"/>
            </a:ext>
          </a:extLst>
        </xdr:cNvPr>
        <xdr:cNvCxnSpPr>
          <a:stCxn id="339" idx="3"/>
          <a:endCxn id="345"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88</xdr:row>
      <xdr:rowOff>74114</xdr:rowOff>
    </xdr:from>
    <xdr:to>
      <xdr:col>22</xdr:col>
      <xdr:colOff>500375</xdr:colOff>
      <xdr:row>89</xdr:row>
      <xdr:rowOff>134687</xdr:rowOff>
    </xdr:to>
    <xdr:sp macro="" textlink="">
      <xdr:nvSpPr>
        <xdr:cNvPr id="347" name="Isosceles Triangle 346">
          <a:extLst>
            <a:ext uri="{FF2B5EF4-FFF2-40B4-BE49-F238E27FC236}">
              <a16:creationId xmlns:a16="http://schemas.microsoft.com/office/drawing/2014/main" id="{3A73503B-6C80-4F71-9CCA-C16250940F9E}"/>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89</xdr:row>
      <xdr:rowOff>12961</xdr:rowOff>
    </xdr:from>
    <xdr:to>
      <xdr:col>22</xdr:col>
      <xdr:colOff>293546</xdr:colOff>
      <xdr:row>89</xdr:row>
      <xdr:rowOff>28514</xdr:rowOff>
    </xdr:to>
    <xdr:cxnSp macro="">
      <xdr:nvCxnSpPr>
        <xdr:cNvPr id="348" name="Connector: Elbow 351">
          <a:extLst>
            <a:ext uri="{FF2B5EF4-FFF2-40B4-BE49-F238E27FC236}">
              <a16:creationId xmlns:a16="http://schemas.microsoft.com/office/drawing/2014/main" id="{2591A190-9965-4C57-B85A-B9A4DE679A7C}"/>
            </a:ext>
          </a:extLst>
        </xdr:cNvPr>
        <xdr:cNvCxnSpPr>
          <a:stCxn id="338" idx="3"/>
          <a:endCxn id="347"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519389</xdr:colOff>
      <xdr:row>74</xdr:row>
      <xdr:rowOff>102642</xdr:rowOff>
    </xdr:from>
    <xdr:to>
      <xdr:col>25</xdr:col>
      <xdr:colOff>149275</xdr:colOff>
      <xdr:row>77</xdr:row>
      <xdr:rowOff>59100</xdr:rowOff>
    </xdr:to>
    <xdr:sp macro="" textlink="">
      <xdr:nvSpPr>
        <xdr:cNvPr id="350" name="Rectangle: Rounded Corners 349">
          <a:extLst>
            <a:ext uri="{FF2B5EF4-FFF2-40B4-BE49-F238E27FC236}">
              <a16:creationId xmlns:a16="http://schemas.microsoft.com/office/drawing/2014/main" id="{2EB45046-0D2F-4C65-A8B2-559AC1738D6D}"/>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73</xdr:row>
      <xdr:rowOff>-1</xdr:rowOff>
    </xdr:from>
    <xdr:to>
      <xdr:col>22</xdr:col>
      <xdr:colOff>307521</xdr:colOff>
      <xdr:row>74</xdr:row>
      <xdr:rowOff>76199</xdr:rowOff>
    </xdr:to>
    <xdr:sp macro="" textlink="">
      <xdr:nvSpPr>
        <xdr:cNvPr id="351" name="Oval 350">
          <a:extLst>
            <a:ext uri="{FF2B5EF4-FFF2-40B4-BE49-F238E27FC236}">
              <a16:creationId xmlns:a16="http://schemas.microsoft.com/office/drawing/2014/main" id="{8D5EEFBA-3F55-4B56-B64A-405F2DB3EAC2}"/>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15240</xdr:colOff>
      <xdr:row>73</xdr:row>
      <xdr:rowOff>93617</xdr:rowOff>
    </xdr:from>
    <xdr:to>
      <xdr:col>21</xdr:col>
      <xdr:colOff>601436</xdr:colOff>
      <xdr:row>73</xdr:row>
      <xdr:rowOff>129539</xdr:rowOff>
    </xdr:to>
    <xdr:cxnSp macro="">
      <xdr:nvCxnSpPr>
        <xdr:cNvPr id="352" name="Connector: Elbow 42">
          <a:extLst>
            <a:ext uri="{FF2B5EF4-FFF2-40B4-BE49-F238E27FC236}">
              <a16:creationId xmlns:a16="http://schemas.microsoft.com/office/drawing/2014/main" id="{58DE3D3F-DA23-4B4E-B8CD-11B57CD26F3C}"/>
            </a:ext>
          </a:extLst>
        </xdr:cNvPr>
        <xdr:cNvCxnSpPr>
          <a:cxnSpLocks/>
          <a:stCxn id="337" idx="3"/>
          <a:endCxn id="351"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74</xdr:row>
      <xdr:rowOff>76199</xdr:rowOff>
    </xdr:from>
    <xdr:to>
      <xdr:col>23</xdr:col>
      <xdr:colOff>519389</xdr:colOff>
      <xdr:row>75</xdr:row>
      <xdr:rowOff>172311</xdr:rowOff>
    </xdr:to>
    <xdr:cxnSp macro="">
      <xdr:nvCxnSpPr>
        <xdr:cNvPr id="354" name="Connector: Elbow 353">
          <a:extLst>
            <a:ext uri="{FF2B5EF4-FFF2-40B4-BE49-F238E27FC236}">
              <a16:creationId xmlns:a16="http://schemas.microsoft.com/office/drawing/2014/main" id="{4383A1BD-AB5F-4B3E-827D-9F2676773C2E}"/>
            </a:ext>
          </a:extLst>
        </xdr:cNvPr>
        <xdr:cNvCxnSpPr>
          <a:stCxn id="351" idx="4"/>
          <a:endCxn id="350"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75</xdr:row>
      <xdr:rowOff>29256</xdr:rowOff>
    </xdr:from>
    <xdr:to>
      <xdr:col>27</xdr:col>
      <xdr:colOff>104504</xdr:colOff>
      <xdr:row>76</xdr:row>
      <xdr:rowOff>83684</xdr:rowOff>
    </xdr:to>
    <xdr:sp macro="" textlink="">
      <xdr:nvSpPr>
        <xdr:cNvPr id="355" name="Isosceles Triangle 354">
          <a:extLst>
            <a:ext uri="{FF2B5EF4-FFF2-40B4-BE49-F238E27FC236}">
              <a16:creationId xmlns:a16="http://schemas.microsoft.com/office/drawing/2014/main" id="{5466F690-9B9B-4E8D-B1DF-B9CCCEBCD263}"/>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75</xdr:row>
      <xdr:rowOff>147910</xdr:rowOff>
    </xdr:from>
    <xdr:to>
      <xdr:col>26</xdr:col>
      <xdr:colOff>507276</xdr:colOff>
      <xdr:row>75</xdr:row>
      <xdr:rowOff>172311</xdr:rowOff>
    </xdr:to>
    <xdr:cxnSp macro="">
      <xdr:nvCxnSpPr>
        <xdr:cNvPr id="356" name="Connector: Elbow 351">
          <a:extLst>
            <a:ext uri="{FF2B5EF4-FFF2-40B4-BE49-F238E27FC236}">
              <a16:creationId xmlns:a16="http://schemas.microsoft.com/office/drawing/2014/main" id="{F4B906D9-6923-47A6-89A9-87470C68B13D}"/>
            </a:ext>
          </a:extLst>
        </xdr:cNvPr>
        <xdr:cNvCxnSpPr>
          <a:stCxn id="350" idx="3"/>
          <a:endCxn id="355"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581016</xdr:colOff>
      <xdr:row>66</xdr:row>
      <xdr:rowOff>146764</xdr:rowOff>
    </xdr:from>
    <xdr:to>
      <xdr:col>25</xdr:col>
      <xdr:colOff>210902</xdr:colOff>
      <xdr:row>69</xdr:row>
      <xdr:rowOff>109367</xdr:rowOff>
    </xdr:to>
    <xdr:sp macro="" textlink="">
      <xdr:nvSpPr>
        <xdr:cNvPr id="358" name="Rectangle: Rounded Corners 357">
          <a:extLst>
            <a:ext uri="{FF2B5EF4-FFF2-40B4-BE49-F238E27FC236}">
              <a16:creationId xmlns:a16="http://schemas.microsoft.com/office/drawing/2014/main" id="{973E9F5E-26BA-4BFA-96F2-8053DF9E84C5}"/>
            </a:ext>
          </a:extLst>
        </xdr:cNvPr>
        <xdr:cNvSpPr/>
      </xdr:nvSpPr>
      <xdr:spPr>
        <a:xfrm>
          <a:off x="14601816" y="12216844"/>
          <a:ext cx="849086" cy="5112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22</xdr:col>
      <xdr:colOff>149679</xdr:colOff>
      <xdr:row>68</xdr:row>
      <xdr:rowOff>36627</xdr:rowOff>
    </xdr:from>
    <xdr:to>
      <xdr:col>23</xdr:col>
      <xdr:colOff>581016</xdr:colOff>
      <xdr:row>73</xdr:row>
      <xdr:rowOff>0</xdr:rowOff>
    </xdr:to>
    <xdr:cxnSp macro="">
      <xdr:nvCxnSpPr>
        <xdr:cNvPr id="360" name="Connector: Elbow 359">
          <a:extLst>
            <a:ext uri="{FF2B5EF4-FFF2-40B4-BE49-F238E27FC236}">
              <a16:creationId xmlns:a16="http://schemas.microsoft.com/office/drawing/2014/main" id="{E66A9CDA-EC1C-4115-BC9A-7161AF0C1C7E}"/>
            </a:ext>
          </a:extLst>
        </xdr:cNvPr>
        <xdr:cNvCxnSpPr>
          <a:cxnSpLocks/>
          <a:stCxn id="351" idx="0"/>
          <a:endCxn id="358" idx="1"/>
        </xdr:cNvCxnSpPr>
      </xdr:nvCxnSpPr>
      <xdr:spPr>
        <a:xfrm rot="5400000" flipH="1" flipV="1">
          <a:off x="13642461" y="12390885"/>
          <a:ext cx="877773" cy="104093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477147</xdr:colOff>
      <xdr:row>67</xdr:row>
      <xdr:rowOff>73660</xdr:rowOff>
    </xdr:from>
    <xdr:to>
      <xdr:col>27</xdr:col>
      <xdr:colOff>74376</xdr:colOff>
      <xdr:row>68</xdr:row>
      <xdr:rowOff>120468</xdr:rowOff>
    </xdr:to>
    <xdr:sp macro="" textlink="">
      <xdr:nvSpPr>
        <xdr:cNvPr id="361" name="Isosceles Triangle 360">
          <a:extLst>
            <a:ext uri="{FF2B5EF4-FFF2-40B4-BE49-F238E27FC236}">
              <a16:creationId xmlns:a16="http://schemas.microsoft.com/office/drawing/2014/main" id="{57347E49-38AA-4B42-81B7-4D1CED2642CD}"/>
            </a:ext>
          </a:extLst>
        </xdr:cNvPr>
        <xdr:cNvSpPr/>
      </xdr:nvSpPr>
      <xdr:spPr>
        <a:xfrm rot="5400000">
          <a:off x="16315318" y="1233804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210902</xdr:colOff>
      <xdr:row>68</xdr:row>
      <xdr:rowOff>5624</xdr:rowOff>
    </xdr:from>
    <xdr:to>
      <xdr:col>26</xdr:col>
      <xdr:colOff>477148</xdr:colOff>
      <xdr:row>68</xdr:row>
      <xdr:rowOff>36626</xdr:rowOff>
    </xdr:to>
    <xdr:cxnSp macro="">
      <xdr:nvCxnSpPr>
        <xdr:cNvPr id="362" name="Connector: Elbow 351">
          <a:extLst>
            <a:ext uri="{FF2B5EF4-FFF2-40B4-BE49-F238E27FC236}">
              <a16:creationId xmlns:a16="http://schemas.microsoft.com/office/drawing/2014/main" id="{52417F8F-7A77-4519-98AA-1033A5F07247}"/>
            </a:ext>
          </a:extLst>
        </xdr:cNvPr>
        <xdr:cNvCxnSpPr>
          <a:cxnSpLocks/>
          <a:stCxn id="358" idx="3"/>
          <a:endCxn id="361" idx="3"/>
        </xdr:cNvCxnSpPr>
      </xdr:nvCxnSpPr>
      <xdr:spPr>
        <a:xfrm flipV="1">
          <a:off x="15450902" y="12441464"/>
          <a:ext cx="875846" cy="3100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81</xdr:row>
      <xdr:rowOff>26442</xdr:rowOff>
    </xdr:from>
    <xdr:to>
      <xdr:col>25</xdr:col>
      <xdr:colOff>179755</xdr:colOff>
      <xdr:row>83</xdr:row>
      <xdr:rowOff>165780</xdr:rowOff>
    </xdr:to>
    <xdr:sp macro="" textlink="">
      <xdr:nvSpPr>
        <xdr:cNvPr id="366" name="Rectangle: Rounded Corners 365">
          <a:extLst>
            <a:ext uri="{FF2B5EF4-FFF2-40B4-BE49-F238E27FC236}">
              <a16:creationId xmlns:a16="http://schemas.microsoft.com/office/drawing/2014/main" id="{443B1E71-17E6-4C6E-A3B2-95723F96D2DD}"/>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74</xdr:row>
      <xdr:rowOff>76199</xdr:rowOff>
    </xdr:from>
    <xdr:to>
      <xdr:col>23</xdr:col>
      <xdr:colOff>549869</xdr:colOff>
      <xdr:row>82</xdr:row>
      <xdr:rowOff>96111</xdr:rowOff>
    </xdr:to>
    <xdr:cxnSp macro="">
      <xdr:nvCxnSpPr>
        <xdr:cNvPr id="367" name="Connector: Elbow 366">
          <a:extLst>
            <a:ext uri="{FF2B5EF4-FFF2-40B4-BE49-F238E27FC236}">
              <a16:creationId xmlns:a16="http://schemas.microsoft.com/office/drawing/2014/main" id="{EB08D3E9-1CC1-4A4D-8765-06BEC0B5FCA3}"/>
            </a:ext>
          </a:extLst>
        </xdr:cNvPr>
        <xdr:cNvCxnSpPr>
          <a:stCxn id="351" idx="4"/>
          <a:endCxn id="366"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81</xdr:row>
      <xdr:rowOff>181655</xdr:rowOff>
    </xdr:from>
    <xdr:to>
      <xdr:col>27</xdr:col>
      <xdr:colOff>241664</xdr:colOff>
      <xdr:row>83</xdr:row>
      <xdr:rowOff>53203</xdr:rowOff>
    </xdr:to>
    <xdr:sp macro="" textlink="">
      <xdr:nvSpPr>
        <xdr:cNvPr id="368" name="Isosceles Triangle 367">
          <a:extLst>
            <a:ext uri="{FF2B5EF4-FFF2-40B4-BE49-F238E27FC236}">
              <a16:creationId xmlns:a16="http://schemas.microsoft.com/office/drawing/2014/main" id="{C8846639-7F57-47B4-9FD9-365B3D90A61E}"/>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82</xdr:row>
      <xdr:rowOff>96111</xdr:rowOff>
    </xdr:from>
    <xdr:to>
      <xdr:col>27</xdr:col>
      <xdr:colOff>34836</xdr:colOff>
      <xdr:row>82</xdr:row>
      <xdr:rowOff>117429</xdr:rowOff>
    </xdr:to>
    <xdr:cxnSp macro="">
      <xdr:nvCxnSpPr>
        <xdr:cNvPr id="369" name="Connector: Elbow 351">
          <a:extLst>
            <a:ext uri="{FF2B5EF4-FFF2-40B4-BE49-F238E27FC236}">
              <a16:creationId xmlns:a16="http://schemas.microsoft.com/office/drawing/2014/main" id="{D8FE9A95-056C-467E-8A35-B7F8F46E5217}"/>
            </a:ext>
          </a:extLst>
        </xdr:cNvPr>
        <xdr:cNvCxnSpPr>
          <a:stCxn id="366" idx="3"/>
          <a:endCxn id="368"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594904</xdr:colOff>
      <xdr:row>142</xdr:row>
      <xdr:rowOff>81643</xdr:rowOff>
    </xdr:from>
    <xdr:to>
      <xdr:col>15</xdr:col>
      <xdr:colOff>224790</xdr:colOff>
      <xdr:row>145</xdr:row>
      <xdr:rowOff>38100</xdr:rowOff>
    </xdr:to>
    <xdr:sp macro="" textlink="">
      <xdr:nvSpPr>
        <xdr:cNvPr id="444" name="Rectangle: Rounded Corners 443">
          <a:extLst>
            <a:ext uri="{FF2B5EF4-FFF2-40B4-BE49-F238E27FC236}">
              <a16:creationId xmlns:a16="http://schemas.microsoft.com/office/drawing/2014/main" id="{964D8340-2F47-40FB-AACB-6A053B139939}"/>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283573</xdr:colOff>
      <xdr:row>181</xdr:row>
      <xdr:rowOff>81099</xdr:rowOff>
    </xdr:from>
    <xdr:to>
      <xdr:col>15</xdr:col>
      <xdr:colOff>523059</xdr:colOff>
      <xdr:row>184</xdr:row>
      <xdr:rowOff>30480</xdr:rowOff>
    </xdr:to>
    <xdr:sp macro="" textlink="">
      <xdr:nvSpPr>
        <xdr:cNvPr id="445" name="Rectangle: Rounded Corners 444">
          <a:extLst>
            <a:ext uri="{FF2B5EF4-FFF2-40B4-BE49-F238E27FC236}">
              <a16:creationId xmlns:a16="http://schemas.microsoft.com/office/drawing/2014/main" id="{14A0884F-374F-43A7-A14D-4837A2B2DCA6}"/>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1</xdr:colOff>
      <xdr:row>143</xdr:row>
      <xdr:rowOff>151313</xdr:rowOff>
    </xdr:from>
    <xdr:to>
      <xdr:col>13</xdr:col>
      <xdr:colOff>594904</xdr:colOff>
      <xdr:row>149</xdr:row>
      <xdr:rowOff>100148</xdr:rowOff>
    </xdr:to>
    <xdr:cxnSp macro="">
      <xdr:nvCxnSpPr>
        <xdr:cNvPr id="446" name="Connector: Elbow 445">
          <a:extLst>
            <a:ext uri="{FF2B5EF4-FFF2-40B4-BE49-F238E27FC236}">
              <a16:creationId xmlns:a16="http://schemas.microsoft.com/office/drawing/2014/main" id="{B8DC9B74-DCEC-40C1-A98A-47D8A9A64F7E}"/>
            </a:ext>
          </a:extLst>
        </xdr:cNvPr>
        <xdr:cNvCxnSpPr>
          <a:stCxn id="448" idx="0"/>
          <a:endCxn id="444"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xdr:colOff>
      <xdr:row>150</xdr:row>
      <xdr:rowOff>176346</xdr:rowOff>
    </xdr:from>
    <xdr:to>
      <xdr:col>14</xdr:col>
      <xdr:colOff>283574</xdr:colOff>
      <xdr:row>182</xdr:row>
      <xdr:rowOff>147229</xdr:rowOff>
    </xdr:to>
    <xdr:cxnSp macro="">
      <xdr:nvCxnSpPr>
        <xdr:cNvPr id="447" name="Connector: Elbow 446">
          <a:extLst>
            <a:ext uri="{FF2B5EF4-FFF2-40B4-BE49-F238E27FC236}">
              <a16:creationId xmlns:a16="http://schemas.microsoft.com/office/drawing/2014/main" id="{F414BCC0-3B4E-4784-9F6F-6DA13329020C}"/>
            </a:ext>
          </a:extLst>
        </xdr:cNvPr>
        <xdr:cNvCxnSpPr>
          <a:stCxn id="448" idx="4"/>
          <a:endCxn id="445"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451758</xdr:colOff>
      <xdr:row>149</xdr:row>
      <xdr:rowOff>100147</xdr:rowOff>
    </xdr:from>
    <xdr:to>
      <xdr:col>13</xdr:col>
      <xdr:colOff>157843</xdr:colOff>
      <xdr:row>150</xdr:row>
      <xdr:rowOff>176347</xdr:rowOff>
    </xdr:to>
    <xdr:sp macro="" textlink="">
      <xdr:nvSpPr>
        <xdr:cNvPr id="448" name="Oval 447">
          <a:extLst>
            <a:ext uri="{FF2B5EF4-FFF2-40B4-BE49-F238E27FC236}">
              <a16:creationId xmlns:a16="http://schemas.microsoft.com/office/drawing/2014/main" id="{2863E5DF-26F8-4DBB-9687-5B7C82A0B98F}"/>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523059</xdr:colOff>
      <xdr:row>182</xdr:row>
      <xdr:rowOff>147230</xdr:rowOff>
    </xdr:from>
    <xdr:to>
      <xdr:col>17</xdr:col>
      <xdr:colOff>516528</xdr:colOff>
      <xdr:row>182</xdr:row>
      <xdr:rowOff>166551</xdr:rowOff>
    </xdr:to>
    <xdr:cxnSp macro="">
      <xdr:nvCxnSpPr>
        <xdr:cNvPr id="449" name="Connector: Elbow 351">
          <a:extLst>
            <a:ext uri="{FF2B5EF4-FFF2-40B4-BE49-F238E27FC236}">
              <a16:creationId xmlns:a16="http://schemas.microsoft.com/office/drawing/2014/main" id="{4E219D56-0F7D-4488-A7ED-506827866905}"/>
            </a:ext>
          </a:extLst>
        </xdr:cNvPr>
        <xdr:cNvCxnSpPr>
          <a:cxnSpLocks/>
          <a:stCxn id="445" idx="3"/>
          <a:endCxn id="487"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141514</xdr:colOff>
      <xdr:row>125</xdr:row>
      <xdr:rowOff>57150</xdr:rowOff>
    </xdr:from>
    <xdr:to>
      <xdr:col>18</xdr:col>
      <xdr:colOff>381000</xdr:colOff>
      <xdr:row>128</xdr:row>
      <xdr:rowOff>8164</xdr:rowOff>
    </xdr:to>
    <xdr:sp macro="" textlink="">
      <xdr:nvSpPr>
        <xdr:cNvPr id="450" name="Rectangle: Rounded Corners 449">
          <a:extLst>
            <a:ext uri="{FF2B5EF4-FFF2-40B4-BE49-F238E27FC236}">
              <a16:creationId xmlns:a16="http://schemas.microsoft.com/office/drawing/2014/main" id="{B98862E1-8892-4963-AC1C-E68CFCEE30F9}"/>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547042</xdr:colOff>
      <xdr:row>140</xdr:row>
      <xdr:rowOff>144797</xdr:rowOff>
    </xdr:from>
    <xdr:to>
      <xdr:col>19</xdr:col>
      <xdr:colOff>176928</xdr:colOff>
      <xdr:row>143</xdr:row>
      <xdr:rowOff>95110</xdr:rowOff>
    </xdr:to>
    <xdr:sp macro="" textlink="">
      <xdr:nvSpPr>
        <xdr:cNvPr id="451" name="Rectangle: Rounded Corners 450">
          <a:extLst>
            <a:ext uri="{FF2B5EF4-FFF2-40B4-BE49-F238E27FC236}">
              <a16:creationId xmlns:a16="http://schemas.microsoft.com/office/drawing/2014/main" id="{9F041E18-77B0-46A9-9BA4-B744E85B4D6B}"/>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17</xdr:col>
      <xdr:colOff>487136</xdr:colOff>
      <xdr:row>149</xdr:row>
      <xdr:rowOff>127907</xdr:rowOff>
    </xdr:from>
    <xdr:to>
      <xdr:col>19</xdr:col>
      <xdr:colOff>117022</xdr:colOff>
      <xdr:row>152</xdr:row>
      <xdr:rowOff>78922</xdr:rowOff>
    </xdr:to>
    <xdr:sp macro="" textlink="">
      <xdr:nvSpPr>
        <xdr:cNvPr id="452" name="Rectangle: Rounded Corners 451">
          <a:extLst>
            <a:ext uri="{FF2B5EF4-FFF2-40B4-BE49-F238E27FC236}">
              <a16:creationId xmlns:a16="http://schemas.microsoft.com/office/drawing/2014/main" id="{76155F26-3D4A-43AB-B9BD-CC5182BC46AB}"/>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13608</xdr:colOff>
      <xdr:row>143</xdr:row>
      <xdr:rowOff>21771</xdr:rowOff>
    </xdr:from>
    <xdr:to>
      <xdr:col>16</xdr:col>
      <xdr:colOff>329293</xdr:colOff>
      <xdr:row>144</xdr:row>
      <xdr:rowOff>97970</xdr:rowOff>
    </xdr:to>
    <xdr:sp macro="" textlink="">
      <xdr:nvSpPr>
        <xdr:cNvPr id="453" name="Oval 452">
          <a:extLst>
            <a:ext uri="{FF2B5EF4-FFF2-40B4-BE49-F238E27FC236}">
              <a16:creationId xmlns:a16="http://schemas.microsoft.com/office/drawing/2014/main" id="{A4ECCA21-4D2E-402A-A95E-8B98A9D2CAB7}"/>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224790</xdr:colOff>
      <xdr:row>143</xdr:row>
      <xdr:rowOff>151311</xdr:rowOff>
    </xdr:from>
    <xdr:to>
      <xdr:col>16</xdr:col>
      <xdr:colOff>13608</xdr:colOff>
      <xdr:row>143</xdr:row>
      <xdr:rowOff>151312</xdr:rowOff>
    </xdr:to>
    <xdr:cxnSp macro="">
      <xdr:nvCxnSpPr>
        <xdr:cNvPr id="454" name="Connector: Elbow 42">
          <a:extLst>
            <a:ext uri="{FF2B5EF4-FFF2-40B4-BE49-F238E27FC236}">
              <a16:creationId xmlns:a16="http://schemas.microsoft.com/office/drawing/2014/main" id="{E6794EE7-82EF-4BD9-BF88-D8B47CC4DEA9}"/>
            </a:ext>
          </a:extLst>
        </xdr:cNvPr>
        <xdr:cNvCxnSpPr>
          <a:cxnSpLocks/>
          <a:stCxn id="444" idx="3"/>
          <a:endCxn id="453"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171450</xdr:colOff>
      <xdr:row>126</xdr:row>
      <xdr:rowOff>127908</xdr:rowOff>
    </xdr:from>
    <xdr:to>
      <xdr:col>17</xdr:col>
      <xdr:colOff>141513</xdr:colOff>
      <xdr:row>143</xdr:row>
      <xdr:rowOff>21772</xdr:rowOff>
    </xdr:to>
    <xdr:cxnSp macro="">
      <xdr:nvCxnSpPr>
        <xdr:cNvPr id="455" name="Connector: Elbow 454">
          <a:extLst>
            <a:ext uri="{FF2B5EF4-FFF2-40B4-BE49-F238E27FC236}">
              <a16:creationId xmlns:a16="http://schemas.microsoft.com/office/drawing/2014/main" id="{96282B71-F27A-4279-A3C3-CB7AF6368227}"/>
            </a:ext>
          </a:extLst>
        </xdr:cNvPr>
        <xdr:cNvCxnSpPr>
          <a:stCxn id="453" idx="0"/>
          <a:endCxn id="450"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329293</xdr:colOff>
      <xdr:row>142</xdr:row>
      <xdr:rowOff>28514</xdr:rowOff>
    </xdr:from>
    <xdr:to>
      <xdr:col>17</xdr:col>
      <xdr:colOff>547042</xdr:colOff>
      <xdr:row>143</xdr:row>
      <xdr:rowOff>151311</xdr:rowOff>
    </xdr:to>
    <xdr:cxnSp macro="">
      <xdr:nvCxnSpPr>
        <xdr:cNvPr id="456" name="Connector: Elbow 455">
          <a:extLst>
            <a:ext uri="{FF2B5EF4-FFF2-40B4-BE49-F238E27FC236}">
              <a16:creationId xmlns:a16="http://schemas.microsoft.com/office/drawing/2014/main" id="{6924839C-2EA5-4DFE-8358-8F85B7E3411E}"/>
            </a:ext>
          </a:extLst>
        </xdr:cNvPr>
        <xdr:cNvCxnSpPr>
          <a:stCxn id="453" idx="6"/>
          <a:endCxn id="451"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171451</xdr:colOff>
      <xdr:row>144</xdr:row>
      <xdr:rowOff>97969</xdr:rowOff>
    </xdr:from>
    <xdr:to>
      <xdr:col>17</xdr:col>
      <xdr:colOff>487136</xdr:colOff>
      <xdr:row>151</xdr:row>
      <xdr:rowOff>8164</xdr:rowOff>
    </xdr:to>
    <xdr:cxnSp macro="">
      <xdr:nvCxnSpPr>
        <xdr:cNvPr id="457" name="Connector: Elbow 456">
          <a:extLst>
            <a:ext uri="{FF2B5EF4-FFF2-40B4-BE49-F238E27FC236}">
              <a16:creationId xmlns:a16="http://schemas.microsoft.com/office/drawing/2014/main" id="{FD8BEF1E-CA49-4740-8779-CBC1C359BA1C}"/>
            </a:ext>
          </a:extLst>
        </xdr:cNvPr>
        <xdr:cNvCxnSpPr>
          <a:stCxn id="453" idx="4"/>
          <a:endCxn id="452"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103415</xdr:colOff>
      <xdr:row>150</xdr:row>
      <xdr:rowOff>76206</xdr:rowOff>
    </xdr:from>
    <xdr:to>
      <xdr:col>20</xdr:col>
      <xdr:colOff>310244</xdr:colOff>
      <xdr:row>151</xdr:row>
      <xdr:rowOff>130634</xdr:rowOff>
    </xdr:to>
    <xdr:sp macro="" textlink="">
      <xdr:nvSpPr>
        <xdr:cNvPr id="458" name="Isosceles Triangle 457">
          <a:extLst>
            <a:ext uri="{FF2B5EF4-FFF2-40B4-BE49-F238E27FC236}">
              <a16:creationId xmlns:a16="http://schemas.microsoft.com/office/drawing/2014/main" id="{515DE2CE-389A-4DD2-9AD4-ABA3D55105D3}"/>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117022</xdr:colOff>
      <xdr:row>151</xdr:row>
      <xdr:rowOff>8165</xdr:rowOff>
    </xdr:from>
    <xdr:to>
      <xdr:col>20</xdr:col>
      <xdr:colOff>103416</xdr:colOff>
      <xdr:row>151</xdr:row>
      <xdr:rowOff>8170</xdr:rowOff>
    </xdr:to>
    <xdr:cxnSp macro="">
      <xdr:nvCxnSpPr>
        <xdr:cNvPr id="459" name="Connector: Elbow 351">
          <a:extLst>
            <a:ext uri="{FF2B5EF4-FFF2-40B4-BE49-F238E27FC236}">
              <a16:creationId xmlns:a16="http://schemas.microsoft.com/office/drawing/2014/main" id="{BD9E792E-6115-4212-8BF2-398145D6DB9B}"/>
            </a:ext>
          </a:extLst>
        </xdr:cNvPr>
        <xdr:cNvCxnSpPr>
          <a:stCxn id="452" idx="3"/>
          <a:endCxn id="458"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293546</xdr:colOff>
      <xdr:row>141</xdr:row>
      <xdr:rowOff>74114</xdr:rowOff>
    </xdr:from>
    <xdr:to>
      <xdr:col>20</xdr:col>
      <xdr:colOff>500375</xdr:colOff>
      <xdr:row>142</xdr:row>
      <xdr:rowOff>134687</xdr:rowOff>
    </xdr:to>
    <xdr:sp macro="" textlink="">
      <xdr:nvSpPr>
        <xdr:cNvPr id="460" name="Isosceles Triangle 459">
          <a:extLst>
            <a:ext uri="{FF2B5EF4-FFF2-40B4-BE49-F238E27FC236}">
              <a16:creationId xmlns:a16="http://schemas.microsoft.com/office/drawing/2014/main" id="{A556AEFA-96AA-4737-8375-44A249403DF8}"/>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176928</xdr:colOff>
      <xdr:row>142</xdr:row>
      <xdr:rowOff>12961</xdr:rowOff>
    </xdr:from>
    <xdr:to>
      <xdr:col>20</xdr:col>
      <xdr:colOff>293546</xdr:colOff>
      <xdr:row>142</xdr:row>
      <xdr:rowOff>28514</xdr:rowOff>
    </xdr:to>
    <xdr:cxnSp macro="">
      <xdr:nvCxnSpPr>
        <xdr:cNvPr id="461" name="Connector: Elbow 351">
          <a:extLst>
            <a:ext uri="{FF2B5EF4-FFF2-40B4-BE49-F238E27FC236}">
              <a16:creationId xmlns:a16="http://schemas.microsoft.com/office/drawing/2014/main" id="{BAA9E9E6-FEC8-41EC-99A4-A9CB9A331B33}"/>
            </a:ext>
          </a:extLst>
        </xdr:cNvPr>
        <xdr:cNvCxnSpPr>
          <a:stCxn id="451" idx="3"/>
          <a:endCxn id="460"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480604</xdr:colOff>
      <xdr:row>116</xdr:row>
      <xdr:rowOff>171450</xdr:rowOff>
    </xdr:from>
    <xdr:to>
      <xdr:col>23</xdr:col>
      <xdr:colOff>110490</xdr:colOff>
      <xdr:row>119</xdr:row>
      <xdr:rowOff>130084</xdr:rowOff>
    </xdr:to>
    <xdr:sp macro="" textlink="">
      <xdr:nvSpPr>
        <xdr:cNvPr id="462" name="Rectangle: Rounded Corners 461">
          <a:extLst>
            <a:ext uri="{FF2B5EF4-FFF2-40B4-BE49-F238E27FC236}">
              <a16:creationId xmlns:a16="http://schemas.microsoft.com/office/drawing/2014/main" id="{40FC770E-229A-4D59-9CCC-70B9D3F10E2B}"/>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62189</xdr:colOff>
      <xdr:row>124</xdr:row>
      <xdr:rowOff>56922</xdr:rowOff>
    </xdr:from>
    <xdr:to>
      <xdr:col>23</xdr:col>
      <xdr:colOff>301675</xdr:colOff>
      <xdr:row>127</xdr:row>
      <xdr:rowOff>13380</xdr:rowOff>
    </xdr:to>
    <xdr:sp macro="" textlink="">
      <xdr:nvSpPr>
        <xdr:cNvPr id="463" name="Rectangle: Rounded Corners 462">
          <a:extLst>
            <a:ext uri="{FF2B5EF4-FFF2-40B4-BE49-F238E27FC236}">
              <a16:creationId xmlns:a16="http://schemas.microsoft.com/office/drawing/2014/main" id="{B646B775-A427-4297-95CA-A1BE9172A363}"/>
            </a:ext>
          </a:extLst>
        </xdr:cNvPr>
        <xdr:cNvSpPr/>
      </xdr:nvSpPr>
      <xdr:spPr>
        <a:xfrm>
          <a:off x="13473389" y="2273404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19</xdr:col>
      <xdr:colOff>601436</xdr:colOff>
      <xdr:row>126</xdr:row>
      <xdr:rowOff>-1</xdr:rowOff>
    </xdr:from>
    <xdr:to>
      <xdr:col>20</xdr:col>
      <xdr:colOff>307521</xdr:colOff>
      <xdr:row>127</xdr:row>
      <xdr:rowOff>76199</xdr:rowOff>
    </xdr:to>
    <xdr:sp macro="" textlink="">
      <xdr:nvSpPr>
        <xdr:cNvPr id="464" name="Oval 463">
          <a:extLst>
            <a:ext uri="{FF2B5EF4-FFF2-40B4-BE49-F238E27FC236}">
              <a16:creationId xmlns:a16="http://schemas.microsoft.com/office/drawing/2014/main" id="{BF86530D-C497-4616-BF37-BBF44486D3FE}"/>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381000</xdr:colOff>
      <xdr:row>126</xdr:row>
      <xdr:rowOff>127907</xdr:rowOff>
    </xdr:from>
    <xdr:to>
      <xdr:col>19</xdr:col>
      <xdr:colOff>601436</xdr:colOff>
      <xdr:row>126</xdr:row>
      <xdr:rowOff>133349</xdr:rowOff>
    </xdr:to>
    <xdr:cxnSp macro="">
      <xdr:nvCxnSpPr>
        <xdr:cNvPr id="465" name="Connector: Elbow 42">
          <a:extLst>
            <a:ext uri="{FF2B5EF4-FFF2-40B4-BE49-F238E27FC236}">
              <a16:creationId xmlns:a16="http://schemas.microsoft.com/office/drawing/2014/main" id="{51F703E3-22FA-4ACF-90F5-E839FE09E736}"/>
            </a:ext>
          </a:extLst>
        </xdr:cNvPr>
        <xdr:cNvCxnSpPr>
          <a:cxnSpLocks/>
          <a:stCxn id="450" idx="3"/>
          <a:endCxn id="464"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149678</xdr:colOff>
      <xdr:row>118</xdr:row>
      <xdr:rowOff>59328</xdr:rowOff>
    </xdr:from>
    <xdr:to>
      <xdr:col>21</xdr:col>
      <xdr:colOff>480603</xdr:colOff>
      <xdr:row>126</xdr:row>
      <xdr:rowOff>0</xdr:rowOff>
    </xdr:to>
    <xdr:cxnSp macro="">
      <xdr:nvCxnSpPr>
        <xdr:cNvPr id="466" name="Connector: Elbow 465">
          <a:extLst>
            <a:ext uri="{FF2B5EF4-FFF2-40B4-BE49-F238E27FC236}">
              <a16:creationId xmlns:a16="http://schemas.microsoft.com/office/drawing/2014/main" id="{52FD146C-C208-408E-8974-8929F0F40135}"/>
            </a:ext>
          </a:extLst>
        </xdr:cNvPr>
        <xdr:cNvCxnSpPr>
          <a:stCxn id="464" idx="0"/>
          <a:endCxn id="462"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307521</xdr:colOff>
      <xdr:row>125</xdr:row>
      <xdr:rowOff>126591</xdr:rowOff>
    </xdr:from>
    <xdr:to>
      <xdr:col>22</xdr:col>
      <xdr:colOff>62189</xdr:colOff>
      <xdr:row>126</xdr:row>
      <xdr:rowOff>129539</xdr:rowOff>
    </xdr:to>
    <xdr:cxnSp macro="">
      <xdr:nvCxnSpPr>
        <xdr:cNvPr id="467" name="Connector: Elbow 466">
          <a:extLst>
            <a:ext uri="{FF2B5EF4-FFF2-40B4-BE49-F238E27FC236}">
              <a16:creationId xmlns:a16="http://schemas.microsoft.com/office/drawing/2014/main" id="{8F2DC60E-A44A-4E8D-985D-4E13F30DA42B}"/>
            </a:ext>
          </a:extLst>
        </xdr:cNvPr>
        <xdr:cNvCxnSpPr>
          <a:stCxn id="464" idx="6"/>
          <a:endCxn id="463" idx="1"/>
        </xdr:cNvCxnSpPr>
      </xdr:nvCxnSpPr>
      <xdr:spPr>
        <a:xfrm flipV="1">
          <a:off x="12499521" y="22986591"/>
          <a:ext cx="973868" cy="185828"/>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507275</xdr:colOff>
      <xdr:row>125</xdr:row>
      <xdr:rowOff>14017</xdr:rowOff>
    </xdr:from>
    <xdr:to>
      <xdr:col>25</xdr:col>
      <xdr:colOff>104504</xdr:colOff>
      <xdr:row>126</xdr:row>
      <xdr:rowOff>68445</xdr:rowOff>
    </xdr:to>
    <xdr:sp macro="" textlink="">
      <xdr:nvSpPr>
        <xdr:cNvPr id="468" name="Isosceles Triangle 467">
          <a:extLst>
            <a:ext uri="{FF2B5EF4-FFF2-40B4-BE49-F238E27FC236}">
              <a16:creationId xmlns:a16="http://schemas.microsoft.com/office/drawing/2014/main" id="{15E1007E-F1D7-404E-AD0F-27A48CC016A6}"/>
            </a:ext>
          </a:extLst>
        </xdr:cNvPr>
        <xdr:cNvSpPr/>
      </xdr:nvSpPr>
      <xdr:spPr>
        <a:xfrm rot="5400000">
          <a:off x="15122436" y="22889256"/>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301675</xdr:colOff>
      <xdr:row>125</xdr:row>
      <xdr:rowOff>126591</xdr:rowOff>
    </xdr:from>
    <xdr:to>
      <xdr:col>24</xdr:col>
      <xdr:colOff>507276</xdr:colOff>
      <xdr:row>125</xdr:row>
      <xdr:rowOff>132671</xdr:rowOff>
    </xdr:to>
    <xdr:cxnSp macro="">
      <xdr:nvCxnSpPr>
        <xdr:cNvPr id="469" name="Connector: Elbow 351">
          <a:extLst>
            <a:ext uri="{FF2B5EF4-FFF2-40B4-BE49-F238E27FC236}">
              <a16:creationId xmlns:a16="http://schemas.microsoft.com/office/drawing/2014/main" id="{A2EE5C8C-8A5A-41B9-849D-E9C2043406FA}"/>
            </a:ext>
          </a:extLst>
        </xdr:cNvPr>
        <xdr:cNvCxnSpPr>
          <a:stCxn id="463" idx="3"/>
          <a:endCxn id="468" idx="3"/>
        </xdr:cNvCxnSpPr>
      </xdr:nvCxnSpPr>
      <xdr:spPr>
        <a:xfrm>
          <a:off x="14322475" y="22986591"/>
          <a:ext cx="815201" cy="608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110490</xdr:colOff>
      <xdr:row>118</xdr:row>
      <xdr:rowOff>59327</xdr:rowOff>
    </xdr:from>
    <xdr:to>
      <xdr:col>24</xdr:col>
      <xdr:colOff>400948</xdr:colOff>
      <xdr:row>118</xdr:row>
      <xdr:rowOff>81824</xdr:rowOff>
    </xdr:to>
    <xdr:cxnSp macro="">
      <xdr:nvCxnSpPr>
        <xdr:cNvPr id="476" name="Connector: Elbow 42">
          <a:extLst>
            <a:ext uri="{FF2B5EF4-FFF2-40B4-BE49-F238E27FC236}">
              <a16:creationId xmlns:a16="http://schemas.microsoft.com/office/drawing/2014/main" id="{6C385030-FF60-406E-A714-90084F238826}"/>
            </a:ext>
          </a:extLst>
        </xdr:cNvPr>
        <xdr:cNvCxnSpPr>
          <a:cxnSpLocks/>
          <a:stCxn id="462" idx="3"/>
          <a:endCxn id="483"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549869</xdr:colOff>
      <xdr:row>134</xdr:row>
      <xdr:rowOff>26442</xdr:rowOff>
    </xdr:from>
    <xdr:to>
      <xdr:col>23</xdr:col>
      <xdr:colOff>179755</xdr:colOff>
      <xdr:row>136</xdr:row>
      <xdr:rowOff>165780</xdr:rowOff>
    </xdr:to>
    <xdr:sp macro="" textlink="">
      <xdr:nvSpPr>
        <xdr:cNvPr id="479" name="Rectangle: Rounded Corners 478">
          <a:extLst>
            <a:ext uri="{FF2B5EF4-FFF2-40B4-BE49-F238E27FC236}">
              <a16:creationId xmlns:a16="http://schemas.microsoft.com/office/drawing/2014/main" id="{D3AEB2D7-7B70-47EF-B936-0D0656D77994}"/>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20</xdr:col>
      <xdr:colOff>149679</xdr:colOff>
      <xdr:row>127</xdr:row>
      <xdr:rowOff>76199</xdr:rowOff>
    </xdr:from>
    <xdr:to>
      <xdr:col>21</xdr:col>
      <xdr:colOff>549869</xdr:colOff>
      <xdr:row>135</xdr:row>
      <xdr:rowOff>96111</xdr:rowOff>
    </xdr:to>
    <xdr:cxnSp macro="">
      <xdr:nvCxnSpPr>
        <xdr:cNvPr id="480" name="Connector: Elbow 479">
          <a:extLst>
            <a:ext uri="{FF2B5EF4-FFF2-40B4-BE49-F238E27FC236}">
              <a16:creationId xmlns:a16="http://schemas.microsoft.com/office/drawing/2014/main" id="{19DB3E78-BF93-4F48-9F2A-B5252E5AD343}"/>
            </a:ext>
          </a:extLst>
        </xdr:cNvPr>
        <xdr:cNvCxnSpPr>
          <a:stCxn id="464" idx="4"/>
          <a:endCxn id="479"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34835</xdr:colOff>
      <xdr:row>134</xdr:row>
      <xdr:rowOff>181655</xdr:rowOff>
    </xdr:from>
    <xdr:to>
      <xdr:col>25</xdr:col>
      <xdr:colOff>241664</xdr:colOff>
      <xdr:row>136</xdr:row>
      <xdr:rowOff>53203</xdr:rowOff>
    </xdr:to>
    <xdr:sp macro="" textlink="">
      <xdr:nvSpPr>
        <xdr:cNvPr id="481" name="Isosceles Triangle 480">
          <a:extLst>
            <a:ext uri="{FF2B5EF4-FFF2-40B4-BE49-F238E27FC236}">
              <a16:creationId xmlns:a16="http://schemas.microsoft.com/office/drawing/2014/main" id="{C08CDE44-432B-4E2F-8C1F-69DCFEC693EF}"/>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179755</xdr:colOff>
      <xdr:row>135</xdr:row>
      <xdr:rowOff>96111</xdr:rowOff>
    </xdr:from>
    <xdr:to>
      <xdr:col>25</xdr:col>
      <xdr:colOff>34836</xdr:colOff>
      <xdr:row>135</xdr:row>
      <xdr:rowOff>117429</xdr:rowOff>
    </xdr:to>
    <xdr:cxnSp macro="">
      <xdr:nvCxnSpPr>
        <xdr:cNvPr id="482" name="Connector: Elbow 351">
          <a:extLst>
            <a:ext uri="{FF2B5EF4-FFF2-40B4-BE49-F238E27FC236}">
              <a16:creationId xmlns:a16="http://schemas.microsoft.com/office/drawing/2014/main" id="{A6AEE041-13A9-4910-A245-E7CD86E7A1C9}"/>
            </a:ext>
          </a:extLst>
        </xdr:cNvPr>
        <xdr:cNvCxnSpPr>
          <a:stCxn id="479" idx="3"/>
          <a:endCxn id="481"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400947</xdr:colOff>
      <xdr:row>117</xdr:row>
      <xdr:rowOff>149860</xdr:rowOff>
    </xdr:from>
    <xdr:to>
      <xdr:col>24</xdr:col>
      <xdr:colOff>607776</xdr:colOff>
      <xdr:row>119</xdr:row>
      <xdr:rowOff>13788</xdr:rowOff>
    </xdr:to>
    <xdr:sp macro="" textlink="">
      <xdr:nvSpPr>
        <xdr:cNvPr id="483" name="Isosceles Triangle 482">
          <a:extLst>
            <a:ext uri="{FF2B5EF4-FFF2-40B4-BE49-F238E27FC236}">
              <a16:creationId xmlns:a16="http://schemas.microsoft.com/office/drawing/2014/main" id="{F7488CAD-D23D-4139-B86F-6BCD0FEC4C83}"/>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385354</xdr:colOff>
      <xdr:row>175</xdr:row>
      <xdr:rowOff>26670</xdr:rowOff>
    </xdr:from>
    <xdr:to>
      <xdr:col>21</xdr:col>
      <xdr:colOff>15240</xdr:colOff>
      <xdr:row>177</xdr:row>
      <xdr:rowOff>160564</xdr:rowOff>
    </xdr:to>
    <xdr:sp macro="" textlink="">
      <xdr:nvSpPr>
        <xdr:cNvPr id="484" name="Rectangle: Rounded Corners 483">
          <a:extLst>
            <a:ext uri="{FF2B5EF4-FFF2-40B4-BE49-F238E27FC236}">
              <a16:creationId xmlns:a16="http://schemas.microsoft.com/office/drawing/2014/main" id="{3AA45C56-EEBC-4D89-B814-14DCF4452B87}"/>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19</xdr:col>
      <xdr:colOff>547042</xdr:colOff>
      <xdr:row>190</xdr:row>
      <xdr:rowOff>144797</xdr:rowOff>
    </xdr:from>
    <xdr:to>
      <xdr:col>21</xdr:col>
      <xdr:colOff>176928</xdr:colOff>
      <xdr:row>193</xdr:row>
      <xdr:rowOff>95110</xdr:rowOff>
    </xdr:to>
    <xdr:sp macro="" textlink="">
      <xdr:nvSpPr>
        <xdr:cNvPr id="485" name="Rectangle: Rounded Corners 484">
          <a:extLst>
            <a:ext uri="{FF2B5EF4-FFF2-40B4-BE49-F238E27FC236}">
              <a16:creationId xmlns:a16="http://schemas.microsoft.com/office/drawing/2014/main" id="{6FF6F6C0-2DE6-481B-B647-021954297C01}"/>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199</xdr:row>
      <xdr:rowOff>127907</xdr:rowOff>
    </xdr:from>
    <xdr:to>
      <xdr:col>21</xdr:col>
      <xdr:colOff>117022</xdr:colOff>
      <xdr:row>202</xdr:row>
      <xdr:rowOff>78922</xdr:rowOff>
    </xdr:to>
    <xdr:sp macro="" textlink="">
      <xdr:nvSpPr>
        <xdr:cNvPr id="486" name="Rectangle: Rounded Corners 485">
          <a:extLst>
            <a:ext uri="{FF2B5EF4-FFF2-40B4-BE49-F238E27FC236}">
              <a16:creationId xmlns:a16="http://schemas.microsoft.com/office/drawing/2014/main" id="{97455CBF-2EDC-4E5D-9174-96896F09DB4B}"/>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17</xdr:col>
      <xdr:colOff>516528</xdr:colOff>
      <xdr:row>182</xdr:row>
      <xdr:rowOff>37011</xdr:rowOff>
    </xdr:from>
    <xdr:to>
      <xdr:col>18</xdr:col>
      <xdr:colOff>222613</xdr:colOff>
      <xdr:row>183</xdr:row>
      <xdr:rowOff>113210</xdr:rowOff>
    </xdr:to>
    <xdr:sp macro="" textlink="">
      <xdr:nvSpPr>
        <xdr:cNvPr id="487" name="Oval 486">
          <a:extLst>
            <a:ext uri="{FF2B5EF4-FFF2-40B4-BE49-F238E27FC236}">
              <a16:creationId xmlns:a16="http://schemas.microsoft.com/office/drawing/2014/main" id="{B213D4CD-E588-4B1C-833D-532D83DB1E45}"/>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64770</xdr:colOff>
      <xdr:row>176</xdr:row>
      <xdr:rowOff>93618</xdr:rowOff>
    </xdr:from>
    <xdr:to>
      <xdr:col>19</xdr:col>
      <xdr:colOff>385353</xdr:colOff>
      <xdr:row>182</xdr:row>
      <xdr:rowOff>37012</xdr:rowOff>
    </xdr:to>
    <xdr:cxnSp macro="">
      <xdr:nvCxnSpPr>
        <xdr:cNvPr id="488" name="Connector: Elbow 487">
          <a:extLst>
            <a:ext uri="{FF2B5EF4-FFF2-40B4-BE49-F238E27FC236}">
              <a16:creationId xmlns:a16="http://schemas.microsoft.com/office/drawing/2014/main" id="{999EFF44-D808-42DE-A244-B3443D020A58}"/>
            </a:ext>
          </a:extLst>
        </xdr:cNvPr>
        <xdr:cNvCxnSpPr>
          <a:cxnSpLocks/>
          <a:stCxn id="487" idx="0"/>
          <a:endCxn id="484"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222613</xdr:colOff>
      <xdr:row>182</xdr:row>
      <xdr:rowOff>166551</xdr:rowOff>
    </xdr:from>
    <xdr:to>
      <xdr:col>19</xdr:col>
      <xdr:colOff>547042</xdr:colOff>
      <xdr:row>192</xdr:row>
      <xdr:rowOff>28514</xdr:rowOff>
    </xdr:to>
    <xdr:cxnSp macro="">
      <xdr:nvCxnSpPr>
        <xdr:cNvPr id="489" name="Connector: Elbow 488">
          <a:extLst>
            <a:ext uri="{FF2B5EF4-FFF2-40B4-BE49-F238E27FC236}">
              <a16:creationId xmlns:a16="http://schemas.microsoft.com/office/drawing/2014/main" id="{250CD421-6851-4058-AD2E-97C1D41CADA3}"/>
            </a:ext>
          </a:extLst>
        </xdr:cNvPr>
        <xdr:cNvCxnSpPr>
          <a:stCxn id="487" idx="6"/>
          <a:endCxn id="485"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64771</xdr:colOff>
      <xdr:row>183</xdr:row>
      <xdr:rowOff>113209</xdr:rowOff>
    </xdr:from>
    <xdr:to>
      <xdr:col>19</xdr:col>
      <xdr:colOff>487136</xdr:colOff>
      <xdr:row>201</xdr:row>
      <xdr:rowOff>11974</xdr:rowOff>
    </xdr:to>
    <xdr:cxnSp macro="">
      <xdr:nvCxnSpPr>
        <xdr:cNvPr id="490" name="Connector: Elbow 489">
          <a:extLst>
            <a:ext uri="{FF2B5EF4-FFF2-40B4-BE49-F238E27FC236}">
              <a16:creationId xmlns:a16="http://schemas.microsoft.com/office/drawing/2014/main" id="{DA3802A1-599A-42BD-ABB6-C805CEDB7851}"/>
            </a:ext>
          </a:extLst>
        </xdr:cNvPr>
        <xdr:cNvCxnSpPr>
          <a:stCxn id="487" idx="4"/>
          <a:endCxn id="486"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200</xdr:row>
      <xdr:rowOff>76206</xdr:rowOff>
    </xdr:from>
    <xdr:to>
      <xdr:col>22</xdr:col>
      <xdr:colOff>310244</xdr:colOff>
      <xdr:row>201</xdr:row>
      <xdr:rowOff>130634</xdr:rowOff>
    </xdr:to>
    <xdr:sp macro="" textlink="">
      <xdr:nvSpPr>
        <xdr:cNvPr id="491" name="Isosceles Triangle 490">
          <a:extLst>
            <a:ext uri="{FF2B5EF4-FFF2-40B4-BE49-F238E27FC236}">
              <a16:creationId xmlns:a16="http://schemas.microsoft.com/office/drawing/2014/main" id="{1FB1E29E-C979-4D10-8635-448C71EFE29B}"/>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201</xdr:row>
      <xdr:rowOff>8165</xdr:rowOff>
    </xdr:from>
    <xdr:to>
      <xdr:col>22</xdr:col>
      <xdr:colOff>103416</xdr:colOff>
      <xdr:row>201</xdr:row>
      <xdr:rowOff>8170</xdr:rowOff>
    </xdr:to>
    <xdr:cxnSp macro="">
      <xdr:nvCxnSpPr>
        <xdr:cNvPr id="492" name="Connector: Elbow 351">
          <a:extLst>
            <a:ext uri="{FF2B5EF4-FFF2-40B4-BE49-F238E27FC236}">
              <a16:creationId xmlns:a16="http://schemas.microsoft.com/office/drawing/2014/main" id="{7A1A9541-CFA8-416A-BEEB-EC4D1134ABB7}"/>
            </a:ext>
          </a:extLst>
        </xdr:cNvPr>
        <xdr:cNvCxnSpPr>
          <a:stCxn id="486" idx="3"/>
          <a:endCxn id="491"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191</xdr:row>
      <xdr:rowOff>74114</xdr:rowOff>
    </xdr:from>
    <xdr:to>
      <xdr:col>22</xdr:col>
      <xdr:colOff>500375</xdr:colOff>
      <xdr:row>192</xdr:row>
      <xdr:rowOff>134687</xdr:rowOff>
    </xdr:to>
    <xdr:sp macro="" textlink="">
      <xdr:nvSpPr>
        <xdr:cNvPr id="493" name="Isosceles Triangle 492">
          <a:extLst>
            <a:ext uri="{FF2B5EF4-FFF2-40B4-BE49-F238E27FC236}">
              <a16:creationId xmlns:a16="http://schemas.microsoft.com/office/drawing/2014/main" id="{98097D09-33CF-43FB-8E96-B03B5E019728}"/>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192</xdr:row>
      <xdr:rowOff>12961</xdr:rowOff>
    </xdr:from>
    <xdr:to>
      <xdr:col>22</xdr:col>
      <xdr:colOff>293546</xdr:colOff>
      <xdr:row>192</xdr:row>
      <xdr:rowOff>28514</xdr:rowOff>
    </xdr:to>
    <xdr:cxnSp macro="">
      <xdr:nvCxnSpPr>
        <xdr:cNvPr id="494" name="Connector: Elbow 351">
          <a:extLst>
            <a:ext uri="{FF2B5EF4-FFF2-40B4-BE49-F238E27FC236}">
              <a16:creationId xmlns:a16="http://schemas.microsoft.com/office/drawing/2014/main" id="{21F106B0-0816-4B56-B94E-037F5245892F}"/>
            </a:ext>
          </a:extLst>
        </xdr:cNvPr>
        <xdr:cNvCxnSpPr>
          <a:stCxn id="485" idx="3"/>
          <a:endCxn id="493"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519389</xdr:colOff>
      <xdr:row>177</xdr:row>
      <xdr:rowOff>102642</xdr:rowOff>
    </xdr:from>
    <xdr:to>
      <xdr:col>25</xdr:col>
      <xdr:colOff>149275</xdr:colOff>
      <xdr:row>180</xdr:row>
      <xdr:rowOff>59100</xdr:rowOff>
    </xdr:to>
    <xdr:sp macro="" textlink="">
      <xdr:nvSpPr>
        <xdr:cNvPr id="496" name="Rectangle: Rounded Corners 495">
          <a:extLst>
            <a:ext uri="{FF2B5EF4-FFF2-40B4-BE49-F238E27FC236}">
              <a16:creationId xmlns:a16="http://schemas.microsoft.com/office/drawing/2014/main" id="{F9E2A921-358B-4199-8E45-CB5E4C28B67D}"/>
            </a:ext>
          </a:extLst>
        </xdr:cNvPr>
        <xdr:cNvSpPr/>
      </xdr:nvSpPr>
      <xdr:spPr>
        <a:xfrm>
          <a:off x="14540189" y="13635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176</xdr:row>
      <xdr:rowOff>-1</xdr:rowOff>
    </xdr:from>
    <xdr:to>
      <xdr:col>22</xdr:col>
      <xdr:colOff>307521</xdr:colOff>
      <xdr:row>177</xdr:row>
      <xdr:rowOff>76199</xdr:rowOff>
    </xdr:to>
    <xdr:sp macro="" textlink="">
      <xdr:nvSpPr>
        <xdr:cNvPr id="497" name="Oval 496">
          <a:extLst>
            <a:ext uri="{FF2B5EF4-FFF2-40B4-BE49-F238E27FC236}">
              <a16:creationId xmlns:a16="http://schemas.microsoft.com/office/drawing/2014/main" id="{5BFE7F3A-CB60-4C48-B116-EA530C7E164D}"/>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15240</xdr:colOff>
      <xdr:row>176</xdr:row>
      <xdr:rowOff>93617</xdr:rowOff>
    </xdr:from>
    <xdr:to>
      <xdr:col>21</xdr:col>
      <xdr:colOff>601436</xdr:colOff>
      <xdr:row>176</xdr:row>
      <xdr:rowOff>129539</xdr:rowOff>
    </xdr:to>
    <xdr:cxnSp macro="">
      <xdr:nvCxnSpPr>
        <xdr:cNvPr id="498" name="Connector: Elbow 42">
          <a:extLst>
            <a:ext uri="{FF2B5EF4-FFF2-40B4-BE49-F238E27FC236}">
              <a16:creationId xmlns:a16="http://schemas.microsoft.com/office/drawing/2014/main" id="{57C78474-2117-4E77-8716-7B91DA2FD5CD}"/>
            </a:ext>
          </a:extLst>
        </xdr:cNvPr>
        <xdr:cNvCxnSpPr>
          <a:cxnSpLocks/>
          <a:stCxn id="484" idx="3"/>
          <a:endCxn id="497"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307521</xdr:colOff>
      <xdr:row>176</xdr:row>
      <xdr:rowOff>129539</xdr:rowOff>
    </xdr:from>
    <xdr:to>
      <xdr:col>23</xdr:col>
      <xdr:colOff>519389</xdr:colOff>
      <xdr:row>178</xdr:row>
      <xdr:rowOff>172311</xdr:rowOff>
    </xdr:to>
    <xdr:cxnSp macro="">
      <xdr:nvCxnSpPr>
        <xdr:cNvPr id="500" name="Connector: Elbow 499">
          <a:extLst>
            <a:ext uri="{FF2B5EF4-FFF2-40B4-BE49-F238E27FC236}">
              <a16:creationId xmlns:a16="http://schemas.microsoft.com/office/drawing/2014/main" id="{69C75367-57A6-4949-B739-CF3458B2D5B9}"/>
            </a:ext>
          </a:extLst>
        </xdr:cNvPr>
        <xdr:cNvCxnSpPr>
          <a:stCxn id="497" idx="6"/>
          <a:endCxn id="496" idx="1"/>
        </xdr:cNvCxnSpPr>
      </xdr:nvCxnSpPr>
      <xdr:spPr>
        <a:xfrm>
          <a:off x="13718721" y="32362139"/>
          <a:ext cx="821468" cy="408532"/>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178</xdr:row>
      <xdr:rowOff>29256</xdr:rowOff>
    </xdr:from>
    <xdr:to>
      <xdr:col>27</xdr:col>
      <xdr:colOff>104504</xdr:colOff>
      <xdr:row>179</xdr:row>
      <xdr:rowOff>83684</xdr:rowOff>
    </xdr:to>
    <xdr:sp macro="" textlink="">
      <xdr:nvSpPr>
        <xdr:cNvPr id="501" name="Isosceles Triangle 500">
          <a:extLst>
            <a:ext uri="{FF2B5EF4-FFF2-40B4-BE49-F238E27FC236}">
              <a16:creationId xmlns:a16="http://schemas.microsoft.com/office/drawing/2014/main" id="{981C5D3A-8842-4A58-8678-AA9DC0B54A89}"/>
            </a:ext>
          </a:extLst>
        </xdr:cNvPr>
        <xdr:cNvSpPr/>
      </xdr:nvSpPr>
      <xdr:spPr>
        <a:xfrm rot="5400000">
          <a:off x="16341636" y="13760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178</xdr:row>
      <xdr:rowOff>147910</xdr:rowOff>
    </xdr:from>
    <xdr:to>
      <xdr:col>26</xdr:col>
      <xdr:colOff>507276</xdr:colOff>
      <xdr:row>178</xdr:row>
      <xdr:rowOff>172311</xdr:rowOff>
    </xdr:to>
    <xdr:cxnSp macro="">
      <xdr:nvCxnSpPr>
        <xdr:cNvPr id="502" name="Connector: Elbow 351">
          <a:extLst>
            <a:ext uri="{FF2B5EF4-FFF2-40B4-BE49-F238E27FC236}">
              <a16:creationId xmlns:a16="http://schemas.microsoft.com/office/drawing/2014/main" id="{F7094FEC-1C8D-4E1F-8E8A-0ACAADBA6963}"/>
            </a:ext>
          </a:extLst>
        </xdr:cNvPr>
        <xdr:cNvCxnSpPr>
          <a:stCxn id="496" idx="3"/>
          <a:endCxn id="501" idx="3"/>
        </xdr:cNvCxnSpPr>
      </xdr:nvCxnSpPr>
      <xdr:spPr>
        <a:xfrm flipV="1">
          <a:off x="15389275" y="13863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1896</xdr:colOff>
      <xdr:row>167</xdr:row>
      <xdr:rowOff>177244</xdr:rowOff>
    </xdr:from>
    <xdr:to>
      <xdr:col>25</xdr:col>
      <xdr:colOff>241382</xdr:colOff>
      <xdr:row>170</xdr:row>
      <xdr:rowOff>139847</xdr:rowOff>
    </xdr:to>
    <xdr:sp macro="" textlink="">
      <xdr:nvSpPr>
        <xdr:cNvPr id="504" name="Rectangle: Rounded Corners 503">
          <a:extLst>
            <a:ext uri="{FF2B5EF4-FFF2-40B4-BE49-F238E27FC236}">
              <a16:creationId xmlns:a16="http://schemas.microsoft.com/office/drawing/2014/main" id="{67D7F5DD-0E95-4EA4-98DE-67C6A96152CF}"/>
            </a:ext>
          </a:extLst>
        </xdr:cNvPr>
        <xdr:cNvSpPr/>
      </xdr:nvSpPr>
      <xdr:spPr>
        <a:xfrm>
          <a:off x="14632296" y="30763924"/>
          <a:ext cx="849086" cy="5112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22</xdr:col>
      <xdr:colOff>149679</xdr:colOff>
      <xdr:row>169</xdr:row>
      <xdr:rowOff>67107</xdr:rowOff>
    </xdr:from>
    <xdr:to>
      <xdr:col>24</xdr:col>
      <xdr:colOff>1896</xdr:colOff>
      <xdr:row>176</xdr:row>
      <xdr:rowOff>0</xdr:rowOff>
    </xdr:to>
    <xdr:cxnSp macro="">
      <xdr:nvCxnSpPr>
        <xdr:cNvPr id="506" name="Connector: Elbow 505">
          <a:extLst>
            <a:ext uri="{FF2B5EF4-FFF2-40B4-BE49-F238E27FC236}">
              <a16:creationId xmlns:a16="http://schemas.microsoft.com/office/drawing/2014/main" id="{2FF36D11-7842-4DDD-971A-91D5A0028DB5}"/>
            </a:ext>
          </a:extLst>
        </xdr:cNvPr>
        <xdr:cNvCxnSpPr>
          <a:cxnSpLocks/>
          <a:stCxn id="497" idx="0"/>
          <a:endCxn id="504" idx="1"/>
        </xdr:cNvCxnSpPr>
      </xdr:nvCxnSpPr>
      <xdr:spPr>
        <a:xfrm rot="5400000" flipH="1" flipV="1">
          <a:off x="13490061" y="31090365"/>
          <a:ext cx="1213053" cy="107141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446667</xdr:colOff>
      <xdr:row>168</xdr:row>
      <xdr:rowOff>119380</xdr:rowOff>
    </xdr:from>
    <xdr:to>
      <xdr:col>27</xdr:col>
      <xdr:colOff>43896</xdr:colOff>
      <xdr:row>169</xdr:row>
      <xdr:rowOff>166188</xdr:rowOff>
    </xdr:to>
    <xdr:sp macro="" textlink="">
      <xdr:nvSpPr>
        <xdr:cNvPr id="507" name="Isosceles Triangle 506">
          <a:extLst>
            <a:ext uri="{FF2B5EF4-FFF2-40B4-BE49-F238E27FC236}">
              <a16:creationId xmlns:a16="http://schemas.microsoft.com/office/drawing/2014/main" id="{0035D927-66A6-4D33-A0BE-C0EB52DCD5F1}"/>
            </a:ext>
          </a:extLst>
        </xdr:cNvPr>
        <xdr:cNvSpPr/>
      </xdr:nvSpPr>
      <xdr:spPr>
        <a:xfrm rot="5400000">
          <a:off x="16284838" y="3090036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241382</xdr:colOff>
      <xdr:row>169</xdr:row>
      <xdr:rowOff>51344</xdr:rowOff>
    </xdr:from>
    <xdr:to>
      <xdr:col>26</xdr:col>
      <xdr:colOff>446668</xdr:colOff>
      <xdr:row>169</xdr:row>
      <xdr:rowOff>67106</xdr:rowOff>
    </xdr:to>
    <xdr:cxnSp macro="">
      <xdr:nvCxnSpPr>
        <xdr:cNvPr id="508" name="Connector: Elbow 351">
          <a:extLst>
            <a:ext uri="{FF2B5EF4-FFF2-40B4-BE49-F238E27FC236}">
              <a16:creationId xmlns:a16="http://schemas.microsoft.com/office/drawing/2014/main" id="{F5DE0AF6-5EF1-46BC-9F63-B4889D840E26}"/>
            </a:ext>
          </a:extLst>
        </xdr:cNvPr>
        <xdr:cNvCxnSpPr>
          <a:cxnSpLocks/>
          <a:stCxn id="504" idx="3"/>
          <a:endCxn id="507" idx="3"/>
        </xdr:cNvCxnSpPr>
      </xdr:nvCxnSpPr>
      <xdr:spPr>
        <a:xfrm flipV="1">
          <a:off x="15481382" y="31003784"/>
          <a:ext cx="814886" cy="1576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184</xdr:row>
      <xdr:rowOff>26442</xdr:rowOff>
    </xdr:from>
    <xdr:to>
      <xdr:col>25</xdr:col>
      <xdr:colOff>179755</xdr:colOff>
      <xdr:row>186</xdr:row>
      <xdr:rowOff>165780</xdr:rowOff>
    </xdr:to>
    <xdr:sp macro="" textlink="">
      <xdr:nvSpPr>
        <xdr:cNvPr id="512" name="Rectangle: Rounded Corners 511">
          <a:extLst>
            <a:ext uri="{FF2B5EF4-FFF2-40B4-BE49-F238E27FC236}">
              <a16:creationId xmlns:a16="http://schemas.microsoft.com/office/drawing/2014/main" id="{5535AF36-3B2A-4435-A093-BFB3AA6D3997}"/>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177</xdr:row>
      <xdr:rowOff>76199</xdr:rowOff>
    </xdr:from>
    <xdr:to>
      <xdr:col>23</xdr:col>
      <xdr:colOff>549869</xdr:colOff>
      <xdr:row>185</xdr:row>
      <xdr:rowOff>96111</xdr:rowOff>
    </xdr:to>
    <xdr:cxnSp macro="">
      <xdr:nvCxnSpPr>
        <xdr:cNvPr id="513" name="Connector: Elbow 512">
          <a:extLst>
            <a:ext uri="{FF2B5EF4-FFF2-40B4-BE49-F238E27FC236}">
              <a16:creationId xmlns:a16="http://schemas.microsoft.com/office/drawing/2014/main" id="{7AD76653-F17F-4AFD-B393-F70049F2CB46}"/>
            </a:ext>
          </a:extLst>
        </xdr:cNvPr>
        <xdr:cNvCxnSpPr>
          <a:stCxn id="497" idx="4"/>
          <a:endCxn id="512"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184</xdr:row>
      <xdr:rowOff>181655</xdr:rowOff>
    </xdr:from>
    <xdr:to>
      <xdr:col>27</xdr:col>
      <xdr:colOff>241664</xdr:colOff>
      <xdr:row>186</xdr:row>
      <xdr:rowOff>53203</xdr:rowOff>
    </xdr:to>
    <xdr:sp macro="" textlink="">
      <xdr:nvSpPr>
        <xdr:cNvPr id="514" name="Isosceles Triangle 513">
          <a:extLst>
            <a:ext uri="{FF2B5EF4-FFF2-40B4-BE49-F238E27FC236}">
              <a16:creationId xmlns:a16="http://schemas.microsoft.com/office/drawing/2014/main" id="{321E4A45-61F4-4EF2-893F-F3316CBE61C4}"/>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185</xdr:row>
      <xdr:rowOff>96111</xdr:rowOff>
    </xdr:from>
    <xdr:to>
      <xdr:col>27</xdr:col>
      <xdr:colOff>34836</xdr:colOff>
      <xdr:row>185</xdr:row>
      <xdr:rowOff>117429</xdr:rowOff>
    </xdr:to>
    <xdr:cxnSp macro="">
      <xdr:nvCxnSpPr>
        <xdr:cNvPr id="515" name="Connector: Elbow 351">
          <a:extLst>
            <a:ext uri="{FF2B5EF4-FFF2-40B4-BE49-F238E27FC236}">
              <a16:creationId xmlns:a16="http://schemas.microsoft.com/office/drawing/2014/main" id="{0D53E739-0BAD-4D19-A03C-C6B0E4FFAFDF}"/>
            </a:ext>
          </a:extLst>
        </xdr:cNvPr>
        <xdr:cNvCxnSpPr>
          <a:stCxn id="512" idx="3"/>
          <a:endCxn id="514"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594904</xdr:colOff>
      <xdr:row>243</xdr:row>
      <xdr:rowOff>81643</xdr:rowOff>
    </xdr:from>
    <xdr:to>
      <xdr:col>17</xdr:col>
      <xdr:colOff>224790</xdr:colOff>
      <xdr:row>246</xdr:row>
      <xdr:rowOff>38100</xdr:rowOff>
    </xdr:to>
    <xdr:sp macro="" textlink="">
      <xdr:nvSpPr>
        <xdr:cNvPr id="517" name="Rectangle: Rounded Corners 516">
          <a:extLst>
            <a:ext uri="{FF2B5EF4-FFF2-40B4-BE49-F238E27FC236}">
              <a16:creationId xmlns:a16="http://schemas.microsoft.com/office/drawing/2014/main" id="{4B34ED71-86D5-4BD1-9571-7D8CB39102C8}"/>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16</xdr:col>
      <xdr:colOff>283573</xdr:colOff>
      <xdr:row>282</xdr:row>
      <xdr:rowOff>81099</xdr:rowOff>
    </xdr:from>
    <xdr:to>
      <xdr:col>17</xdr:col>
      <xdr:colOff>523059</xdr:colOff>
      <xdr:row>285</xdr:row>
      <xdr:rowOff>30480</xdr:rowOff>
    </xdr:to>
    <xdr:sp macro="" textlink="">
      <xdr:nvSpPr>
        <xdr:cNvPr id="518" name="Rectangle: Rounded Corners 517">
          <a:extLst>
            <a:ext uri="{FF2B5EF4-FFF2-40B4-BE49-F238E27FC236}">
              <a16:creationId xmlns:a16="http://schemas.microsoft.com/office/drawing/2014/main" id="{1F610E76-9EB8-4BC1-A4AC-3764E09108FD}"/>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15</xdr:col>
      <xdr:colOff>1</xdr:colOff>
      <xdr:row>244</xdr:row>
      <xdr:rowOff>151313</xdr:rowOff>
    </xdr:from>
    <xdr:to>
      <xdr:col>15</xdr:col>
      <xdr:colOff>594904</xdr:colOff>
      <xdr:row>250</xdr:row>
      <xdr:rowOff>100148</xdr:rowOff>
    </xdr:to>
    <xdr:cxnSp macro="">
      <xdr:nvCxnSpPr>
        <xdr:cNvPr id="519" name="Connector: Elbow 518">
          <a:extLst>
            <a:ext uri="{FF2B5EF4-FFF2-40B4-BE49-F238E27FC236}">
              <a16:creationId xmlns:a16="http://schemas.microsoft.com/office/drawing/2014/main" id="{05C0B0BC-3C91-4B60-998E-A637F5614060}"/>
            </a:ext>
          </a:extLst>
        </xdr:cNvPr>
        <xdr:cNvCxnSpPr>
          <a:stCxn id="521" idx="0"/>
          <a:endCxn id="517"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xdr:colOff>
      <xdr:row>251</xdr:row>
      <xdr:rowOff>176346</xdr:rowOff>
    </xdr:from>
    <xdr:to>
      <xdr:col>16</xdr:col>
      <xdr:colOff>283574</xdr:colOff>
      <xdr:row>283</xdr:row>
      <xdr:rowOff>147229</xdr:rowOff>
    </xdr:to>
    <xdr:cxnSp macro="">
      <xdr:nvCxnSpPr>
        <xdr:cNvPr id="520" name="Connector: Elbow 519">
          <a:extLst>
            <a:ext uri="{FF2B5EF4-FFF2-40B4-BE49-F238E27FC236}">
              <a16:creationId xmlns:a16="http://schemas.microsoft.com/office/drawing/2014/main" id="{A27C9AC4-1E3D-42CD-A0DF-A3F318F7447D}"/>
            </a:ext>
          </a:extLst>
        </xdr:cNvPr>
        <xdr:cNvCxnSpPr>
          <a:stCxn id="521" idx="4"/>
          <a:endCxn id="518"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451758</xdr:colOff>
      <xdr:row>250</xdr:row>
      <xdr:rowOff>100147</xdr:rowOff>
    </xdr:from>
    <xdr:to>
      <xdr:col>15</xdr:col>
      <xdr:colOff>157843</xdr:colOff>
      <xdr:row>251</xdr:row>
      <xdr:rowOff>176347</xdr:rowOff>
    </xdr:to>
    <xdr:sp macro="" textlink="">
      <xdr:nvSpPr>
        <xdr:cNvPr id="521" name="Oval 520">
          <a:extLst>
            <a:ext uri="{FF2B5EF4-FFF2-40B4-BE49-F238E27FC236}">
              <a16:creationId xmlns:a16="http://schemas.microsoft.com/office/drawing/2014/main" id="{E608F88E-DB2C-4D05-B43B-E938391695FF}"/>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523059</xdr:colOff>
      <xdr:row>283</xdr:row>
      <xdr:rowOff>147230</xdr:rowOff>
    </xdr:from>
    <xdr:to>
      <xdr:col>19</xdr:col>
      <xdr:colOff>516528</xdr:colOff>
      <xdr:row>283</xdr:row>
      <xdr:rowOff>166551</xdr:rowOff>
    </xdr:to>
    <xdr:cxnSp macro="">
      <xdr:nvCxnSpPr>
        <xdr:cNvPr id="522" name="Connector: Elbow 351">
          <a:extLst>
            <a:ext uri="{FF2B5EF4-FFF2-40B4-BE49-F238E27FC236}">
              <a16:creationId xmlns:a16="http://schemas.microsoft.com/office/drawing/2014/main" id="{6D703A2A-AB95-4F12-9B4F-F49037C4B48A}"/>
            </a:ext>
          </a:extLst>
        </xdr:cNvPr>
        <xdr:cNvCxnSpPr>
          <a:cxnSpLocks/>
          <a:stCxn id="518" idx="3"/>
          <a:endCxn id="560"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141514</xdr:colOff>
      <xdr:row>226</xdr:row>
      <xdr:rowOff>57150</xdr:rowOff>
    </xdr:from>
    <xdr:to>
      <xdr:col>20</xdr:col>
      <xdr:colOff>381000</xdr:colOff>
      <xdr:row>229</xdr:row>
      <xdr:rowOff>8164</xdr:rowOff>
    </xdr:to>
    <xdr:sp macro="" textlink="">
      <xdr:nvSpPr>
        <xdr:cNvPr id="523" name="Rectangle: Rounded Corners 522">
          <a:extLst>
            <a:ext uri="{FF2B5EF4-FFF2-40B4-BE49-F238E27FC236}">
              <a16:creationId xmlns:a16="http://schemas.microsoft.com/office/drawing/2014/main" id="{EDFC3755-099F-4ADD-847C-16AA6F6BFEE7}"/>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19</xdr:col>
      <xdr:colOff>547042</xdr:colOff>
      <xdr:row>241</xdr:row>
      <xdr:rowOff>144797</xdr:rowOff>
    </xdr:from>
    <xdr:to>
      <xdr:col>21</xdr:col>
      <xdr:colOff>176928</xdr:colOff>
      <xdr:row>244</xdr:row>
      <xdr:rowOff>95110</xdr:rowOff>
    </xdr:to>
    <xdr:sp macro="" textlink="">
      <xdr:nvSpPr>
        <xdr:cNvPr id="524" name="Rectangle: Rounded Corners 523">
          <a:extLst>
            <a:ext uri="{FF2B5EF4-FFF2-40B4-BE49-F238E27FC236}">
              <a16:creationId xmlns:a16="http://schemas.microsoft.com/office/drawing/2014/main" id="{87E89160-25B5-4E44-B8B6-0231465BF038}"/>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250</xdr:row>
      <xdr:rowOff>127907</xdr:rowOff>
    </xdr:from>
    <xdr:to>
      <xdr:col>21</xdr:col>
      <xdr:colOff>117022</xdr:colOff>
      <xdr:row>253</xdr:row>
      <xdr:rowOff>78922</xdr:rowOff>
    </xdr:to>
    <xdr:sp macro="" textlink="">
      <xdr:nvSpPr>
        <xdr:cNvPr id="525" name="Rectangle: Rounded Corners 524">
          <a:extLst>
            <a:ext uri="{FF2B5EF4-FFF2-40B4-BE49-F238E27FC236}">
              <a16:creationId xmlns:a16="http://schemas.microsoft.com/office/drawing/2014/main" id="{CF90F672-F890-44CF-9D90-8832FE8B646E}"/>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18</xdr:col>
      <xdr:colOff>13608</xdr:colOff>
      <xdr:row>244</xdr:row>
      <xdr:rowOff>21771</xdr:rowOff>
    </xdr:from>
    <xdr:to>
      <xdr:col>18</xdr:col>
      <xdr:colOff>329293</xdr:colOff>
      <xdr:row>245</xdr:row>
      <xdr:rowOff>97970</xdr:rowOff>
    </xdr:to>
    <xdr:sp macro="" textlink="">
      <xdr:nvSpPr>
        <xdr:cNvPr id="526" name="Oval 525">
          <a:extLst>
            <a:ext uri="{FF2B5EF4-FFF2-40B4-BE49-F238E27FC236}">
              <a16:creationId xmlns:a16="http://schemas.microsoft.com/office/drawing/2014/main" id="{2E2549FF-5160-4F22-A349-B92BF72DFE43}"/>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224790</xdr:colOff>
      <xdr:row>244</xdr:row>
      <xdr:rowOff>151311</xdr:rowOff>
    </xdr:from>
    <xdr:to>
      <xdr:col>18</xdr:col>
      <xdr:colOff>13608</xdr:colOff>
      <xdr:row>244</xdr:row>
      <xdr:rowOff>151312</xdr:rowOff>
    </xdr:to>
    <xdr:cxnSp macro="">
      <xdr:nvCxnSpPr>
        <xdr:cNvPr id="527" name="Connector: Elbow 42">
          <a:extLst>
            <a:ext uri="{FF2B5EF4-FFF2-40B4-BE49-F238E27FC236}">
              <a16:creationId xmlns:a16="http://schemas.microsoft.com/office/drawing/2014/main" id="{ED8D13CC-927C-4046-800F-75325CACE98C}"/>
            </a:ext>
          </a:extLst>
        </xdr:cNvPr>
        <xdr:cNvCxnSpPr>
          <a:cxnSpLocks/>
          <a:stCxn id="517" idx="3"/>
          <a:endCxn id="526"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171450</xdr:colOff>
      <xdr:row>227</xdr:row>
      <xdr:rowOff>127908</xdr:rowOff>
    </xdr:from>
    <xdr:to>
      <xdr:col>19</xdr:col>
      <xdr:colOff>141513</xdr:colOff>
      <xdr:row>244</xdr:row>
      <xdr:rowOff>21772</xdr:rowOff>
    </xdr:to>
    <xdr:cxnSp macro="">
      <xdr:nvCxnSpPr>
        <xdr:cNvPr id="528" name="Connector: Elbow 527">
          <a:extLst>
            <a:ext uri="{FF2B5EF4-FFF2-40B4-BE49-F238E27FC236}">
              <a16:creationId xmlns:a16="http://schemas.microsoft.com/office/drawing/2014/main" id="{35871F02-9149-43DE-91FB-288B919CF539}"/>
            </a:ext>
          </a:extLst>
        </xdr:cNvPr>
        <xdr:cNvCxnSpPr>
          <a:stCxn id="526" idx="0"/>
          <a:endCxn id="523"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329293</xdr:colOff>
      <xdr:row>243</xdr:row>
      <xdr:rowOff>28514</xdr:rowOff>
    </xdr:from>
    <xdr:to>
      <xdr:col>19</xdr:col>
      <xdr:colOff>547042</xdr:colOff>
      <xdr:row>244</xdr:row>
      <xdr:rowOff>151311</xdr:rowOff>
    </xdr:to>
    <xdr:cxnSp macro="">
      <xdr:nvCxnSpPr>
        <xdr:cNvPr id="529" name="Connector: Elbow 528">
          <a:extLst>
            <a:ext uri="{FF2B5EF4-FFF2-40B4-BE49-F238E27FC236}">
              <a16:creationId xmlns:a16="http://schemas.microsoft.com/office/drawing/2014/main" id="{941AB4E7-7E9F-4AFF-8FAF-D4EC13A3279C}"/>
            </a:ext>
          </a:extLst>
        </xdr:cNvPr>
        <xdr:cNvCxnSpPr>
          <a:stCxn id="526" idx="6"/>
          <a:endCxn id="524"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171451</xdr:colOff>
      <xdr:row>245</xdr:row>
      <xdr:rowOff>97969</xdr:rowOff>
    </xdr:from>
    <xdr:to>
      <xdr:col>19</xdr:col>
      <xdr:colOff>487136</xdr:colOff>
      <xdr:row>252</xdr:row>
      <xdr:rowOff>8164</xdr:rowOff>
    </xdr:to>
    <xdr:cxnSp macro="">
      <xdr:nvCxnSpPr>
        <xdr:cNvPr id="530" name="Connector: Elbow 529">
          <a:extLst>
            <a:ext uri="{FF2B5EF4-FFF2-40B4-BE49-F238E27FC236}">
              <a16:creationId xmlns:a16="http://schemas.microsoft.com/office/drawing/2014/main" id="{5994BA27-83DB-4F6A-A704-4A93885A1B72}"/>
            </a:ext>
          </a:extLst>
        </xdr:cNvPr>
        <xdr:cNvCxnSpPr>
          <a:stCxn id="526" idx="4"/>
          <a:endCxn id="525"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251</xdr:row>
      <xdr:rowOff>76206</xdr:rowOff>
    </xdr:from>
    <xdr:to>
      <xdr:col>22</xdr:col>
      <xdr:colOff>310244</xdr:colOff>
      <xdr:row>252</xdr:row>
      <xdr:rowOff>130634</xdr:rowOff>
    </xdr:to>
    <xdr:sp macro="" textlink="">
      <xdr:nvSpPr>
        <xdr:cNvPr id="531" name="Isosceles Triangle 530">
          <a:extLst>
            <a:ext uri="{FF2B5EF4-FFF2-40B4-BE49-F238E27FC236}">
              <a16:creationId xmlns:a16="http://schemas.microsoft.com/office/drawing/2014/main" id="{3B29446E-5D1C-4EA1-88CF-7B4886BDE77D}"/>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252</xdr:row>
      <xdr:rowOff>8165</xdr:rowOff>
    </xdr:from>
    <xdr:to>
      <xdr:col>22</xdr:col>
      <xdr:colOff>103416</xdr:colOff>
      <xdr:row>252</xdr:row>
      <xdr:rowOff>8170</xdr:rowOff>
    </xdr:to>
    <xdr:cxnSp macro="">
      <xdr:nvCxnSpPr>
        <xdr:cNvPr id="532" name="Connector: Elbow 351">
          <a:extLst>
            <a:ext uri="{FF2B5EF4-FFF2-40B4-BE49-F238E27FC236}">
              <a16:creationId xmlns:a16="http://schemas.microsoft.com/office/drawing/2014/main" id="{A77244AB-D3D7-4546-A38B-A8AF5B31276D}"/>
            </a:ext>
          </a:extLst>
        </xdr:cNvPr>
        <xdr:cNvCxnSpPr>
          <a:stCxn id="525" idx="3"/>
          <a:endCxn id="531"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242</xdr:row>
      <xdr:rowOff>74114</xdr:rowOff>
    </xdr:from>
    <xdr:to>
      <xdr:col>22</xdr:col>
      <xdr:colOff>500375</xdr:colOff>
      <xdr:row>243</xdr:row>
      <xdr:rowOff>134687</xdr:rowOff>
    </xdr:to>
    <xdr:sp macro="" textlink="">
      <xdr:nvSpPr>
        <xdr:cNvPr id="533" name="Isosceles Triangle 532">
          <a:extLst>
            <a:ext uri="{FF2B5EF4-FFF2-40B4-BE49-F238E27FC236}">
              <a16:creationId xmlns:a16="http://schemas.microsoft.com/office/drawing/2014/main" id="{4BB936D1-D86E-4EEA-A447-5CC42C70ACAB}"/>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243</xdr:row>
      <xdr:rowOff>12961</xdr:rowOff>
    </xdr:from>
    <xdr:to>
      <xdr:col>22</xdr:col>
      <xdr:colOff>293546</xdr:colOff>
      <xdr:row>243</xdr:row>
      <xdr:rowOff>28514</xdr:rowOff>
    </xdr:to>
    <xdr:cxnSp macro="">
      <xdr:nvCxnSpPr>
        <xdr:cNvPr id="534" name="Connector: Elbow 351">
          <a:extLst>
            <a:ext uri="{FF2B5EF4-FFF2-40B4-BE49-F238E27FC236}">
              <a16:creationId xmlns:a16="http://schemas.microsoft.com/office/drawing/2014/main" id="{7E7B9E25-D272-47B6-8D0B-BAF811ACBA35}"/>
            </a:ext>
          </a:extLst>
        </xdr:cNvPr>
        <xdr:cNvCxnSpPr>
          <a:stCxn id="524" idx="3"/>
          <a:endCxn id="533"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480604</xdr:colOff>
      <xdr:row>217</xdr:row>
      <xdr:rowOff>171450</xdr:rowOff>
    </xdr:from>
    <xdr:to>
      <xdr:col>25</xdr:col>
      <xdr:colOff>110490</xdr:colOff>
      <xdr:row>220</xdr:row>
      <xdr:rowOff>130084</xdr:rowOff>
    </xdr:to>
    <xdr:sp macro="" textlink="">
      <xdr:nvSpPr>
        <xdr:cNvPr id="535" name="Rectangle: Rounded Corners 534">
          <a:extLst>
            <a:ext uri="{FF2B5EF4-FFF2-40B4-BE49-F238E27FC236}">
              <a16:creationId xmlns:a16="http://schemas.microsoft.com/office/drawing/2014/main" id="{DF3F17E2-3273-4A44-9F66-1E50D7FE30BB}"/>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23</xdr:col>
      <xdr:colOff>519389</xdr:colOff>
      <xdr:row>228</xdr:row>
      <xdr:rowOff>102642</xdr:rowOff>
    </xdr:from>
    <xdr:to>
      <xdr:col>25</xdr:col>
      <xdr:colOff>149275</xdr:colOff>
      <xdr:row>231</xdr:row>
      <xdr:rowOff>59100</xdr:rowOff>
    </xdr:to>
    <xdr:sp macro="" textlink="">
      <xdr:nvSpPr>
        <xdr:cNvPr id="536" name="Rectangle: Rounded Corners 535">
          <a:extLst>
            <a:ext uri="{FF2B5EF4-FFF2-40B4-BE49-F238E27FC236}">
              <a16:creationId xmlns:a16="http://schemas.microsoft.com/office/drawing/2014/main" id="{CD92D4D1-4D80-495B-8850-94551E3C4064}"/>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227</xdr:row>
      <xdr:rowOff>-1</xdr:rowOff>
    </xdr:from>
    <xdr:to>
      <xdr:col>22</xdr:col>
      <xdr:colOff>307521</xdr:colOff>
      <xdr:row>228</xdr:row>
      <xdr:rowOff>76199</xdr:rowOff>
    </xdr:to>
    <xdr:sp macro="" textlink="">
      <xdr:nvSpPr>
        <xdr:cNvPr id="537" name="Oval 536">
          <a:extLst>
            <a:ext uri="{FF2B5EF4-FFF2-40B4-BE49-F238E27FC236}">
              <a16:creationId xmlns:a16="http://schemas.microsoft.com/office/drawing/2014/main" id="{217185E1-11AC-457E-AF25-DDAFEB2EA7F7}"/>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20</xdr:col>
      <xdr:colOff>381000</xdr:colOff>
      <xdr:row>227</xdr:row>
      <xdr:rowOff>127907</xdr:rowOff>
    </xdr:from>
    <xdr:to>
      <xdr:col>21</xdr:col>
      <xdr:colOff>601436</xdr:colOff>
      <xdr:row>227</xdr:row>
      <xdr:rowOff>133349</xdr:rowOff>
    </xdr:to>
    <xdr:cxnSp macro="">
      <xdr:nvCxnSpPr>
        <xdr:cNvPr id="538" name="Connector: Elbow 42">
          <a:extLst>
            <a:ext uri="{FF2B5EF4-FFF2-40B4-BE49-F238E27FC236}">
              <a16:creationId xmlns:a16="http://schemas.microsoft.com/office/drawing/2014/main" id="{1269809A-D529-46C1-9E82-AE82DE9A67AB}"/>
            </a:ext>
          </a:extLst>
        </xdr:cNvPr>
        <xdr:cNvCxnSpPr>
          <a:cxnSpLocks/>
          <a:stCxn id="523" idx="3"/>
          <a:endCxn id="537"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149678</xdr:colOff>
      <xdr:row>219</xdr:row>
      <xdr:rowOff>59328</xdr:rowOff>
    </xdr:from>
    <xdr:to>
      <xdr:col>23</xdr:col>
      <xdr:colOff>480603</xdr:colOff>
      <xdr:row>227</xdr:row>
      <xdr:rowOff>0</xdr:rowOff>
    </xdr:to>
    <xdr:cxnSp macro="">
      <xdr:nvCxnSpPr>
        <xdr:cNvPr id="539" name="Connector: Elbow 538">
          <a:extLst>
            <a:ext uri="{FF2B5EF4-FFF2-40B4-BE49-F238E27FC236}">
              <a16:creationId xmlns:a16="http://schemas.microsoft.com/office/drawing/2014/main" id="{38357B5D-4C78-4007-954F-A44CADBC6EEF}"/>
            </a:ext>
          </a:extLst>
        </xdr:cNvPr>
        <xdr:cNvCxnSpPr>
          <a:stCxn id="537" idx="0"/>
          <a:endCxn id="535"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228</xdr:row>
      <xdr:rowOff>76199</xdr:rowOff>
    </xdr:from>
    <xdr:to>
      <xdr:col>23</xdr:col>
      <xdr:colOff>519389</xdr:colOff>
      <xdr:row>229</xdr:row>
      <xdr:rowOff>172311</xdr:rowOff>
    </xdr:to>
    <xdr:cxnSp macro="">
      <xdr:nvCxnSpPr>
        <xdr:cNvPr id="540" name="Connector: Elbow 539">
          <a:extLst>
            <a:ext uri="{FF2B5EF4-FFF2-40B4-BE49-F238E27FC236}">
              <a16:creationId xmlns:a16="http://schemas.microsoft.com/office/drawing/2014/main" id="{6AFBC7FD-64CE-48CB-8A55-C8C92A1E60CF}"/>
            </a:ext>
          </a:extLst>
        </xdr:cNvPr>
        <xdr:cNvCxnSpPr>
          <a:stCxn id="537" idx="4"/>
          <a:endCxn id="536"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229</xdr:row>
      <xdr:rowOff>29256</xdr:rowOff>
    </xdr:from>
    <xdr:to>
      <xdr:col>27</xdr:col>
      <xdr:colOff>104504</xdr:colOff>
      <xdr:row>230</xdr:row>
      <xdr:rowOff>83684</xdr:rowOff>
    </xdr:to>
    <xdr:sp macro="" textlink="">
      <xdr:nvSpPr>
        <xdr:cNvPr id="541" name="Isosceles Triangle 540">
          <a:extLst>
            <a:ext uri="{FF2B5EF4-FFF2-40B4-BE49-F238E27FC236}">
              <a16:creationId xmlns:a16="http://schemas.microsoft.com/office/drawing/2014/main" id="{FA2E5AF6-99DE-46F4-A938-A9F4C5997A23}"/>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229</xdr:row>
      <xdr:rowOff>147910</xdr:rowOff>
    </xdr:from>
    <xdr:to>
      <xdr:col>26</xdr:col>
      <xdr:colOff>507276</xdr:colOff>
      <xdr:row>229</xdr:row>
      <xdr:rowOff>172311</xdr:rowOff>
    </xdr:to>
    <xdr:cxnSp macro="">
      <xdr:nvCxnSpPr>
        <xdr:cNvPr id="542" name="Connector: Elbow 351">
          <a:extLst>
            <a:ext uri="{FF2B5EF4-FFF2-40B4-BE49-F238E27FC236}">
              <a16:creationId xmlns:a16="http://schemas.microsoft.com/office/drawing/2014/main" id="{387F2498-0E09-41C0-863B-41AFCDCEE24F}"/>
            </a:ext>
          </a:extLst>
        </xdr:cNvPr>
        <xdr:cNvCxnSpPr>
          <a:stCxn id="536" idx="3"/>
          <a:endCxn id="541"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110490</xdr:colOff>
      <xdr:row>219</xdr:row>
      <xdr:rowOff>59327</xdr:rowOff>
    </xdr:from>
    <xdr:to>
      <xdr:col>26</xdr:col>
      <xdr:colOff>400948</xdr:colOff>
      <xdr:row>219</xdr:row>
      <xdr:rowOff>81824</xdr:rowOff>
    </xdr:to>
    <xdr:cxnSp macro="">
      <xdr:nvCxnSpPr>
        <xdr:cNvPr id="549" name="Connector: Elbow 42">
          <a:extLst>
            <a:ext uri="{FF2B5EF4-FFF2-40B4-BE49-F238E27FC236}">
              <a16:creationId xmlns:a16="http://schemas.microsoft.com/office/drawing/2014/main" id="{B516959E-76E1-46A6-899A-3D4B2D78C23F}"/>
            </a:ext>
          </a:extLst>
        </xdr:cNvPr>
        <xdr:cNvCxnSpPr>
          <a:cxnSpLocks/>
          <a:stCxn id="535" idx="3"/>
          <a:endCxn id="556"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235</xdr:row>
      <xdr:rowOff>26442</xdr:rowOff>
    </xdr:from>
    <xdr:to>
      <xdr:col>25</xdr:col>
      <xdr:colOff>179755</xdr:colOff>
      <xdr:row>237</xdr:row>
      <xdr:rowOff>165780</xdr:rowOff>
    </xdr:to>
    <xdr:sp macro="" textlink="">
      <xdr:nvSpPr>
        <xdr:cNvPr id="552" name="Rectangle: Rounded Corners 551">
          <a:extLst>
            <a:ext uri="{FF2B5EF4-FFF2-40B4-BE49-F238E27FC236}">
              <a16:creationId xmlns:a16="http://schemas.microsoft.com/office/drawing/2014/main" id="{8C65620A-4414-4135-B77C-845153D60D5A}"/>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228</xdr:row>
      <xdr:rowOff>76199</xdr:rowOff>
    </xdr:from>
    <xdr:to>
      <xdr:col>23</xdr:col>
      <xdr:colOff>549869</xdr:colOff>
      <xdr:row>236</xdr:row>
      <xdr:rowOff>96111</xdr:rowOff>
    </xdr:to>
    <xdr:cxnSp macro="">
      <xdr:nvCxnSpPr>
        <xdr:cNvPr id="553" name="Connector: Elbow 552">
          <a:extLst>
            <a:ext uri="{FF2B5EF4-FFF2-40B4-BE49-F238E27FC236}">
              <a16:creationId xmlns:a16="http://schemas.microsoft.com/office/drawing/2014/main" id="{950D66AE-830F-4CC9-B5EE-D5CBC7612937}"/>
            </a:ext>
          </a:extLst>
        </xdr:cNvPr>
        <xdr:cNvCxnSpPr>
          <a:stCxn id="537" idx="4"/>
          <a:endCxn id="552"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235</xdr:row>
      <xdr:rowOff>181655</xdr:rowOff>
    </xdr:from>
    <xdr:to>
      <xdr:col>27</xdr:col>
      <xdr:colOff>241664</xdr:colOff>
      <xdr:row>237</xdr:row>
      <xdr:rowOff>53203</xdr:rowOff>
    </xdr:to>
    <xdr:sp macro="" textlink="">
      <xdr:nvSpPr>
        <xdr:cNvPr id="554" name="Isosceles Triangle 553">
          <a:extLst>
            <a:ext uri="{FF2B5EF4-FFF2-40B4-BE49-F238E27FC236}">
              <a16:creationId xmlns:a16="http://schemas.microsoft.com/office/drawing/2014/main" id="{10E56DFA-3BAB-4F2B-8911-94909E91161A}"/>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236</xdr:row>
      <xdr:rowOff>96111</xdr:rowOff>
    </xdr:from>
    <xdr:to>
      <xdr:col>27</xdr:col>
      <xdr:colOff>34836</xdr:colOff>
      <xdr:row>236</xdr:row>
      <xdr:rowOff>117429</xdr:rowOff>
    </xdr:to>
    <xdr:cxnSp macro="">
      <xdr:nvCxnSpPr>
        <xdr:cNvPr id="555" name="Connector: Elbow 351">
          <a:extLst>
            <a:ext uri="{FF2B5EF4-FFF2-40B4-BE49-F238E27FC236}">
              <a16:creationId xmlns:a16="http://schemas.microsoft.com/office/drawing/2014/main" id="{D8DFE6A7-9A5A-4C9E-A827-59DFAD85BF9D}"/>
            </a:ext>
          </a:extLst>
        </xdr:cNvPr>
        <xdr:cNvCxnSpPr>
          <a:stCxn id="552" idx="3"/>
          <a:endCxn id="554"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400947</xdr:colOff>
      <xdr:row>218</xdr:row>
      <xdr:rowOff>149860</xdr:rowOff>
    </xdr:from>
    <xdr:to>
      <xdr:col>26</xdr:col>
      <xdr:colOff>607776</xdr:colOff>
      <xdr:row>220</xdr:row>
      <xdr:rowOff>13788</xdr:rowOff>
    </xdr:to>
    <xdr:sp macro="" textlink="">
      <xdr:nvSpPr>
        <xdr:cNvPr id="556" name="Isosceles Triangle 555">
          <a:extLst>
            <a:ext uri="{FF2B5EF4-FFF2-40B4-BE49-F238E27FC236}">
              <a16:creationId xmlns:a16="http://schemas.microsoft.com/office/drawing/2014/main" id="{193DA85B-1CFF-4BB7-8E01-BB7533815F9D}"/>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385354</xdr:colOff>
      <xdr:row>276</xdr:row>
      <xdr:rowOff>26670</xdr:rowOff>
    </xdr:from>
    <xdr:to>
      <xdr:col>23</xdr:col>
      <xdr:colOff>15240</xdr:colOff>
      <xdr:row>278</xdr:row>
      <xdr:rowOff>160564</xdr:rowOff>
    </xdr:to>
    <xdr:sp macro="" textlink="">
      <xdr:nvSpPr>
        <xdr:cNvPr id="557" name="Rectangle: Rounded Corners 556">
          <a:extLst>
            <a:ext uri="{FF2B5EF4-FFF2-40B4-BE49-F238E27FC236}">
              <a16:creationId xmlns:a16="http://schemas.microsoft.com/office/drawing/2014/main" id="{1180FC8E-B09C-47FD-BB48-A04FC56C42D2}"/>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21</xdr:col>
      <xdr:colOff>547042</xdr:colOff>
      <xdr:row>291</xdr:row>
      <xdr:rowOff>144797</xdr:rowOff>
    </xdr:from>
    <xdr:to>
      <xdr:col>23</xdr:col>
      <xdr:colOff>176928</xdr:colOff>
      <xdr:row>294</xdr:row>
      <xdr:rowOff>95110</xdr:rowOff>
    </xdr:to>
    <xdr:sp macro="" textlink="">
      <xdr:nvSpPr>
        <xdr:cNvPr id="558" name="Rectangle: Rounded Corners 557">
          <a:extLst>
            <a:ext uri="{FF2B5EF4-FFF2-40B4-BE49-F238E27FC236}">
              <a16:creationId xmlns:a16="http://schemas.microsoft.com/office/drawing/2014/main" id="{CDEF8EA9-6563-4A8C-AD19-E4B190E132F6}"/>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21</xdr:col>
      <xdr:colOff>487136</xdr:colOff>
      <xdr:row>300</xdr:row>
      <xdr:rowOff>127907</xdr:rowOff>
    </xdr:from>
    <xdr:to>
      <xdr:col>23</xdr:col>
      <xdr:colOff>117022</xdr:colOff>
      <xdr:row>303</xdr:row>
      <xdr:rowOff>78922</xdr:rowOff>
    </xdr:to>
    <xdr:sp macro="" textlink="">
      <xdr:nvSpPr>
        <xdr:cNvPr id="559" name="Rectangle: Rounded Corners 558">
          <a:extLst>
            <a:ext uri="{FF2B5EF4-FFF2-40B4-BE49-F238E27FC236}">
              <a16:creationId xmlns:a16="http://schemas.microsoft.com/office/drawing/2014/main" id="{A2ECA77E-7565-4D62-9756-09045789C2B6}"/>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19</xdr:col>
      <xdr:colOff>516528</xdr:colOff>
      <xdr:row>283</xdr:row>
      <xdr:rowOff>37011</xdr:rowOff>
    </xdr:from>
    <xdr:to>
      <xdr:col>20</xdr:col>
      <xdr:colOff>222613</xdr:colOff>
      <xdr:row>284</xdr:row>
      <xdr:rowOff>113210</xdr:rowOff>
    </xdr:to>
    <xdr:sp macro="" textlink="">
      <xdr:nvSpPr>
        <xdr:cNvPr id="560" name="Oval 559">
          <a:extLst>
            <a:ext uri="{FF2B5EF4-FFF2-40B4-BE49-F238E27FC236}">
              <a16:creationId xmlns:a16="http://schemas.microsoft.com/office/drawing/2014/main" id="{F0542616-09A5-4C46-8E93-024A3D29C3DB}"/>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20</xdr:col>
      <xdr:colOff>64770</xdr:colOff>
      <xdr:row>277</xdr:row>
      <xdr:rowOff>93618</xdr:rowOff>
    </xdr:from>
    <xdr:to>
      <xdr:col>21</xdr:col>
      <xdr:colOff>385353</xdr:colOff>
      <xdr:row>283</xdr:row>
      <xdr:rowOff>37012</xdr:rowOff>
    </xdr:to>
    <xdr:cxnSp macro="">
      <xdr:nvCxnSpPr>
        <xdr:cNvPr id="561" name="Connector: Elbow 560">
          <a:extLst>
            <a:ext uri="{FF2B5EF4-FFF2-40B4-BE49-F238E27FC236}">
              <a16:creationId xmlns:a16="http://schemas.microsoft.com/office/drawing/2014/main" id="{C855F48D-B812-4DBA-8E3D-13D10B1D480F}"/>
            </a:ext>
          </a:extLst>
        </xdr:cNvPr>
        <xdr:cNvCxnSpPr>
          <a:cxnSpLocks/>
          <a:stCxn id="560" idx="0"/>
          <a:endCxn id="557"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222613</xdr:colOff>
      <xdr:row>283</xdr:row>
      <xdr:rowOff>166551</xdr:rowOff>
    </xdr:from>
    <xdr:to>
      <xdr:col>21</xdr:col>
      <xdr:colOff>547042</xdr:colOff>
      <xdr:row>293</xdr:row>
      <xdr:rowOff>28514</xdr:rowOff>
    </xdr:to>
    <xdr:cxnSp macro="">
      <xdr:nvCxnSpPr>
        <xdr:cNvPr id="562" name="Connector: Elbow 561">
          <a:extLst>
            <a:ext uri="{FF2B5EF4-FFF2-40B4-BE49-F238E27FC236}">
              <a16:creationId xmlns:a16="http://schemas.microsoft.com/office/drawing/2014/main" id="{8D3A470A-4873-45C5-B585-10A6EE24BE45}"/>
            </a:ext>
          </a:extLst>
        </xdr:cNvPr>
        <xdr:cNvCxnSpPr>
          <a:stCxn id="560" idx="6"/>
          <a:endCxn id="558"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64771</xdr:colOff>
      <xdr:row>284</xdr:row>
      <xdr:rowOff>113209</xdr:rowOff>
    </xdr:from>
    <xdr:to>
      <xdr:col>21</xdr:col>
      <xdr:colOff>487136</xdr:colOff>
      <xdr:row>302</xdr:row>
      <xdr:rowOff>11974</xdr:rowOff>
    </xdr:to>
    <xdr:cxnSp macro="">
      <xdr:nvCxnSpPr>
        <xdr:cNvPr id="563" name="Connector: Elbow 562">
          <a:extLst>
            <a:ext uri="{FF2B5EF4-FFF2-40B4-BE49-F238E27FC236}">
              <a16:creationId xmlns:a16="http://schemas.microsoft.com/office/drawing/2014/main" id="{C7CEB21D-ECF3-4298-BF92-8878A4531CE4}"/>
            </a:ext>
          </a:extLst>
        </xdr:cNvPr>
        <xdr:cNvCxnSpPr>
          <a:stCxn id="560" idx="4"/>
          <a:endCxn id="559"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103415</xdr:colOff>
      <xdr:row>301</xdr:row>
      <xdr:rowOff>76206</xdr:rowOff>
    </xdr:from>
    <xdr:to>
      <xdr:col>24</xdr:col>
      <xdr:colOff>310244</xdr:colOff>
      <xdr:row>302</xdr:row>
      <xdr:rowOff>130634</xdr:rowOff>
    </xdr:to>
    <xdr:sp macro="" textlink="">
      <xdr:nvSpPr>
        <xdr:cNvPr id="564" name="Isosceles Triangle 563">
          <a:extLst>
            <a:ext uri="{FF2B5EF4-FFF2-40B4-BE49-F238E27FC236}">
              <a16:creationId xmlns:a16="http://schemas.microsoft.com/office/drawing/2014/main" id="{30469239-CF23-4DEF-911B-7D16C03C6833}"/>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117022</xdr:colOff>
      <xdr:row>302</xdr:row>
      <xdr:rowOff>8165</xdr:rowOff>
    </xdr:from>
    <xdr:to>
      <xdr:col>24</xdr:col>
      <xdr:colOff>103416</xdr:colOff>
      <xdr:row>302</xdr:row>
      <xdr:rowOff>8170</xdr:rowOff>
    </xdr:to>
    <xdr:cxnSp macro="">
      <xdr:nvCxnSpPr>
        <xdr:cNvPr id="565" name="Connector: Elbow 351">
          <a:extLst>
            <a:ext uri="{FF2B5EF4-FFF2-40B4-BE49-F238E27FC236}">
              <a16:creationId xmlns:a16="http://schemas.microsoft.com/office/drawing/2014/main" id="{85FC7D28-8BEB-4509-AEFF-7C13E58CBA75}"/>
            </a:ext>
          </a:extLst>
        </xdr:cNvPr>
        <xdr:cNvCxnSpPr>
          <a:stCxn id="559" idx="3"/>
          <a:endCxn id="564"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293546</xdr:colOff>
      <xdr:row>292</xdr:row>
      <xdr:rowOff>74114</xdr:rowOff>
    </xdr:from>
    <xdr:to>
      <xdr:col>24</xdr:col>
      <xdr:colOff>500375</xdr:colOff>
      <xdr:row>293</xdr:row>
      <xdr:rowOff>134687</xdr:rowOff>
    </xdr:to>
    <xdr:sp macro="" textlink="">
      <xdr:nvSpPr>
        <xdr:cNvPr id="566" name="Isosceles Triangle 565">
          <a:extLst>
            <a:ext uri="{FF2B5EF4-FFF2-40B4-BE49-F238E27FC236}">
              <a16:creationId xmlns:a16="http://schemas.microsoft.com/office/drawing/2014/main" id="{7AE6A7E2-8634-4EA5-81A1-54F0E5DEC9D6}"/>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176928</xdr:colOff>
      <xdr:row>293</xdr:row>
      <xdr:rowOff>12961</xdr:rowOff>
    </xdr:from>
    <xdr:to>
      <xdr:col>24</xdr:col>
      <xdr:colOff>293546</xdr:colOff>
      <xdr:row>293</xdr:row>
      <xdr:rowOff>28514</xdr:rowOff>
    </xdr:to>
    <xdr:cxnSp macro="">
      <xdr:nvCxnSpPr>
        <xdr:cNvPr id="567" name="Connector: Elbow 351">
          <a:extLst>
            <a:ext uri="{FF2B5EF4-FFF2-40B4-BE49-F238E27FC236}">
              <a16:creationId xmlns:a16="http://schemas.microsoft.com/office/drawing/2014/main" id="{74D8D3B1-B955-4922-8002-263F963CDB57}"/>
            </a:ext>
          </a:extLst>
        </xdr:cNvPr>
        <xdr:cNvCxnSpPr>
          <a:stCxn id="558" idx="3"/>
          <a:endCxn id="566"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519389</xdr:colOff>
      <xdr:row>278</xdr:row>
      <xdr:rowOff>102642</xdr:rowOff>
    </xdr:from>
    <xdr:to>
      <xdr:col>27</xdr:col>
      <xdr:colOff>149275</xdr:colOff>
      <xdr:row>281</xdr:row>
      <xdr:rowOff>59100</xdr:rowOff>
    </xdr:to>
    <xdr:sp macro="" textlink="">
      <xdr:nvSpPr>
        <xdr:cNvPr id="569" name="Rectangle: Rounded Corners 568">
          <a:extLst>
            <a:ext uri="{FF2B5EF4-FFF2-40B4-BE49-F238E27FC236}">
              <a16:creationId xmlns:a16="http://schemas.microsoft.com/office/drawing/2014/main" id="{DC260BFF-569F-452F-8838-746D4F627C1F}"/>
            </a:ext>
          </a:extLst>
        </xdr:cNvPr>
        <xdr:cNvSpPr/>
      </xdr:nvSpPr>
      <xdr:spPr>
        <a:xfrm>
          <a:off x="14540189" y="13635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23</xdr:col>
      <xdr:colOff>601436</xdr:colOff>
      <xdr:row>277</xdr:row>
      <xdr:rowOff>-1</xdr:rowOff>
    </xdr:from>
    <xdr:to>
      <xdr:col>24</xdr:col>
      <xdr:colOff>307521</xdr:colOff>
      <xdr:row>278</xdr:row>
      <xdr:rowOff>76199</xdr:rowOff>
    </xdr:to>
    <xdr:sp macro="" textlink="">
      <xdr:nvSpPr>
        <xdr:cNvPr id="570" name="Oval 569">
          <a:extLst>
            <a:ext uri="{FF2B5EF4-FFF2-40B4-BE49-F238E27FC236}">
              <a16:creationId xmlns:a16="http://schemas.microsoft.com/office/drawing/2014/main" id="{45DD146F-839D-49BB-A09D-BBA046E70922}"/>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15240</xdr:colOff>
      <xdr:row>277</xdr:row>
      <xdr:rowOff>93617</xdr:rowOff>
    </xdr:from>
    <xdr:to>
      <xdr:col>23</xdr:col>
      <xdr:colOff>601436</xdr:colOff>
      <xdr:row>277</xdr:row>
      <xdr:rowOff>129539</xdr:rowOff>
    </xdr:to>
    <xdr:cxnSp macro="">
      <xdr:nvCxnSpPr>
        <xdr:cNvPr id="571" name="Connector: Elbow 42">
          <a:extLst>
            <a:ext uri="{FF2B5EF4-FFF2-40B4-BE49-F238E27FC236}">
              <a16:creationId xmlns:a16="http://schemas.microsoft.com/office/drawing/2014/main" id="{09C995F0-9BA1-453F-9945-A87869E65B97}"/>
            </a:ext>
          </a:extLst>
        </xdr:cNvPr>
        <xdr:cNvCxnSpPr>
          <a:cxnSpLocks/>
          <a:stCxn id="557" idx="3"/>
          <a:endCxn id="570"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149679</xdr:colOff>
      <xdr:row>278</xdr:row>
      <xdr:rowOff>76199</xdr:rowOff>
    </xdr:from>
    <xdr:to>
      <xdr:col>25</xdr:col>
      <xdr:colOff>519389</xdr:colOff>
      <xdr:row>279</xdr:row>
      <xdr:rowOff>172311</xdr:rowOff>
    </xdr:to>
    <xdr:cxnSp macro="">
      <xdr:nvCxnSpPr>
        <xdr:cNvPr id="573" name="Connector: Elbow 572">
          <a:extLst>
            <a:ext uri="{FF2B5EF4-FFF2-40B4-BE49-F238E27FC236}">
              <a16:creationId xmlns:a16="http://schemas.microsoft.com/office/drawing/2014/main" id="{3ADF5DFE-F08A-44FA-BDCD-780C0A9DA971}"/>
            </a:ext>
          </a:extLst>
        </xdr:cNvPr>
        <xdr:cNvCxnSpPr>
          <a:stCxn id="570" idx="4"/>
          <a:endCxn id="569" idx="1"/>
        </xdr:cNvCxnSpPr>
      </xdr:nvCxnSpPr>
      <xdr:spPr>
        <a:xfrm rot="16200000" flipH="1">
          <a:off x="13911038" y="13259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507275</xdr:colOff>
      <xdr:row>279</xdr:row>
      <xdr:rowOff>29256</xdr:rowOff>
    </xdr:from>
    <xdr:to>
      <xdr:col>29</xdr:col>
      <xdr:colOff>104504</xdr:colOff>
      <xdr:row>280</xdr:row>
      <xdr:rowOff>83684</xdr:rowOff>
    </xdr:to>
    <xdr:sp macro="" textlink="">
      <xdr:nvSpPr>
        <xdr:cNvPr id="574" name="Isosceles Triangle 573">
          <a:extLst>
            <a:ext uri="{FF2B5EF4-FFF2-40B4-BE49-F238E27FC236}">
              <a16:creationId xmlns:a16="http://schemas.microsoft.com/office/drawing/2014/main" id="{490BC8BF-C0D6-441A-8656-A78EF04BFB18}"/>
            </a:ext>
          </a:extLst>
        </xdr:cNvPr>
        <xdr:cNvSpPr/>
      </xdr:nvSpPr>
      <xdr:spPr>
        <a:xfrm rot="5400000">
          <a:off x="16341636" y="13760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149275</xdr:colOff>
      <xdr:row>279</xdr:row>
      <xdr:rowOff>147910</xdr:rowOff>
    </xdr:from>
    <xdr:to>
      <xdr:col>28</xdr:col>
      <xdr:colOff>507276</xdr:colOff>
      <xdr:row>279</xdr:row>
      <xdr:rowOff>172311</xdr:rowOff>
    </xdr:to>
    <xdr:cxnSp macro="">
      <xdr:nvCxnSpPr>
        <xdr:cNvPr id="575" name="Connector: Elbow 351">
          <a:extLst>
            <a:ext uri="{FF2B5EF4-FFF2-40B4-BE49-F238E27FC236}">
              <a16:creationId xmlns:a16="http://schemas.microsoft.com/office/drawing/2014/main" id="{9E112142-73B4-40A5-87CC-99666648438E}"/>
            </a:ext>
          </a:extLst>
        </xdr:cNvPr>
        <xdr:cNvCxnSpPr>
          <a:stCxn id="569" idx="3"/>
          <a:endCxn id="574" idx="3"/>
        </xdr:cNvCxnSpPr>
      </xdr:nvCxnSpPr>
      <xdr:spPr>
        <a:xfrm flipV="1">
          <a:off x="15389275" y="13863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474336</xdr:colOff>
      <xdr:row>269</xdr:row>
      <xdr:rowOff>55324</xdr:rowOff>
    </xdr:from>
    <xdr:to>
      <xdr:col>27</xdr:col>
      <xdr:colOff>104222</xdr:colOff>
      <xdr:row>272</xdr:row>
      <xdr:rowOff>17927</xdr:rowOff>
    </xdr:to>
    <xdr:sp macro="" textlink="">
      <xdr:nvSpPr>
        <xdr:cNvPr id="577" name="Rectangle: Rounded Corners 576">
          <a:extLst>
            <a:ext uri="{FF2B5EF4-FFF2-40B4-BE49-F238E27FC236}">
              <a16:creationId xmlns:a16="http://schemas.microsoft.com/office/drawing/2014/main" id="{EEBFE986-99F9-4A30-8F5C-9991EEB6F997}"/>
            </a:ext>
          </a:extLst>
        </xdr:cNvPr>
        <xdr:cNvSpPr/>
      </xdr:nvSpPr>
      <xdr:spPr>
        <a:xfrm>
          <a:off x="15714336" y="49219564"/>
          <a:ext cx="849086" cy="5112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24</xdr:col>
      <xdr:colOff>149679</xdr:colOff>
      <xdr:row>270</xdr:row>
      <xdr:rowOff>128067</xdr:rowOff>
    </xdr:from>
    <xdr:to>
      <xdr:col>25</xdr:col>
      <xdr:colOff>474336</xdr:colOff>
      <xdr:row>277</xdr:row>
      <xdr:rowOff>0</xdr:rowOff>
    </xdr:to>
    <xdr:cxnSp macro="">
      <xdr:nvCxnSpPr>
        <xdr:cNvPr id="579" name="Connector: Elbow 578">
          <a:extLst>
            <a:ext uri="{FF2B5EF4-FFF2-40B4-BE49-F238E27FC236}">
              <a16:creationId xmlns:a16="http://schemas.microsoft.com/office/drawing/2014/main" id="{76811D25-175C-4B57-A367-DC50564E2947}"/>
            </a:ext>
          </a:extLst>
        </xdr:cNvPr>
        <xdr:cNvCxnSpPr>
          <a:cxnSpLocks/>
          <a:stCxn id="570" idx="0"/>
          <a:endCxn id="577" idx="1"/>
        </xdr:cNvCxnSpPr>
      </xdr:nvCxnSpPr>
      <xdr:spPr>
        <a:xfrm rot="5400000" flipH="1" flipV="1">
          <a:off x="14671161" y="49584105"/>
          <a:ext cx="1152093" cy="93425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568587</xdr:colOff>
      <xdr:row>269</xdr:row>
      <xdr:rowOff>180340</xdr:rowOff>
    </xdr:from>
    <xdr:to>
      <xdr:col>29</xdr:col>
      <xdr:colOff>165816</xdr:colOff>
      <xdr:row>271</xdr:row>
      <xdr:rowOff>44268</xdr:rowOff>
    </xdr:to>
    <xdr:sp macro="" textlink="">
      <xdr:nvSpPr>
        <xdr:cNvPr id="580" name="Isosceles Triangle 579">
          <a:extLst>
            <a:ext uri="{FF2B5EF4-FFF2-40B4-BE49-F238E27FC236}">
              <a16:creationId xmlns:a16="http://schemas.microsoft.com/office/drawing/2014/main" id="{03816D83-3B73-4099-8F7A-404873368F49}"/>
            </a:ext>
          </a:extLst>
        </xdr:cNvPr>
        <xdr:cNvSpPr/>
      </xdr:nvSpPr>
      <xdr:spPr>
        <a:xfrm rot="5400000">
          <a:off x="17625958" y="493560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104222</xdr:colOff>
      <xdr:row>270</xdr:row>
      <xdr:rowOff>112304</xdr:rowOff>
    </xdr:from>
    <xdr:to>
      <xdr:col>28</xdr:col>
      <xdr:colOff>568588</xdr:colOff>
      <xdr:row>270</xdr:row>
      <xdr:rowOff>128066</xdr:rowOff>
    </xdr:to>
    <xdr:cxnSp macro="">
      <xdr:nvCxnSpPr>
        <xdr:cNvPr id="581" name="Connector: Elbow 351">
          <a:extLst>
            <a:ext uri="{FF2B5EF4-FFF2-40B4-BE49-F238E27FC236}">
              <a16:creationId xmlns:a16="http://schemas.microsoft.com/office/drawing/2014/main" id="{73B4A6FF-B4EB-4A8A-B268-4CE6BEB27035}"/>
            </a:ext>
          </a:extLst>
        </xdr:cNvPr>
        <xdr:cNvCxnSpPr>
          <a:cxnSpLocks/>
          <a:stCxn id="577" idx="3"/>
          <a:endCxn id="580" idx="3"/>
        </xdr:cNvCxnSpPr>
      </xdr:nvCxnSpPr>
      <xdr:spPr>
        <a:xfrm flipV="1">
          <a:off x="16563422" y="49459424"/>
          <a:ext cx="1073966" cy="1576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549869</xdr:colOff>
      <xdr:row>285</xdr:row>
      <xdr:rowOff>26442</xdr:rowOff>
    </xdr:from>
    <xdr:to>
      <xdr:col>27</xdr:col>
      <xdr:colOff>179755</xdr:colOff>
      <xdr:row>287</xdr:row>
      <xdr:rowOff>165780</xdr:rowOff>
    </xdr:to>
    <xdr:sp macro="" textlink="">
      <xdr:nvSpPr>
        <xdr:cNvPr id="585" name="Rectangle: Rounded Corners 584">
          <a:extLst>
            <a:ext uri="{FF2B5EF4-FFF2-40B4-BE49-F238E27FC236}">
              <a16:creationId xmlns:a16="http://schemas.microsoft.com/office/drawing/2014/main" id="{45480605-34F5-4699-A6D0-F8E0846AF36F}"/>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24</xdr:col>
      <xdr:colOff>149679</xdr:colOff>
      <xdr:row>278</xdr:row>
      <xdr:rowOff>76199</xdr:rowOff>
    </xdr:from>
    <xdr:to>
      <xdr:col>25</xdr:col>
      <xdr:colOff>549869</xdr:colOff>
      <xdr:row>286</xdr:row>
      <xdr:rowOff>96111</xdr:rowOff>
    </xdr:to>
    <xdr:cxnSp macro="">
      <xdr:nvCxnSpPr>
        <xdr:cNvPr id="586" name="Connector: Elbow 585">
          <a:extLst>
            <a:ext uri="{FF2B5EF4-FFF2-40B4-BE49-F238E27FC236}">
              <a16:creationId xmlns:a16="http://schemas.microsoft.com/office/drawing/2014/main" id="{64860919-7476-460B-BBEA-00DA2A440D82}"/>
            </a:ext>
          </a:extLst>
        </xdr:cNvPr>
        <xdr:cNvCxnSpPr>
          <a:stCxn id="570" idx="4"/>
          <a:endCxn id="585"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34835</xdr:colOff>
      <xdr:row>285</xdr:row>
      <xdr:rowOff>181655</xdr:rowOff>
    </xdr:from>
    <xdr:to>
      <xdr:col>29</xdr:col>
      <xdr:colOff>241664</xdr:colOff>
      <xdr:row>287</xdr:row>
      <xdr:rowOff>53203</xdr:rowOff>
    </xdr:to>
    <xdr:sp macro="" textlink="">
      <xdr:nvSpPr>
        <xdr:cNvPr id="587" name="Isosceles Triangle 586">
          <a:extLst>
            <a:ext uri="{FF2B5EF4-FFF2-40B4-BE49-F238E27FC236}">
              <a16:creationId xmlns:a16="http://schemas.microsoft.com/office/drawing/2014/main" id="{E020563A-423C-4389-9F92-52EAA84CB18F}"/>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179755</xdr:colOff>
      <xdr:row>286</xdr:row>
      <xdr:rowOff>96111</xdr:rowOff>
    </xdr:from>
    <xdr:to>
      <xdr:col>29</xdr:col>
      <xdr:colOff>34836</xdr:colOff>
      <xdr:row>286</xdr:row>
      <xdr:rowOff>117429</xdr:rowOff>
    </xdr:to>
    <xdr:cxnSp macro="">
      <xdr:nvCxnSpPr>
        <xdr:cNvPr id="588" name="Connector: Elbow 351">
          <a:extLst>
            <a:ext uri="{FF2B5EF4-FFF2-40B4-BE49-F238E27FC236}">
              <a16:creationId xmlns:a16="http://schemas.microsoft.com/office/drawing/2014/main" id="{16F66120-CB96-4774-AB59-92D387F7331A}"/>
            </a:ext>
          </a:extLst>
        </xdr:cNvPr>
        <xdr:cNvCxnSpPr>
          <a:stCxn id="585" idx="3"/>
          <a:endCxn id="587"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594904</xdr:colOff>
      <xdr:row>347</xdr:row>
      <xdr:rowOff>81643</xdr:rowOff>
    </xdr:from>
    <xdr:to>
      <xdr:col>17</xdr:col>
      <xdr:colOff>224790</xdr:colOff>
      <xdr:row>350</xdr:row>
      <xdr:rowOff>38100</xdr:rowOff>
    </xdr:to>
    <xdr:sp macro="" textlink="">
      <xdr:nvSpPr>
        <xdr:cNvPr id="590" name="Rectangle: Rounded Corners 589">
          <a:extLst>
            <a:ext uri="{FF2B5EF4-FFF2-40B4-BE49-F238E27FC236}">
              <a16:creationId xmlns:a16="http://schemas.microsoft.com/office/drawing/2014/main" id="{41DACFF0-F5FF-47D8-95D8-E6BD3D8AA748}"/>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16</xdr:col>
      <xdr:colOff>283573</xdr:colOff>
      <xdr:row>386</xdr:row>
      <xdr:rowOff>81099</xdr:rowOff>
    </xdr:from>
    <xdr:to>
      <xdr:col>17</xdr:col>
      <xdr:colOff>523059</xdr:colOff>
      <xdr:row>389</xdr:row>
      <xdr:rowOff>30480</xdr:rowOff>
    </xdr:to>
    <xdr:sp macro="" textlink="">
      <xdr:nvSpPr>
        <xdr:cNvPr id="591" name="Rectangle: Rounded Corners 590">
          <a:extLst>
            <a:ext uri="{FF2B5EF4-FFF2-40B4-BE49-F238E27FC236}">
              <a16:creationId xmlns:a16="http://schemas.microsoft.com/office/drawing/2014/main" id="{5B925489-32A6-47E2-9EAB-375D3D492451}"/>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15</xdr:col>
      <xdr:colOff>1</xdr:colOff>
      <xdr:row>348</xdr:row>
      <xdr:rowOff>151313</xdr:rowOff>
    </xdr:from>
    <xdr:to>
      <xdr:col>15</xdr:col>
      <xdr:colOff>594904</xdr:colOff>
      <xdr:row>354</xdr:row>
      <xdr:rowOff>100148</xdr:rowOff>
    </xdr:to>
    <xdr:cxnSp macro="">
      <xdr:nvCxnSpPr>
        <xdr:cNvPr id="592" name="Connector: Elbow 591">
          <a:extLst>
            <a:ext uri="{FF2B5EF4-FFF2-40B4-BE49-F238E27FC236}">
              <a16:creationId xmlns:a16="http://schemas.microsoft.com/office/drawing/2014/main" id="{8B657198-8630-42C7-9D34-57EF966D787E}"/>
            </a:ext>
          </a:extLst>
        </xdr:cNvPr>
        <xdr:cNvCxnSpPr>
          <a:stCxn id="594" idx="0"/>
          <a:endCxn id="590"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xdr:colOff>
      <xdr:row>355</xdr:row>
      <xdr:rowOff>176346</xdr:rowOff>
    </xdr:from>
    <xdr:to>
      <xdr:col>16</xdr:col>
      <xdr:colOff>283574</xdr:colOff>
      <xdr:row>387</xdr:row>
      <xdr:rowOff>147229</xdr:rowOff>
    </xdr:to>
    <xdr:cxnSp macro="">
      <xdr:nvCxnSpPr>
        <xdr:cNvPr id="593" name="Connector: Elbow 592">
          <a:extLst>
            <a:ext uri="{FF2B5EF4-FFF2-40B4-BE49-F238E27FC236}">
              <a16:creationId xmlns:a16="http://schemas.microsoft.com/office/drawing/2014/main" id="{10DAA1D6-4084-4F6A-9AF2-A09F25626379}"/>
            </a:ext>
          </a:extLst>
        </xdr:cNvPr>
        <xdr:cNvCxnSpPr>
          <a:stCxn id="594" idx="4"/>
          <a:endCxn id="591"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451758</xdr:colOff>
      <xdr:row>354</xdr:row>
      <xdr:rowOff>100147</xdr:rowOff>
    </xdr:from>
    <xdr:to>
      <xdr:col>15</xdr:col>
      <xdr:colOff>157843</xdr:colOff>
      <xdr:row>355</xdr:row>
      <xdr:rowOff>176347</xdr:rowOff>
    </xdr:to>
    <xdr:sp macro="" textlink="">
      <xdr:nvSpPr>
        <xdr:cNvPr id="594" name="Oval 593">
          <a:extLst>
            <a:ext uri="{FF2B5EF4-FFF2-40B4-BE49-F238E27FC236}">
              <a16:creationId xmlns:a16="http://schemas.microsoft.com/office/drawing/2014/main" id="{64208A40-6D2F-4BAD-AE6C-0584BDE5A86D}"/>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523059</xdr:colOff>
      <xdr:row>387</xdr:row>
      <xdr:rowOff>147230</xdr:rowOff>
    </xdr:from>
    <xdr:to>
      <xdr:col>19</xdr:col>
      <xdr:colOff>516528</xdr:colOff>
      <xdr:row>387</xdr:row>
      <xdr:rowOff>166551</xdr:rowOff>
    </xdr:to>
    <xdr:cxnSp macro="">
      <xdr:nvCxnSpPr>
        <xdr:cNvPr id="595" name="Connector: Elbow 351">
          <a:extLst>
            <a:ext uri="{FF2B5EF4-FFF2-40B4-BE49-F238E27FC236}">
              <a16:creationId xmlns:a16="http://schemas.microsoft.com/office/drawing/2014/main" id="{86361D55-9EB4-40B4-8E9E-AA5FC48AA3FE}"/>
            </a:ext>
          </a:extLst>
        </xdr:cNvPr>
        <xdr:cNvCxnSpPr>
          <a:cxnSpLocks/>
          <a:stCxn id="591" idx="3"/>
          <a:endCxn id="641"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141514</xdr:colOff>
      <xdr:row>330</xdr:row>
      <xdr:rowOff>57150</xdr:rowOff>
    </xdr:from>
    <xdr:to>
      <xdr:col>20</xdr:col>
      <xdr:colOff>381000</xdr:colOff>
      <xdr:row>333</xdr:row>
      <xdr:rowOff>8164</xdr:rowOff>
    </xdr:to>
    <xdr:sp macro="" textlink="">
      <xdr:nvSpPr>
        <xdr:cNvPr id="596" name="Rectangle: Rounded Corners 595">
          <a:extLst>
            <a:ext uri="{FF2B5EF4-FFF2-40B4-BE49-F238E27FC236}">
              <a16:creationId xmlns:a16="http://schemas.microsoft.com/office/drawing/2014/main" id="{64957D78-6209-4CB1-9ADC-7C023A01B29A}"/>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19</xdr:col>
      <xdr:colOff>547042</xdr:colOff>
      <xdr:row>345</xdr:row>
      <xdr:rowOff>144797</xdr:rowOff>
    </xdr:from>
    <xdr:to>
      <xdr:col>21</xdr:col>
      <xdr:colOff>176928</xdr:colOff>
      <xdr:row>348</xdr:row>
      <xdr:rowOff>95110</xdr:rowOff>
    </xdr:to>
    <xdr:sp macro="" textlink="">
      <xdr:nvSpPr>
        <xdr:cNvPr id="597" name="Rectangle: Rounded Corners 596">
          <a:extLst>
            <a:ext uri="{FF2B5EF4-FFF2-40B4-BE49-F238E27FC236}">
              <a16:creationId xmlns:a16="http://schemas.microsoft.com/office/drawing/2014/main" id="{2E66EA3B-45DF-484B-90CA-10F9FDEA9BF0}"/>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354</xdr:row>
      <xdr:rowOff>127907</xdr:rowOff>
    </xdr:from>
    <xdr:to>
      <xdr:col>21</xdr:col>
      <xdr:colOff>117022</xdr:colOff>
      <xdr:row>357</xdr:row>
      <xdr:rowOff>78922</xdr:rowOff>
    </xdr:to>
    <xdr:sp macro="" textlink="">
      <xdr:nvSpPr>
        <xdr:cNvPr id="598" name="Rectangle: Rounded Corners 597">
          <a:extLst>
            <a:ext uri="{FF2B5EF4-FFF2-40B4-BE49-F238E27FC236}">
              <a16:creationId xmlns:a16="http://schemas.microsoft.com/office/drawing/2014/main" id="{67C6CD23-EF9B-497E-AD2A-6637BCF630AF}"/>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18</xdr:col>
      <xdr:colOff>13608</xdr:colOff>
      <xdr:row>348</xdr:row>
      <xdr:rowOff>21771</xdr:rowOff>
    </xdr:from>
    <xdr:to>
      <xdr:col>18</xdr:col>
      <xdr:colOff>329293</xdr:colOff>
      <xdr:row>349</xdr:row>
      <xdr:rowOff>97970</xdr:rowOff>
    </xdr:to>
    <xdr:sp macro="" textlink="">
      <xdr:nvSpPr>
        <xdr:cNvPr id="599" name="Oval 598">
          <a:extLst>
            <a:ext uri="{FF2B5EF4-FFF2-40B4-BE49-F238E27FC236}">
              <a16:creationId xmlns:a16="http://schemas.microsoft.com/office/drawing/2014/main" id="{F7271039-9A50-471E-A215-CEA028F300BE}"/>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17</xdr:col>
      <xdr:colOff>224790</xdr:colOff>
      <xdr:row>348</xdr:row>
      <xdr:rowOff>151311</xdr:rowOff>
    </xdr:from>
    <xdr:to>
      <xdr:col>18</xdr:col>
      <xdr:colOff>13608</xdr:colOff>
      <xdr:row>348</xdr:row>
      <xdr:rowOff>151312</xdr:rowOff>
    </xdr:to>
    <xdr:cxnSp macro="">
      <xdr:nvCxnSpPr>
        <xdr:cNvPr id="600" name="Connector: Elbow 42">
          <a:extLst>
            <a:ext uri="{FF2B5EF4-FFF2-40B4-BE49-F238E27FC236}">
              <a16:creationId xmlns:a16="http://schemas.microsoft.com/office/drawing/2014/main" id="{DE48989B-2A30-4264-95CC-95C651545832}"/>
            </a:ext>
          </a:extLst>
        </xdr:cNvPr>
        <xdr:cNvCxnSpPr>
          <a:cxnSpLocks/>
          <a:stCxn id="590" idx="3"/>
          <a:endCxn id="599"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171450</xdr:colOff>
      <xdr:row>331</xdr:row>
      <xdr:rowOff>127908</xdr:rowOff>
    </xdr:from>
    <xdr:to>
      <xdr:col>19</xdr:col>
      <xdr:colOff>141513</xdr:colOff>
      <xdr:row>348</xdr:row>
      <xdr:rowOff>21772</xdr:rowOff>
    </xdr:to>
    <xdr:cxnSp macro="">
      <xdr:nvCxnSpPr>
        <xdr:cNvPr id="601" name="Connector: Elbow 600">
          <a:extLst>
            <a:ext uri="{FF2B5EF4-FFF2-40B4-BE49-F238E27FC236}">
              <a16:creationId xmlns:a16="http://schemas.microsoft.com/office/drawing/2014/main" id="{93163360-B50E-4C69-B96D-D9225E1890C8}"/>
            </a:ext>
          </a:extLst>
        </xdr:cNvPr>
        <xdr:cNvCxnSpPr>
          <a:stCxn id="599" idx="0"/>
          <a:endCxn id="596"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329293</xdr:colOff>
      <xdr:row>347</xdr:row>
      <xdr:rowOff>28514</xdr:rowOff>
    </xdr:from>
    <xdr:to>
      <xdr:col>19</xdr:col>
      <xdr:colOff>547042</xdr:colOff>
      <xdr:row>348</xdr:row>
      <xdr:rowOff>151311</xdr:rowOff>
    </xdr:to>
    <xdr:cxnSp macro="">
      <xdr:nvCxnSpPr>
        <xdr:cNvPr id="602" name="Connector: Elbow 601">
          <a:extLst>
            <a:ext uri="{FF2B5EF4-FFF2-40B4-BE49-F238E27FC236}">
              <a16:creationId xmlns:a16="http://schemas.microsoft.com/office/drawing/2014/main" id="{D69D68A4-591C-4EF6-BBC4-04105C5D65FB}"/>
            </a:ext>
          </a:extLst>
        </xdr:cNvPr>
        <xdr:cNvCxnSpPr>
          <a:stCxn id="599" idx="6"/>
          <a:endCxn id="597"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171451</xdr:colOff>
      <xdr:row>349</xdr:row>
      <xdr:rowOff>97969</xdr:rowOff>
    </xdr:from>
    <xdr:to>
      <xdr:col>19</xdr:col>
      <xdr:colOff>487136</xdr:colOff>
      <xdr:row>356</xdr:row>
      <xdr:rowOff>8164</xdr:rowOff>
    </xdr:to>
    <xdr:cxnSp macro="">
      <xdr:nvCxnSpPr>
        <xdr:cNvPr id="603" name="Connector: Elbow 602">
          <a:extLst>
            <a:ext uri="{FF2B5EF4-FFF2-40B4-BE49-F238E27FC236}">
              <a16:creationId xmlns:a16="http://schemas.microsoft.com/office/drawing/2014/main" id="{9E644CD7-236A-4E6D-86B9-CA2B94F5FC28}"/>
            </a:ext>
          </a:extLst>
        </xdr:cNvPr>
        <xdr:cNvCxnSpPr>
          <a:stCxn id="599" idx="4"/>
          <a:endCxn id="598"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355</xdr:row>
      <xdr:rowOff>76206</xdr:rowOff>
    </xdr:from>
    <xdr:to>
      <xdr:col>22</xdr:col>
      <xdr:colOff>310244</xdr:colOff>
      <xdr:row>356</xdr:row>
      <xdr:rowOff>130634</xdr:rowOff>
    </xdr:to>
    <xdr:sp macro="" textlink="">
      <xdr:nvSpPr>
        <xdr:cNvPr id="604" name="Isosceles Triangle 603">
          <a:extLst>
            <a:ext uri="{FF2B5EF4-FFF2-40B4-BE49-F238E27FC236}">
              <a16:creationId xmlns:a16="http://schemas.microsoft.com/office/drawing/2014/main" id="{4017F4F9-011F-4330-94F0-B97830CF5F0E}"/>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356</xdr:row>
      <xdr:rowOff>8165</xdr:rowOff>
    </xdr:from>
    <xdr:to>
      <xdr:col>22</xdr:col>
      <xdr:colOff>103416</xdr:colOff>
      <xdr:row>356</xdr:row>
      <xdr:rowOff>8170</xdr:rowOff>
    </xdr:to>
    <xdr:cxnSp macro="">
      <xdr:nvCxnSpPr>
        <xdr:cNvPr id="605" name="Connector: Elbow 351">
          <a:extLst>
            <a:ext uri="{FF2B5EF4-FFF2-40B4-BE49-F238E27FC236}">
              <a16:creationId xmlns:a16="http://schemas.microsoft.com/office/drawing/2014/main" id="{D84EE76B-0A4E-4855-89F6-BCBA212F7F4A}"/>
            </a:ext>
          </a:extLst>
        </xdr:cNvPr>
        <xdr:cNvCxnSpPr>
          <a:stCxn id="598" idx="3"/>
          <a:endCxn id="604"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346</xdr:row>
      <xdr:rowOff>74114</xdr:rowOff>
    </xdr:from>
    <xdr:to>
      <xdr:col>22</xdr:col>
      <xdr:colOff>500375</xdr:colOff>
      <xdr:row>347</xdr:row>
      <xdr:rowOff>134687</xdr:rowOff>
    </xdr:to>
    <xdr:sp macro="" textlink="">
      <xdr:nvSpPr>
        <xdr:cNvPr id="606" name="Isosceles Triangle 605">
          <a:extLst>
            <a:ext uri="{FF2B5EF4-FFF2-40B4-BE49-F238E27FC236}">
              <a16:creationId xmlns:a16="http://schemas.microsoft.com/office/drawing/2014/main" id="{17E331B4-7899-40FF-A087-E3C839E6595F}"/>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347</xdr:row>
      <xdr:rowOff>12961</xdr:rowOff>
    </xdr:from>
    <xdr:to>
      <xdr:col>22</xdr:col>
      <xdr:colOff>293546</xdr:colOff>
      <xdr:row>347</xdr:row>
      <xdr:rowOff>28514</xdr:rowOff>
    </xdr:to>
    <xdr:cxnSp macro="">
      <xdr:nvCxnSpPr>
        <xdr:cNvPr id="607" name="Connector: Elbow 351">
          <a:extLst>
            <a:ext uri="{FF2B5EF4-FFF2-40B4-BE49-F238E27FC236}">
              <a16:creationId xmlns:a16="http://schemas.microsoft.com/office/drawing/2014/main" id="{255F9C36-E388-418E-BC7D-C95A7C9AEE91}"/>
            </a:ext>
          </a:extLst>
        </xdr:cNvPr>
        <xdr:cNvCxnSpPr>
          <a:stCxn id="597" idx="3"/>
          <a:endCxn id="606"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480604</xdr:colOff>
      <xdr:row>321</xdr:row>
      <xdr:rowOff>171450</xdr:rowOff>
    </xdr:from>
    <xdr:to>
      <xdr:col>25</xdr:col>
      <xdr:colOff>110490</xdr:colOff>
      <xdr:row>324</xdr:row>
      <xdr:rowOff>130084</xdr:rowOff>
    </xdr:to>
    <xdr:sp macro="" textlink="">
      <xdr:nvSpPr>
        <xdr:cNvPr id="608" name="Rectangle: Rounded Corners 607">
          <a:extLst>
            <a:ext uri="{FF2B5EF4-FFF2-40B4-BE49-F238E27FC236}">
              <a16:creationId xmlns:a16="http://schemas.microsoft.com/office/drawing/2014/main" id="{16B44F80-A722-44B8-B62C-6EBE044E6097}"/>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23</xdr:col>
      <xdr:colOff>519389</xdr:colOff>
      <xdr:row>332</xdr:row>
      <xdr:rowOff>102642</xdr:rowOff>
    </xdr:from>
    <xdr:to>
      <xdr:col>25</xdr:col>
      <xdr:colOff>149275</xdr:colOff>
      <xdr:row>335</xdr:row>
      <xdr:rowOff>59100</xdr:rowOff>
    </xdr:to>
    <xdr:sp macro="" textlink="">
      <xdr:nvSpPr>
        <xdr:cNvPr id="609" name="Rectangle: Rounded Corners 608">
          <a:extLst>
            <a:ext uri="{FF2B5EF4-FFF2-40B4-BE49-F238E27FC236}">
              <a16:creationId xmlns:a16="http://schemas.microsoft.com/office/drawing/2014/main" id="{1C90DDDE-740C-4741-B1E1-2A0DE9320C73}"/>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331</xdr:row>
      <xdr:rowOff>-1</xdr:rowOff>
    </xdr:from>
    <xdr:to>
      <xdr:col>22</xdr:col>
      <xdr:colOff>307521</xdr:colOff>
      <xdr:row>332</xdr:row>
      <xdr:rowOff>76199</xdr:rowOff>
    </xdr:to>
    <xdr:sp macro="" textlink="">
      <xdr:nvSpPr>
        <xdr:cNvPr id="610" name="Oval 609">
          <a:extLst>
            <a:ext uri="{FF2B5EF4-FFF2-40B4-BE49-F238E27FC236}">
              <a16:creationId xmlns:a16="http://schemas.microsoft.com/office/drawing/2014/main" id="{8955C09A-C03F-42BA-8749-0D67F639E2C3}"/>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20</xdr:col>
      <xdr:colOff>381000</xdr:colOff>
      <xdr:row>331</xdr:row>
      <xdr:rowOff>127907</xdr:rowOff>
    </xdr:from>
    <xdr:to>
      <xdr:col>21</xdr:col>
      <xdr:colOff>601436</xdr:colOff>
      <xdr:row>331</xdr:row>
      <xdr:rowOff>133349</xdr:rowOff>
    </xdr:to>
    <xdr:cxnSp macro="">
      <xdr:nvCxnSpPr>
        <xdr:cNvPr id="611" name="Connector: Elbow 42">
          <a:extLst>
            <a:ext uri="{FF2B5EF4-FFF2-40B4-BE49-F238E27FC236}">
              <a16:creationId xmlns:a16="http://schemas.microsoft.com/office/drawing/2014/main" id="{6DE28C89-6E09-451F-9325-71EB0A658510}"/>
            </a:ext>
          </a:extLst>
        </xdr:cNvPr>
        <xdr:cNvCxnSpPr>
          <a:cxnSpLocks/>
          <a:stCxn id="596" idx="3"/>
          <a:endCxn id="610"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149678</xdr:colOff>
      <xdr:row>323</xdr:row>
      <xdr:rowOff>59328</xdr:rowOff>
    </xdr:from>
    <xdr:to>
      <xdr:col>23</xdr:col>
      <xdr:colOff>480603</xdr:colOff>
      <xdr:row>331</xdr:row>
      <xdr:rowOff>0</xdr:rowOff>
    </xdr:to>
    <xdr:cxnSp macro="">
      <xdr:nvCxnSpPr>
        <xdr:cNvPr id="612" name="Connector: Elbow 611">
          <a:extLst>
            <a:ext uri="{FF2B5EF4-FFF2-40B4-BE49-F238E27FC236}">
              <a16:creationId xmlns:a16="http://schemas.microsoft.com/office/drawing/2014/main" id="{3AF6EC54-97D7-43E4-ABF0-DD64D74ED3CC}"/>
            </a:ext>
          </a:extLst>
        </xdr:cNvPr>
        <xdr:cNvCxnSpPr>
          <a:stCxn id="610" idx="0"/>
          <a:endCxn id="608"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332</xdr:row>
      <xdr:rowOff>76199</xdr:rowOff>
    </xdr:from>
    <xdr:to>
      <xdr:col>23</xdr:col>
      <xdr:colOff>519389</xdr:colOff>
      <xdr:row>333</xdr:row>
      <xdr:rowOff>172311</xdr:rowOff>
    </xdr:to>
    <xdr:cxnSp macro="">
      <xdr:nvCxnSpPr>
        <xdr:cNvPr id="613" name="Connector: Elbow 612">
          <a:extLst>
            <a:ext uri="{FF2B5EF4-FFF2-40B4-BE49-F238E27FC236}">
              <a16:creationId xmlns:a16="http://schemas.microsoft.com/office/drawing/2014/main" id="{E7913620-4B43-4A83-921F-3F7341524D47}"/>
            </a:ext>
          </a:extLst>
        </xdr:cNvPr>
        <xdr:cNvCxnSpPr>
          <a:stCxn id="610" idx="4"/>
          <a:endCxn id="609"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333</xdr:row>
      <xdr:rowOff>29256</xdr:rowOff>
    </xdr:from>
    <xdr:to>
      <xdr:col>27</xdr:col>
      <xdr:colOff>104504</xdr:colOff>
      <xdr:row>334</xdr:row>
      <xdr:rowOff>83684</xdr:rowOff>
    </xdr:to>
    <xdr:sp macro="" textlink="">
      <xdr:nvSpPr>
        <xdr:cNvPr id="614" name="Isosceles Triangle 613">
          <a:extLst>
            <a:ext uri="{FF2B5EF4-FFF2-40B4-BE49-F238E27FC236}">
              <a16:creationId xmlns:a16="http://schemas.microsoft.com/office/drawing/2014/main" id="{41A54E9E-BDA9-4995-959A-8835A107C000}"/>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333</xdr:row>
      <xdr:rowOff>147910</xdr:rowOff>
    </xdr:from>
    <xdr:to>
      <xdr:col>26</xdr:col>
      <xdr:colOff>507276</xdr:colOff>
      <xdr:row>333</xdr:row>
      <xdr:rowOff>172311</xdr:rowOff>
    </xdr:to>
    <xdr:cxnSp macro="">
      <xdr:nvCxnSpPr>
        <xdr:cNvPr id="615" name="Connector: Elbow 351">
          <a:extLst>
            <a:ext uri="{FF2B5EF4-FFF2-40B4-BE49-F238E27FC236}">
              <a16:creationId xmlns:a16="http://schemas.microsoft.com/office/drawing/2014/main" id="{FA4C8E0D-C231-4C06-A972-59096AF2E4D4}"/>
            </a:ext>
          </a:extLst>
        </xdr:cNvPr>
        <xdr:cNvCxnSpPr>
          <a:stCxn id="609" idx="3"/>
          <a:endCxn id="614"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110490</xdr:colOff>
      <xdr:row>323</xdr:row>
      <xdr:rowOff>59327</xdr:rowOff>
    </xdr:from>
    <xdr:to>
      <xdr:col>26</xdr:col>
      <xdr:colOff>400948</xdr:colOff>
      <xdr:row>323</xdr:row>
      <xdr:rowOff>81824</xdr:rowOff>
    </xdr:to>
    <xdr:cxnSp macro="">
      <xdr:nvCxnSpPr>
        <xdr:cNvPr id="624" name="Connector: Elbow 42">
          <a:extLst>
            <a:ext uri="{FF2B5EF4-FFF2-40B4-BE49-F238E27FC236}">
              <a16:creationId xmlns:a16="http://schemas.microsoft.com/office/drawing/2014/main" id="{E98B7846-08F0-430C-9911-907C27FABB0F}"/>
            </a:ext>
          </a:extLst>
        </xdr:cNvPr>
        <xdr:cNvCxnSpPr>
          <a:cxnSpLocks/>
          <a:stCxn id="608" idx="3"/>
          <a:endCxn id="637"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339</xdr:row>
      <xdr:rowOff>26442</xdr:rowOff>
    </xdr:from>
    <xdr:to>
      <xdr:col>25</xdr:col>
      <xdr:colOff>179755</xdr:colOff>
      <xdr:row>341</xdr:row>
      <xdr:rowOff>165780</xdr:rowOff>
    </xdr:to>
    <xdr:sp macro="" textlink="">
      <xdr:nvSpPr>
        <xdr:cNvPr id="633" name="Rectangle: Rounded Corners 632">
          <a:extLst>
            <a:ext uri="{FF2B5EF4-FFF2-40B4-BE49-F238E27FC236}">
              <a16:creationId xmlns:a16="http://schemas.microsoft.com/office/drawing/2014/main" id="{B2276CB4-2C09-4AD1-A49F-53740858005B}"/>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332</xdr:row>
      <xdr:rowOff>76199</xdr:rowOff>
    </xdr:from>
    <xdr:to>
      <xdr:col>23</xdr:col>
      <xdr:colOff>549869</xdr:colOff>
      <xdr:row>340</xdr:row>
      <xdr:rowOff>96111</xdr:rowOff>
    </xdr:to>
    <xdr:cxnSp macro="">
      <xdr:nvCxnSpPr>
        <xdr:cNvPr id="634" name="Connector: Elbow 633">
          <a:extLst>
            <a:ext uri="{FF2B5EF4-FFF2-40B4-BE49-F238E27FC236}">
              <a16:creationId xmlns:a16="http://schemas.microsoft.com/office/drawing/2014/main" id="{2FF97C77-7CC0-4C18-AD08-95FB9C9B0F6A}"/>
            </a:ext>
          </a:extLst>
        </xdr:cNvPr>
        <xdr:cNvCxnSpPr>
          <a:stCxn id="610" idx="4"/>
          <a:endCxn id="633"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339</xdr:row>
      <xdr:rowOff>181655</xdr:rowOff>
    </xdr:from>
    <xdr:to>
      <xdr:col>27</xdr:col>
      <xdr:colOff>241664</xdr:colOff>
      <xdr:row>341</xdr:row>
      <xdr:rowOff>53203</xdr:rowOff>
    </xdr:to>
    <xdr:sp macro="" textlink="">
      <xdr:nvSpPr>
        <xdr:cNvPr id="635" name="Isosceles Triangle 634">
          <a:extLst>
            <a:ext uri="{FF2B5EF4-FFF2-40B4-BE49-F238E27FC236}">
              <a16:creationId xmlns:a16="http://schemas.microsoft.com/office/drawing/2014/main" id="{65A47803-9A49-4E87-8426-89A3230C3467}"/>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340</xdr:row>
      <xdr:rowOff>96111</xdr:rowOff>
    </xdr:from>
    <xdr:to>
      <xdr:col>27</xdr:col>
      <xdr:colOff>34836</xdr:colOff>
      <xdr:row>340</xdr:row>
      <xdr:rowOff>117429</xdr:rowOff>
    </xdr:to>
    <xdr:cxnSp macro="">
      <xdr:nvCxnSpPr>
        <xdr:cNvPr id="636" name="Connector: Elbow 351">
          <a:extLst>
            <a:ext uri="{FF2B5EF4-FFF2-40B4-BE49-F238E27FC236}">
              <a16:creationId xmlns:a16="http://schemas.microsoft.com/office/drawing/2014/main" id="{69B05DE9-CFE7-4235-9D11-249F348ECBC7}"/>
            </a:ext>
          </a:extLst>
        </xdr:cNvPr>
        <xdr:cNvCxnSpPr>
          <a:stCxn id="633" idx="3"/>
          <a:endCxn id="635"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400947</xdr:colOff>
      <xdr:row>322</xdr:row>
      <xdr:rowOff>149860</xdr:rowOff>
    </xdr:from>
    <xdr:to>
      <xdr:col>26</xdr:col>
      <xdr:colOff>607776</xdr:colOff>
      <xdr:row>324</xdr:row>
      <xdr:rowOff>13788</xdr:rowOff>
    </xdr:to>
    <xdr:sp macro="" textlink="">
      <xdr:nvSpPr>
        <xdr:cNvPr id="637" name="Isosceles Triangle 636">
          <a:extLst>
            <a:ext uri="{FF2B5EF4-FFF2-40B4-BE49-F238E27FC236}">
              <a16:creationId xmlns:a16="http://schemas.microsoft.com/office/drawing/2014/main" id="{74C9B3DC-35E6-4F91-A7BE-5DEB1FD87638}"/>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385354</xdr:colOff>
      <xdr:row>380</xdr:row>
      <xdr:rowOff>26670</xdr:rowOff>
    </xdr:from>
    <xdr:to>
      <xdr:col>23</xdr:col>
      <xdr:colOff>15240</xdr:colOff>
      <xdr:row>382</xdr:row>
      <xdr:rowOff>160564</xdr:rowOff>
    </xdr:to>
    <xdr:sp macro="" textlink="">
      <xdr:nvSpPr>
        <xdr:cNvPr id="638" name="Rectangle: Rounded Corners 637">
          <a:extLst>
            <a:ext uri="{FF2B5EF4-FFF2-40B4-BE49-F238E27FC236}">
              <a16:creationId xmlns:a16="http://schemas.microsoft.com/office/drawing/2014/main" id="{D6852B16-2E11-4557-9C43-5F9AA266F429}"/>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21</xdr:col>
      <xdr:colOff>547042</xdr:colOff>
      <xdr:row>395</xdr:row>
      <xdr:rowOff>144797</xdr:rowOff>
    </xdr:from>
    <xdr:to>
      <xdr:col>23</xdr:col>
      <xdr:colOff>176928</xdr:colOff>
      <xdr:row>398</xdr:row>
      <xdr:rowOff>95110</xdr:rowOff>
    </xdr:to>
    <xdr:sp macro="" textlink="">
      <xdr:nvSpPr>
        <xdr:cNvPr id="639" name="Rectangle: Rounded Corners 638">
          <a:extLst>
            <a:ext uri="{FF2B5EF4-FFF2-40B4-BE49-F238E27FC236}">
              <a16:creationId xmlns:a16="http://schemas.microsoft.com/office/drawing/2014/main" id="{BD9FB51D-90BD-46B7-AF1C-C957BF111777}"/>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21</xdr:col>
      <xdr:colOff>487136</xdr:colOff>
      <xdr:row>404</xdr:row>
      <xdr:rowOff>127907</xdr:rowOff>
    </xdr:from>
    <xdr:to>
      <xdr:col>23</xdr:col>
      <xdr:colOff>117022</xdr:colOff>
      <xdr:row>407</xdr:row>
      <xdr:rowOff>78922</xdr:rowOff>
    </xdr:to>
    <xdr:sp macro="" textlink="">
      <xdr:nvSpPr>
        <xdr:cNvPr id="640" name="Rectangle: Rounded Corners 639">
          <a:extLst>
            <a:ext uri="{FF2B5EF4-FFF2-40B4-BE49-F238E27FC236}">
              <a16:creationId xmlns:a16="http://schemas.microsoft.com/office/drawing/2014/main" id="{7FC55EBA-9772-4EDB-ABFF-81790FDDA3E2}"/>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19</xdr:col>
      <xdr:colOff>516528</xdr:colOff>
      <xdr:row>387</xdr:row>
      <xdr:rowOff>37011</xdr:rowOff>
    </xdr:from>
    <xdr:to>
      <xdr:col>20</xdr:col>
      <xdr:colOff>222613</xdr:colOff>
      <xdr:row>388</xdr:row>
      <xdr:rowOff>113210</xdr:rowOff>
    </xdr:to>
    <xdr:sp macro="" textlink="">
      <xdr:nvSpPr>
        <xdr:cNvPr id="641" name="Oval 640">
          <a:extLst>
            <a:ext uri="{FF2B5EF4-FFF2-40B4-BE49-F238E27FC236}">
              <a16:creationId xmlns:a16="http://schemas.microsoft.com/office/drawing/2014/main" id="{C1983ADF-7FD0-405A-944B-A8386B495C0D}"/>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20</xdr:col>
      <xdr:colOff>64770</xdr:colOff>
      <xdr:row>381</xdr:row>
      <xdr:rowOff>93618</xdr:rowOff>
    </xdr:from>
    <xdr:to>
      <xdr:col>21</xdr:col>
      <xdr:colOff>385353</xdr:colOff>
      <xdr:row>387</xdr:row>
      <xdr:rowOff>37012</xdr:rowOff>
    </xdr:to>
    <xdr:cxnSp macro="">
      <xdr:nvCxnSpPr>
        <xdr:cNvPr id="646" name="Connector: Elbow 645">
          <a:extLst>
            <a:ext uri="{FF2B5EF4-FFF2-40B4-BE49-F238E27FC236}">
              <a16:creationId xmlns:a16="http://schemas.microsoft.com/office/drawing/2014/main" id="{20BAC92C-AD1A-4429-8FDB-C30FDBBF0B6D}"/>
            </a:ext>
          </a:extLst>
        </xdr:cNvPr>
        <xdr:cNvCxnSpPr>
          <a:cxnSpLocks/>
          <a:stCxn id="641" idx="0"/>
          <a:endCxn id="638"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222613</xdr:colOff>
      <xdr:row>387</xdr:row>
      <xdr:rowOff>166551</xdr:rowOff>
    </xdr:from>
    <xdr:to>
      <xdr:col>21</xdr:col>
      <xdr:colOff>547042</xdr:colOff>
      <xdr:row>397</xdr:row>
      <xdr:rowOff>28514</xdr:rowOff>
    </xdr:to>
    <xdr:cxnSp macro="">
      <xdr:nvCxnSpPr>
        <xdr:cNvPr id="647" name="Connector: Elbow 646">
          <a:extLst>
            <a:ext uri="{FF2B5EF4-FFF2-40B4-BE49-F238E27FC236}">
              <a16:creationId xmlns:a16="http://schemas.microsoft.com/office/drawing/2014/main" id="{6D3DA972-0905-48F1-BD16-A4DA20490D31}"/>
            </a:ext>
          </a:extLst>
        </xdr:cNvPr>
        <xdr:cNvCxnSpPr>
          <a:stCxn id="641" idx="6"/>
          <a:endCxn id="639"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64771</xdr:colOff>
      <xdr:row>388</xdr:row>
      <xdr:rowOff>113209</xdr:rowOff>
    </xdr:from>
    <xdr:to>
      <xdr:col>21</xdr:col>
      <xdr:colOff>487136</xdr:colOff>
      <xdr:row>406</xdr:row>
      <xdr:rowOff>11974</xdr:rowOff>
    </xdr:to>
    <xdr:cxnSp macro="">
      <xdr:nvCxnSpPr>
        <xdr:cNvPr id="648" name="Connector: Elbow 647">
          <a:extLst>
            <a:ext uri="{FF2B5EF4-FFF2-40B4-BE49-F238E27FC236}">
              <a16:creationId xmlns:a16="http://schemas.microsoft.com/office/drawing/2014/main" id="{0EB55EE5-31B5-403D-A125-48515A494505}"/>
            </a:ext>
          </a:extLst>
        </xdr:cNvPr>
        <xdr:cNvCxnSpPr>
          <a:stCxn id="641" idx="4"/>
          <a:endCxn id="640"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103415</xdr:colOff>
      <xdr:row>405</xdr:row>
      <xdr:rowOff>76206</xdr:rowOff>
    </xdr:from>
    <xdr:to>
      <xdr:col>24</xdr:col>
      <xdr:colOff>310244</xdr:colOff>
      <xdr:row>406</xdr:row>
      <xdr:rowOff>130634</xdr:rowOff>
    </xdr:to>
    <xdr:sp macro="" textlink="">
      <xdr:nvSpPr>
        <xdr:cNvPr id="649" name="Isosceles Triangle 648">
          <a:extLst>
            <a:ext uri="{FF2B5EF4-FFF2-40B4-BE49-F238E27FC236}">
              <a16:creationId xmlns:a16="http://schemas.microsoft.com/office/drawing/2014/main" id="{9BE73383-408B-43DE-8314-06C9A695EEE6}"/>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117022</xdr:colOff>
      <xdr:row>406</xdr:row>
      <xdr:rowOff>8165</xdr:rowOff>
    </xdr:from>
    <xdr:to>
      <xdr:col>24</xdr:col>
      <xdr:colOff>103416</xdr:colOff>
      <xdr:row>406</xdr:row>
      <xdr:rowOff>8170</xdr:rowOff>
    </xdr:to>
    <xdr:cxnSp macro="">
      <xdr:nvCxnSpPr>
        <xdr:cNvPr id="650" name="Connector: Elbow 351">
          <a:extLst>
            <a:ext uri="{FF2B5EF4-FFF2-40B4-BE49-F238E27FC236}">
              <a16:creationId xmlns:a16="http://schemas.microsoft.com/office/drawing/2014/main" id="{AAC3BA95-142D-4D88-B2F0-50F9E49CD006}"/>
            </a:ext>
          </a:extLst>
        </xdr:cNvPr>
        <xdr:cNvCxnSpPr>
          <a:stCxn id="640" idx="3"/>
          <a:endCxn id="649"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293546</xdr:colOff>
      <xdr:row>396</xdr:row>
      <xdr:rowOff>74114</xdr:rowOff>
    </xdr:from>
    <xdr:to>
      <xdr:col>24</xdr:col>
      <xdr:colOff>500375</xdr:colOff>
      <xdr:row>397</xdr:row>
      <xdr:rowOff>134687</xdr:rowOff>
    </xdr:to>
    <xdr:sp macro="" textlink="">
      <xdr:nvSpPr>
        <xdr:cNvPr id="651" name="Isosceles Triangle 650">
          <a:extLst>
            <a:ext uri="{FF2B5EF4-FFF2-40B4-BE49-F238E27FC236}">
              <a16:creationId xmlns:a16="http://schemas.microsoft.com/office/drawing/2014/main" id="{B3D83031-9613-4CD3-8EAB-DCAB7D0E7008}"/>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176928</xdr:colOff>
      <xdr:row>397</xdr:row>
      <xdr:rowOff>12961</xdr:rowOff>
    </xdr:from>
    <xdr:to>
      <xdr:col>24</xdr:col>
      <xdr:colOff>293546</xdr:colOff>
      <xdr:row>397</xdr:row>
      <xdr:rowOff>28514</xdr:rowOff>
    </xdr:to>
    <xdr:cxnSp macro="">
      <xdr:nvCxnSpPr>
        <xdr:cNvPr id="656" name="Connector: Elbow 351">
          <a:extLst>
            <a:ext uri="{FF2B5EF4-FFF2-40B4-BE49-F238E27FC236}">
              <a16:creationId xmlns:a16="http://schemas.microsoft.com/office/drawing/2014/main" id="{9CD9DAB9-94B3-4CE5-8A4A-1070B3916749}"/>
            </a:ext>
          </a:extLst>
        </xdr:cNvPr>
        <xdr:cNvCxnSpPr>
          <a:stCxn id="639" idx="3"/>
          <a:endCxn id="651"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519389</xdr:colOff>
      <xdr:row>382</xdr:row>
      <xdr:rowOff>102642</xdr:rowOff>
    </xdr:from>
    <xdr:to>
      <xdr:col>27</xdr:col>
      <xdr:colOff>149275</xdr:colOff>
      <xdr:row>385</xdr:row>
      <xdr:rowOff>59100</xdr:rowOff>
    </xdr:to>
    <xdr:sp macro="" textlink="">
      <xdr:nvSpPr>
        <xdr:cNvPr id="658" name="Rectangle: Rounded Corners 657">
          <a:extLst>
            <a:ext uri="{FF2B5EF4-FFF2-40B4-BE49-F238E27FC236}">
              <a16:creationId xmlns:a16="http://schemas.microsoft.com/office/drawing/2014/main" id="{EFCD455E-0B04-476E-BAA7-1264C00247EB}"/>
            </a:ext>
          </a:extLst>
        </xdr:cNvPr>
        <xdr:cNvSpPr/>
      </xdr:nvSpPr>
      <xdr:spPr>
        <a:xfrm>
          <a:off x="14540189" y="13635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23</xdr:col>
      <xdr:colOff>601436</xdr:colOff>
      <xdr:row>381</xdr:row>
      <xdr:rowOff>-1</xdr:rowOff>
    </xdr:from>
    <xdr:to>
      <xdr:col>24</xdr:col>
      <xdr:colOff>307521</xdr:colOff>
      <xdr:row>382</xdr:row>
      <xdr:rowOff>76199</xdr:rowOff>
    </xdr:to>
    <xdr:sp macro="" textlink="">
      <xdr:nvSpPr>
        <xdr:cNvPr id="659" name="Oval 658">
          <a:extLst>
            <a:ext uri="{FF2B5EF4-FFF2-40B4-BE49-F238E27FC236}">
              <a16:creationId xmlns:a16="http://schemas.microsoft.com/office/drawing/2014/main" id="{2525529E-6D2A-4715-AC5F-F701985E0338}"/>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15240</xdr:colOff>
      <xdr:row>381</xdr:row>
      <xdr:rowOff>93617</xdr:rowOff>
    </xdr:from>
    <xdr:to>
      <xdr:col>23</xdr:col>
      <xdr:colOff>601436</xdr:colOff>
      <xdr:row>381</xdr:row>
      <xdr:rowOff>129539</xdr:rowOff>
    </xdr:to>
    <xdr:cxnSp macro="">
      <xdr:nvCxnSpPr>
        <xdr:cNvPr id="660" name="Connector: Elbow 42">
          <a:extLst>
            <a:ext uri="{FF2B5EF4-FFF2-40B4-BE49-F238E27FC236}">
              <a16:creationId xmlns:a16="http://schemas.microsoft.com/office/drawing/2014/main" id="{F1E8214D-BB6E-413F-AD0A-D33B14FD060C}"/>
            </a:ext>
          </a:extLst>
        </xdr:cNvPr>
        <xdr:cNvCxnSpPr>
          <a:cxnSpLocks/>
          <a:stCxn id="638" idx="3"/>
          <a:endCxn id="659"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149679</xdr:colOff>
      <xdr:row>382</xdr:row>
      <xdr:rowOff>76199</xdr:rowOff>
    </xdr:from>
    <xdr:to>
      <xdr:col>25</xdr:col>
      <xdr:colOff>519389</xdr:colOff>
      <xdr:row>383</xdr:row>
      <xdr:rowOff>172311</xdr:rowOff>
    </xdr:to>
    <xdr:cxnSp macro="">
      <xdr:nvCxnSpPr>
        <xdr:cNvPr id="662" name="Connector: Elbow 661">
          <a:extLst>
            <a:ext uri="{FF2B5EF4-FFF2-40B4-BE49-F238E27FC236}">
              <a16:creationId xmlns:a16="http://schemas.microsoft.com/office/drawing/2014/main" id="{F31CAA02-B1BD-4F30-8097-F5250A3ADC32}"/>
            </a:ext>
          </a:extLst>
        </xdr:cNvPr>
        <xdr:cNvCxnSpPr>
          <a:stCxn id="659" idx="4"/>
          <a:endCxn id="658" idx="1"/>
        </xdr:cNvCxnSpPr>
      </xdr:nvCxnSpPr>
      <xdr:spPr>
        <a:xfrm rot="16200000" flipH="1">
          <a:off x="13911038" y="13259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507275</xdr:colOff>
      <xdr:row>383</xdr:row>
      <xdr:rowOff>29256</xdr:rowOff>
    </xdr:from>
    <xdr:to>
      <xdr:col>29</xdr:col>
      <xdr:colOff>104504</xdr:colOff>
      <xdr:row>384</xdr:row>
      <xdr:rowOff>83684</xdr:rowOff>
    </xdr:to>
    <xdr:sp macro="" textlink="">
      <xdr:nvSpPr>
        <xdr:cNvPr id="663" name="Isosceles Triangle 662">
          <a:extLst>
            <a:ext uri="{FF2B5EF4-FFF2-40B4-BE49-F238E27FC236}">
              <a16:creationId xmlns:a16="http://schemas.microsoft.com/office/drawing/2014/main" id="{91D0214B-65C1-4CE5-82BC-E4BB5D19D671}"/>
            </a:ext>
          </a:extLst>
        </xdr:cNvPr>
        <xdr:cNvSpPr/>
      </xdr:nvSpPr>
      <xdr:spPr>
        <a:xfrm rot="5400000">
          <a:off x="16341636" y="13760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149275</xdr:colOff>
      <xdr:row>383</xdr:row>
      <xdr:rowOff>147910</xdr:rowOff>
    </xdr:from>
    <xdr:to>
      <xdr:col>28</xdr:col>
      <xdr:colOff>507276</xdr:colOff>
      <xdr:row>383</xdr:row>
      <xdr:rowOff>172311</xdr:rowOff>
    </xdr:to>
    <xdr:cxnSp macro="">
      <xdr:nvCxnSpPr>
        <xdr:cNvPr id="664" name="Connector: Elbow 351">
          <a:extLst>
            <a:ext uri="{FF2B5EF4-FFF2-40B4-BE49-F238E27FC236}">
              <a16:creationId xmlns:a16="http://schemas.microsoft.com/office/drawing/2014/main" id="{882FF268-5722-44EA-99FA-B8934BED9DBF}"/>
            </a:ext>
          </a:extLst>
        </xdr:cNvPr>
        <xdr:cNvCxnSpPr>
          <a:stCxn id="658" idx="3"/>
          <a:endCxn id="663" idx="3"/>
        </xdr:cNvCxnSpPr>
      </xdr:nvCxnSpPr>
      <xdr:spPr>
        <a:xfrm flipV="1">
          <a:off x="15389275" y="13863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428616</xdr:colOff>
      <xdr:row>371</xdr:row>
      <xdr:rowOff>131524</xdr:rowOff>
    </xdr:from>
    <xdr:to>
      <xdr:col>27</xdr:col>
      <xdr:colOff>58502</xdr:colOff>
      <xdr:row>374</xdr:row>
      <xdr:rowOff>94127</xdr:rowOff>
    </xdr:to>
    <xdr:sp macro="" textlink="">
      <xdr:nvSpPr>
        <xdr:cNvPr id="666" name="Rectangle: Rounded Corners 665">
          <a:extLst>
            <a:ext uri="{FF2B5EF4-FFF2-40B4-BE49-F238E27FC236}">
              <a16:creationId xmlns:a16="http://schemas.microsoft.com/office/drawing/2014/main" id="{1C6208C9-0823-4F10-A4CC-50DFBAA65E94}"/>
            </a:ext>
          </a:extLst>
        </xdr:cNvPr>
        <xdr:cNvSpPr/>
      </xdr:nvSpPr>
      <xdr:spPr>
        <a:xfrm>
          <a:off x="15668616" y="67949524"/>
          <a:ext cx="849086" cy="5112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24</xdr:col>
      <xdr:colOff>149679</xdr:colOff>
      <xdr:row>373</xdr:row>
      <xdr:rowOff>21387</xdr:rowOff>
    </xdr:from>
    <xdr:to>
      <xdr:col>25</xdr:col>
      <xdr:colOff>428616</xdr:colOff>
      <xdr:row>381</xdr:row>
      <xdr:rowOff>0</xdr:rowOff>
    </xdr:to>
    <xdr:cxnSp macro="">
      <xdr:nvCxnSpPr>
        <xdr:cNvPr id="668" name="Connector: Elbow 667">
          <a:extLst>
            <a:ext uri="{FF2B5EF4-FFF2-40B4-BE49-F238E27FC236}">
              <a16:creationId xmlns:a16="http://schemas.microsoft.com/office/drawing/2014/main" id="{4D90EE83-3831-489A-BEED-DBE8D05AD100}"/>
            </a:ext>
          </a:extLst>
        </xdr:cNvPr>
        <xdr:cNvCxnSpPr>
          <a:cxnSpLocks/>
          <a:stCxn id="659" idx="0"/>
          <a:endCxn id="666" idx="1"/>
        </xdr:cNvCxnSpPr>
      </xdr:nvCxnSpPr>
      <xdr:spPr>
        <a:xfrm rot="5400000" flipH="1" flipV="1">
          <a:off x="14503521" y="68481705"/>
          <a:ext cx="1441653" cy="88853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309507</xdr:colOff>
      <xdr:row>372</xdr:row>
      <xdr:rowOff>73660</xdr:rowOff>
    </xdr:from>
    <xdr:to>
      <xdr:col>28</xdr:col>
      <xdr:colOff>516336</xdr:colOff>
      <xdr:row>373</xdr:row>
      <xdr:rowOff>120468</xdr:rowOff>
    </xdr:to>
    <xdr:sp macro="" textlink="">
      <xdr:nvSpPr>
        <xdr:cNvPr id="669" name="Isosceles Triangle 668">
          <a:extLst>
            <a:ext uri="{FF2B5EF4-FFF2-40B4-BE49-F238E27FC236}">
              <a16:creationId xmlns:a16="http://schemas.microsoft.com/office/drawing/2014/main" id="{59F586ED-68E1-4B60-B771-B6B39F76E65A}"/>
            </a:ext>
          </a:extLst>
        </xdr:cNvPr>
        <xdr:cNvSpPr/>
      </xdr:nvSpPr>
      <xdr:spPr>
        <a:xfrm rot="5400000">
          <a:off x="17366878" y="6808596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58502</xdr:colOff>
      <xdr:row>373</xdr:row>
      <xdr:rowOff>5624</xdr:rowOff>
    </xdr:from>
    <xdr:to>
      <xdr:col>28</xdr:col>
      <xdr:colOff>309508</xdr:colOff>
      <xdr:row>373</xdr:row>
      <xdr:rowOff>21386</xdr:rowOff>
    </xdr:to>
    <xdr:cxnSp macro="">
      <xdr:nvCxnSpPr>
        <xdr:cNvPr id="670" name="Connector: Elbow 351">
          <a:extLst>
            <a:ext uri="{FF2B5EF4-FFF2-40B4-BE49-F238E27FC236}">
              <a16:creationId xmlns:a16="http://schemas.microsoft.com/office/drawing/2014/main" id="{4B0EFA93-C610-4808-B2AE-214223905338}"/>
            </a:ext>
          </a:extLst>
        </xdr:cNvPr>
        <xdr:cNvCxnSpPr>
          <a:cxnSpLocks/>
          <a:stCxn id="666" idx="3"/>
          <a:endCxn id="669" idx="3"/>
        </xdr:cNvCxnSpPr>
      </xdr:nvCxnSpPr>
      <xdr:spPr>
        <a:xfrm flipV="1">
          <a:off x="16517702" y="68189384"/>
          <a:ext cx="860606" cy="1576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549869</xdr:colOff>
      <xdr:row>389</xdr:row>
      <xdr:rowOff>26442</xdr:rowOff>
    </xdr:from>
    <xdr:to>
      <xdr:col>27</xdr:col>
      <xdr:colOff>179755</xdr:colOff>
      <xdr:row>391</xdr:row>
      <xdr:rowOff>165780</xdr:rowOff>
    </xdr:to>
    <xdr:sp macro="" textlink="">
      <xdr:nvSpPr>
        <xdr:cNvPr id="674" name="Rectangle: Rounded Corners 673">
          <a:extLst>
            <a:ext uri="{FF2B5EF4-FFF2-40B4-BE49-F238E27FC236}">
              <a16:creationId xmlns:a16="http://schemas.microsoft.com/office/drawing/2014/main" id="{57260867-B355-41F1-AB7F-C9806A17BB31}"/>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24</xdr:col>
      <xdr:colOff>149679</xdr:colOff>
      <xdr:row>382</xdr:row>
      <xdr:rowOff>76199</xdr:rowOff>
    </xdr:from>
    <xdr:to>
      <xdr:col>25</xdr:col>
      <xdr:colOff>549869</xdr:colOff>
      <xdr:row>390</xdr:row>
      <xdr:rowOff>96111</xdr:rowOff>
    </xdr:to>
    <xdr:cxnSp macro="">
      <xdr:nvCxnSpPr>
        <xdr:cNvPr id="675" name="Connector: Elbow 674">
          <a:extLst>
            <a:ext uri="{FF2B5EF4-FFF2-40B4-BE49-F238E27FC236}">
              <a16:creationId xmlns:a16="http://schemas.microsoft.com/office/drawing/2014/main" id="{41810608-14C9-44DD-A8E8-8558DAFF6134}"/>
            </a:ext>
          </a:extLst>
        </xdr:cNvPr>
        <xdr:cNvCxnSpPr>
          <a:stCxn id="659" idx="4"/>
          <a:endCxn id="674"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34835</xdr:colOff>
      <xdr:row>389</xdr:row>
      <xdr:rowOff>181655</xdr:rowOff>
    </xdr:from>
    <xdr:to>
      <xdr:col>29</xdr:col>
      <xdr:colOff>241664</xdr:colOff>
      <xdr:row>391</xdr:row>
      <xdr:rowOff>53203</xdr:rowOff>
    </xdr:to>
    <xdr:sp macro="" textlink="">
      <xdr:nvSpPr>
        <xdr:cNvPr id="676" name="Isosceles Triangle 675">
          <a:extLst>
            <a:ext uri="{FF2B5EF4-FFF2-40B4-BE49-F238E27FC236}">
              <a16:creationId xmlns:a16="http://schemas.microsoft.com/office/drawing/2014/main" id="{2B41C47D-6CCF-44E7-BB28-46C0B7FEA4FB}"/>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179755</xdr:colOff>
      <xdr:row>390</xdr:row>
      <xdr:rowOff>96111</xdr:rowOff>
    </xdr:from>
    <xdr:to>
      <xdr:col>29</xdr:col>
      <xdr:colOff>34836</xdr:colOff>
      <xdr:row>390</xdr:row>
      <xdr:rowOff>117429</xdr:rowOff>
    </xdr:to>
    <xdr:cxnSp macro="">
      <xdr:nvCxnSpPr>
        <xdr:cNvPr id="677" name="Connector: Elbow 351">
          <a:extLst>
            <a:ext uri="{FF2B5EF4-FFF2-40B4-BE49-F238E27FC236}">
              <a16:creationId xmlns:a16="http://schemas.microsoft.com/office/drawing/2014/main" id="{16AC9345-9E83-41E0-9506-8232D670AC6B}"/>
            </a:ext>
          </a:extLst>
        </xdr:cNvPr>
        <xdr:cNvCxnSpPr>
          <a:stCxn id="674" idx="3"/>
          <a:endCxn id="676"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591339</xdr:colOff>
      <xdr:row>17</xdr:row>
      <xdr:rowOff>55130</xdr:rowOff>
    </xdr:from>
    <xdr:to>
      <xdr:col>7</xdr:col>
      <xdr:colOff>539932</xdr:colOff>
      <xdr:row>66</xdr:row>
      <xdr:rowOff>72933</xdr:rowOff>
    </xdr:to>
    <xdr:cxnSp macro="">
      <xdr:nvCxnSpPr>
        <xdr:cNvPr id="17" name="Connector: Elbow 16">
          <a:extLst>
            <a:ext uri="{FF2B5EF4-FFF2-40B4-BE49-F238E27FC236}">
              <a16:creationId xmlns:a16="http://schemas.microsoft.com/office/drawing/2014/main" id="{520E8D03-D3C0-4AEE-BED4-37EB500BDDC4}"/>
            </a:ext>
          </a:extLst>
        </xdr:cNvPr>
        <xdr:cNvCxnSpPr>
          <a:cxnSpLocks/>
          <a:stCxn id="257" idx="2"/>
          <a:endCxn id="25" idx="2"/>
        </xdr:cNvCxnSpPr>
      </xdr:nvCxnSpPr>
      <xdr:spPr>
        <a:xfrm rot="16200000" flipH="1">
          <a:off x="-1485426" y="5850455"/>
          <a:ext cx="8978923" cy="360619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8165</xdr:colOff>
      <xdr:row>149</xdr:row>
      <xdr:rowOff>155667</xdr:rowOff>
    </xdr:from>
    <xdr:to>
      <xdr:col>11</xdr:col>
      <xdr:colOff>247651</xdr:colOff>
      <xdr:row>151</xdr:row>
      <xdr:rowOff>177438</xdr:rowOff>
    </xdr:to>
    <xdr:sp macro="" textlink="">
      <xdr:nvSpPr>
        <xdr:cNvPr id="20" name="Rectangle: Rounded Corners 19">
          <a:extLst>
            <a:ext uri="{FF2B5EF4-FFF2-40B4-BE49-F238E27FC236}">
              <a16:creationId xmlns:a16="http://schemas.microsoft.com/office/drawing/2014/main" id="{D6FCAE08-9331-492C-A878-C8572DA18BCE}"/>
            </a:ext>
          </a:extLst>
        </xdr:cNvPr>
        <xdr:cNvSpPr/>
      </xdr:nvSpPr>
      <xdr:spPr>
        <a:xfrm>
          <a:off x="6104165" y="27404787"/>
          <a:ext cx="849086" cy="38753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10</xdr:col>
      <xdr:colOff>341811</xdr:colOff>
      <xdr:row>45</xdr:row>
      <xdr:rowOff>156210</xdr:rowOff>
    </xdr:from>
    <xdr:to>
      <xdr:col>11</xdr:col>
      <xdr:colOff>581297</xdr:colOff>
      <xdr:row>48</xdr:row>
      <xdr:rowOff>107224</xdr:rowOff>
    </xdr:to>
    <xdr:sp macro="" textlink="">
      <xdr:nvSpPr>
        <xdr:cNvPr id="21" name="Rectangle: Rounded Corners 20">
          <a:extLst>
            <a:ext uri="{FF2B5EF4-FFF2-40B4-BE49-F238E27FC236}">
              <a16:creationId xmlns:a16="http://schemas.microsoft.com/office/drawing/2014/main" id="{72A7353B-7E86-42F6-8BEF-A9C4EC4E9CC3}"/>
            </a:ext>
          </a:extLst>
        </xdr:cNvPr>
        <xdr:cNvSpPr/>
      </xdr:nvSpPr>
      <xdr:spPr>
        <a:xfrm>
          <a:off x="6437811" y="83858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8</xdr:col>
      <xdr:colOff>88175</xdr:colOff>
      <xdr:row>47</xdr:row>
      <xdr:rowOff>40277</xdr:rowOff>
    </xdr:from>
    <xdr:to>
      <xdr:col>10</xdr:col>
      <xdr:colOff>341811</xdr:colOff>
      <xdr:row>65</xdr:row>
      <xdr:rowOff>126273</xdr:rowOff>
    </xdr:to>
    <xdr:cxnSp macro="">
      <xdr:nvCxnSpPr>
        <xdr:cNvPr id="22" name="Connector: Elbow 21">
          <a:extLst>
            <a:ext uri="{FF2B5EF4-FFF2-40B4-BE49-F238E27FC236}">
              <a16:creationId xmlns:a16="http://schemas.microsoft.com/office/drawing/2014/main" id="{1816B7AF-8A66-47E3-8D6F-E1D903483585}"/>
            </a:ext>
          </a:extLst>
        </xdr:cNvPr>
        <xdr:cNvCxnSpPr>
          <a:stCxn id="25" idx="0"/>
          <a:endCxn id="21" idx="1"/>
        </xdr:cNvCxnSpPr>
      </xdr:nvCxnSpPr>
      <xdr:spPr>
        <a:xfrm rot="5400000" flipH="1" flipV="1">
          <a:off x="4012475" y="9588137"/>
          <a:ext cx="3377836" cy="147283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88176</xdr:colOff>
      <xdr:row>67</xdr:row>
      <xdr:rowOff>19593</xdr:rowOff>
    </xdr:from>
    <xdr:to>
      <xdr:col>10</xdr:col>
      <xdr:colOff>8166</xdr:colOff>
      <xdr:row>150</xdr:row>
      <xdr:rowOff>166552</xdr:rowOff>
    </xdr:to>
    <xdr:cxnSp macro="">
      <xdr:nvCxnSpPr>
        <xdr:cNvPr id="23" name="Connector: Elbow 22">
          <a:extLst>
            <a:ext uri="{FF2B5EF4-FFF2-40B4-BE49-F238E27FC236}">
              <a16:creationId xmlns:a16="http://schemas.microsoft.com/office/drawing/2014/main" id="{5CF9EC91-18A5-4BB5-A684-C94273B21C20}"/>
            </a:ext>
          </a:extLst>
        </xdr:cNvPr>
        <xdr:cNvCxnSpPr>
          <a:stCxn id="25" idx="4"/>
          <a:endCxn id="20" idx="1"/>
        </xdr:cNvCxnSpPr>
      </xdr:nvCxnSpPr>
      <xdr:spPr>
        <a:xfrm rot="16200000" flipH="1">
          <a:off x="-2128429" y="19365958"/>
          <a:ext cx="15325999" cy="11391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539932</xdr:colOff>
      <xdr:row>65</xdr:row>
      <xdr:rowOff>126273</xdr:rowOff>
    </xdr:from>
    <xdr:to>
      <xdr:col>8</xdr:col>
      <xdr:colOff>246017</xdr:colOff>
      <xdr:row>67</xdr:row>
      <xdr:rowOff>19594</xdr:rowOff>
    </xdr:to>
    <xdr:sp macro="" textlink="">
      <xdr:nvSpPr>
        <xdr:cNvPr id="25" name="Oval 24">
          <a:extLst>
            <a:ext uri="{FF2B5EF4-FFF2-40B4-BE49-F238E27FC236}">
              <a16:creationId xmlns:a16="http://schemas.microsoft.com/office/drawing/2014/main" id="{EAE8D2F4-7881-47E1-B0D4-A83153D829DE}"/>
            </a:ext>
          </a:extLst>
        </xdr:cNvPr>
        <xdr:cNvSpPr/>
      </xdr:nvSpPr>
      <xdr:spPr>
        <a:xfrm>
          <a:off x="4807132" y="12013473"/>
          <a:ext cx="315685" cy="259081"/>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0</xdr:colOff>
      <xdr:row>1</xdr:row>
      <xdr:rowOff>0</xdr:rowOff>
    </xdr:from>
    <xdr:to>
      <xdr:col>0</xdr:col>
      <xdr:colOff>0</xdr:colOff>
      <xdr:row>1</xdr:row>
      <xdr:rowOff>174173</xdr:rowOff>
    </xdr:to>
    <xdr:cxnSp macro="">
      <xdr:nvCxnSpPr>
        <xdr:cNvPr id="49" name="Connector: Elbow 48">
          <a:extLst>
            <a:ext uri="{FF2B5EF4-FFF2-40B4-BE49-F238E27FC236}">
              <a16:creationId xmlns:a16="http://schemas.microsoft.com/office/drawing/2014/main" id="{B45DDA66-1245-4EDA-9E57-3B3AD6840569}"/>
            </a:ext>
          </a:extLst>
        </xdr:cNvPr>
        <xdr:cNvCxnSpPr>
          <a:cxnSpLocks/>
        </xdr:cNvCxnSpPr>
      </xdr:nvCxnSpPr>
      <xdr:spPr>
        <a:xfrm rot="5400000" flipH="1" flipV="1">
          <a:off x="8024949" y="11958504"/>
          <a:ext cx="493667" cy="44359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581297</xdr:colOff>
      <xdr:row>47</xdr:row>
      <xdr:rowOff>40277</xdr:rowOff>
    </xdr:from>
    <xdr:to>
      <xdr:col>12</xdr:col>
      <xdr:colOff>451758</xdr:colOff>
      <xdr:row>47</xdr:row>
      <xdr:rowOff>46807</xdr:rowOff>
    </xdr:to>
    <xdr:cxnSp macro="">
      <xdr:nvCxnSpPr>
        <xdr:cNvPr id="57" name="Connector: Elbow 42">
          <a:extLst>
            <a:ext uri="{FF2B5EF4-FFF2-40B4-BE49-F238E27FC236}">
              <a16:creationId xmlns:a16="http://schemas.microsoft.com/office/drawing/2014/main" id="{BB6E1D6A-7A22-4A30-B201-5AB8CAC78DFA}"/>
            </a:ext>
          </a:extLst>
        </xdr:cNvPr>
        <xdr:cNvCxnSpPr>
          <a:cxnSpLocks/>
          <a:stCxn id="21" idx="3"/>
          <a:endCxn id="162" idx="2"/>
        </xdr:cNvCxnSpPr>
      </xdr:nvCxnSpPr>
      <xdr:spPr>
        <a:xfrm>
          <a:off x="7286897" y="8635637"/>
          <a:ext cx="480061" cy="653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247651</xdr:colOff>
      <xdr:row>150</xdr:row>
      <xdr:rowOff>166553</xdr:rowOff>
    </xdr:from>
    <xdr:to>
      <xdr:col>12</xdr:col>
      <xdr:colOff>451758</xdr:colOff>
      <xdr:row>151</xdr:row>
      <xdr:rowOff>46807</xdr:rowOff>
    </xdr:to>
    <xdr:cxnSp macro="">
      <xdr:nvCxnSpPr>
        <xdr:cNvPr id="58" name="Connector: Elbow 42">
          <a:extLst>
            <a:ext uri="{FF2B5EF4-FFF2-40B4-BE49-F238E27FC236}">
              <a16:creationId xmlns:a16="http://schemas.microsoft.com/office/drawing/2014/main" id="{6D0A4709-B49A-4584-B3E4-A5C3353C1811}"/>
            </a:ext>
          </a:extLst>
        </xdr:cNvPr>
        <xdr:cNvCxnSpPr>
          <a:cxnSpLocks/>
          <a:stCxn id="20" idx="3"/>
          <a:endCxn id="273" idx="2"/>
        </xdr:cNvCxnSpPr>
      </xdr:nvCxnSpPr>
      <xdr:spPr>
        <a:xfrm>
          <a:off x="6953251" y="27598553"/>
          <a:ext cx="813707" cy="6313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xdr:row>
      <xdr:rowOff>0</xdr:rowOff>
    </xdr:from>
    <xdr:to>
      <xdr:col>0</xdr:col>
      <xdr:colOff>0</xdr:colOff>
      <xdr:row>1</xdr:row>
      <xdr:rowOff>54428</xdr:rowOff>
    </xdr:to>
    <xdr:sp macro="" textlink="">
      <xdr:nvSpPr>
        <xdr:cNvPr id="133" name="Isosceles Triangle 132">
          <a:extLst>
            <a:ext uri="{FF2B5EF4-FFF2-40B4-BE49-F238E27FC236}">
              <a16:creationId xmlns:a16="http://schemas.microsoft.com/office/drawing/2014/main" id="{7F093AEE-0F2F-46C7-BBAE-101A5D2784ED}"/>
            </a:ext>
          </a:extLst>
        </xdr:cNvPr>
        <xdr:cNvSpPr/>
      </xdr:nvSpPr>
      <xdr:spPr>
        <a:xfrm rot="5400000">
          <a:off x="11975376" y="12085319"/>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166796</xdr:colOff>
      <xdr:row>14</xdr:row>
      <xdr:rowOff>98674</xdr:rowOff>
    </xdr:from>
    <xdr:to>
      <xdr:col>2</xdr:col>
      <xdr:colOff>406282</xdr:colOff>
      <xdr:row>17</xdr:row>
      <xdr:rowOff>55131</xdr:rowOff>
    </xdr:to>
    <xdr:sp macro="" textlink="">
      <xdr:nvSpPr>
        <xdr:cNvPr id="257" name="Rectangle: Rounded Corners 256">
          <a:extLst>
            <a:ext uri="{FF2B5EF4-FFF2-40B4-BE49-F238E27FC236}">
              <a16:creationId xmlns:a16="http://schemas.microsoft.com/office/drawing/2014/main" id="{19A0AF5E-EAB3-49E6-A143-FA3AAA5C9E6F}"/>
            </a:ext>
          </a:extLst>
        </xdr:cNvPr>
        <xdr:cNvSpPr/>
      </xdr:nvSpPr>
      <xdr:spPr>
        <a:xfrm>
          <a:off x="776396" y="14729074"/>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Comparator</a:t>
          </a:r>
        </a:p>
      </xdr:txBody>
    </xdr:sp>
    <xdr:clientData/>
  </xdr:twoCellAnchor>
  <xdr:twoCellAnchor>
    <xdr:from>
      <xdr:col>1</xdr:col>
      <xdr:colOff>583029</xdr:colOff>
      <xdr:row>1</xdr:row>
      <xdr:rowOff>0</xdr:rowOff>
    </xdr:from>
    <xdr:to>
      <xdr:col>1</xdr:col>
      <xdr:colOff>593797</xdr:colOff>
      <xdr:row>14</xdr:row>
      <xdr:rowOff>98674</xdr:rowOff>
    </xdr:to>
    <xdr:cxnSp macro="">
      <xdr:nvCxnSpPr>
        <xdr:cNvPr id="258" name="Connector: Elbow 838">
          <a:extLst>
            <a:ext uri="{FF2B5EF4-FFF2-40B4-BE49-F238E27FC236}">
              <a16:creationId xmlns:a16="http://schemas.microsoft.com/office/drawing/2014/main" id="{09244165-2EE3-4F41-B1B9-96F7AAC17446}"/>
            </a:ext>
          </a:extLst>
        </xdr:cNvPr>
        <xdr:cNvCxnSpPr>
          <a:cxnSpLocks/>
          <a:endCxn id="257" idx="0"/>
        </xdr:cNvCxnSpPr>
      </xdr:nvCxnSpPr>
      <xdr:spPr>
        <a:xfrm>
          <a:off x="1192629" y="12146280"/>
          <a:ext cx="10768" cy="258279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594904</xdr:colOff>
      <xdr:row>39</xdr:row>
      <xdr:rowOff>81643</xdr:rowOff>
    </xdr:from>
    <xdr:to>
      <xdr:col>15</xdr:col>
      <xdr:colOff>224790</xdr:colOff>
      <xdr:row>42</xdr:row>
      <xdr:rowOff>38100</xdr:rowOff>
    </xdr:to>
    <xdr:sp macro="" textlink="">
      <xdr:nvSpPr>
        <xdr:cNvPr id="158" name="Rectangle: Rounded Corners 157">
          <a:extLst>
            <a:ext uri="{FF2B5EF4-FFF2-40B4-BE49-F238E27FC236}">
              <a16:creationId xmlns:a16="http://schemas.microsoft.com/office/drawing/2014/main" id="{E52BF4F0-38D0-49B6-8E45-4F6CD8123A39}"/>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283573</xdr:colOff>
      <xdr:row>78</xdr:row>
      <xdr:rowOff>81099</xdr:rowOff>
    </xdr:from>
    <xdr:to>
      <xdr:col>15</xdr:col>
      <xdr:colOff>523059</xdr:colOff>
      <xdr:row>81</xdr:row>
      <xdr:rowOff>30480</xdr:rowOff>
    </xdr:to>
    <xdr:sp macro="" textlink="">
      <xdr:nvSpPr>
        <xdr:cNvPr id="159" name="Rectangle: Rounded Corners 158">
          <a:extLst>
            <a:ext uri="{FF2B5EF4-FFF2-40B4-BE49-F238E27FC236}">
              <a16:creationId xmlns:a16="http://schemas.microsoft.com/office/drawing/2014/main" id="{EA0762C8-3C32-45FD-A0A3-AFE01C60C3AE}"/>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1</xdr:colOff>
      <xdr:row>40</xdr:row>
      <xdr:rowOff>151313</xdr:rowOff>
    </xdr:from>
    <xdr:to>
      <xdr:col>13</xdr:col>
      <xdr:colOff>594904</xdr:colOff>
      <xdr:row>46</xdr:row>
      <xdr:rowOff>100148</xdr:rowOff>
    </xdr:to>
    <xdr:cxnSp macro="">
      <xdr:nvCxnSpPr>
        <xdr:cNvPr id="160" name="Connector: Elbow 159">
          <a:extLst>
            <a:ext uri="{FF2B5EF4-FFF2-40B4-BE49-F238E27FC236}">
              <a16:creationId xmlns:a16="http://schemas.microsoft.com/office/drawing/2014/main" id="{6F16185E-9F28-4A2E-9FDC-7F6DDCABD930}"/>
            </a:ext>
          </a:extLst>
        </xdr:cNvPr>
        <xdr:cNvCxnSpPr>
          <a:stCxn id="162" idx="0"/>
          <a:endCxn id="158"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xdr:colOff>
      <xdr:row>47</xdr:row>
      <xdr:rowOff>176346</xdr:rowOff>
    </xdr:from>
    <xdr:to>
      <xdr:col>14</xdr:col>
      <xdr:colOff>283574</xdr:colOff>
      <xdr:row>79</xdr:row>
      <xdr:rowOff>147229</xdr:rowOff>
    </xdr:to>
    <xdr:cxnSp macro="">
      <xdr:nvCxnSpPr>
        <xdr:cNvPr id="161" name="Connector: Elbow 160">
          <a:extLst>
            <a:ext uri="{FF2B5EF4-FFF2-40B4-BE49-F238E27FC236}">
              <a16:creationId xmlns:a16="http://schemas.microsoft.com/office/drawing/2014/main" id="{8EA11D83-273A-485C-9189-0D4F5613C554}"/>
            </a:ext>
          </a:extLst>
        </xdr:cNvPr>
        <xdr:cNvCxnSpPr>
          <a:stCxn id="162" idx="4"/>
          <a:endCxn id="159"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451758</xdr:colOff>
      <xdr:row>46</xdr:row>
      <xdr:rowOff>100147</xdr:rowOff>
    </xdr:from>
    <xdr:to>
      <xdr:col>13</xdr:col>
      <xdr:colOff>157843</xdr:colOff>
      <xdr:row>47</xdr:row>
      <xdr:rowOff>176347</xdr:rowOff>
    </xdr:to>
    <xdr:sp macro="" textlink="">
      <xdr:nvSpPr>
        <xdr:cNvPr id="162" name="Oval 161">
          <a:extLst>
            <a:ext uri="{FF2B5EF4-FFF2-40B4-BE49-F238E27FC236}">
              <a16:creationId xmlns:a16="http://schemas.microsoft.com/office/drawing/2014/main" id="{7C9021F5-A8C7-4E51-9471-ACEB1B3E12F3}"/>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523059</xdr:colOff>
      <xdr:row>79</xdr:row>
      <xdr:rowOff>147230</xdr:rowOff>
    </xdr:from>
    <xdr:to>
      <xdr:col>17</xdr:col>
      <xdr:colOff>516528</xdr:colOff>
      <xdr:row>79</xdr:row>
      <xdr:rowOff>166551</xdr:rowOff>
    </xdr:to>
    <xdr:cxnSp macro="">
      <xdr:nvCxnSpPr>
        <xdr:cNvPr id="163" name="Connector: Elbow 351">
          <a:extLst>
            <a:ext uri="{FF2B5EF4-FFF2-40B4-BE49-F238E27FC236}">
              <a16:creationId xmlns:a16="http://schemas.microsoft.com/office/drawing/2014/main" id="{236510D6-5CD7-4102-ACAC-4048AA970D35}"/>
            </a:ext>
          </a:extLst>
        </xdr:cNvPr>
        <xdr:cNvCxnSpPr>
          <a:cxnSpLocks/>
          <a:stCxn id="159" idx="3"/>
          <a:endCxn id="217"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141514</xdr:colOff>
      <xdr:row>22</xdr:row>
      <xdr:rowOff>57150</xdr:rowOff>
    </xdr:from>
    <xdr:to>
      <xdr:col>18</xdr:col>
      <xdr:colOff>381000</xdr:colOff>
      <xdr:row>25</xdr:row>
      <xdr:rowOff>8164</xdr:rowOff>
    </xdr:to>
    <xdr:sp macro="" textlink="">
      <xdr:nvSpPr>
        <xdr:cNvPr id="164" name="Rectangle: Rounded Corners 163">
          <a:extLst>
            <a:ext uri="{FF2B5EF4-FFF2-40B4-BE49-F238E27FC236}">
              <a16:creationId xmlns:a16="http://schemas.microsoft.com/office/drawing/2014/main" id="{BED54C72-E51F-48DD-82CB-2C0562635FE7}"/>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547042</xdr:colOff>
      <xdr:row>37</xdr:row>
      <xdr:rowOff>144797</xdr:rowOff>
    </xdr:from>
    <xdr:to>
      <xdr:col>19</xdr:col>
      <xdr:colOff>176928</xdr:colOff>
      <xdr:row>40</xdr:row>
      <xdr:rowOff>95110</xdr:rowOff>
    </xdr:to>
    <xdr:sp macro="" textlink="">
      <xdr:nvSpPr>
        <xdr:cNvPr id="165" name="Rectangle: Rounded Corners 164">
          <a:extLst>
            <a:ext uri="{FF2B5EF4-FFF2-40B4-BE49-F238E27FC236}">
              <a16:creationId xmlns:a16="http://schemas.microsoft.com/office/drawing/2014/main" id="{3379D09F-BEE3-4EAA-AD0F-EDBA4A1BC5F6}"/>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17</xdr:col>
      <xdr:colOff>487136</xdr:colOff>
      <xdr:row>46</xdr:row>
      <xdr:rowOff>127907</xdr:rowOff>
    </xdr:from>
    <xdr:to>
      <xdr:col>19</xdr:col>
      <xdr:colOff>117022</xdr:colOff>
      <xdr:row>49</xdr:row>
      <xdr:rowOff>78922</xdr:rowOff>
    </xdr:to>
    <xdr:sp macro="" textlink="">
      <xdr:nvSpPr>
        <xdr:cNvPr id="166" name="Rectangle: Rounded Corners 165">
          <a:extLst>
            <a:ext uri="{FF2B5EF4-FFF2-40B4-BE49-F238E27FC236}">
              <a16:creationId xmlns:a16="http://schemas.microsoft.com/office/drawing/2014/main" id="{AA7AF8FE-C511-4C8F-A451-20DEDC74E339}"/>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13608</xdr:colOff>
      <xdr:row>40</xdr:row>
      <xdr:rowOff>21771</xdr:rowOff>
    </xdr:from>
    <xdr:to>
      <xdr:col>16</xdr:col>
      <xdr:colOff>329293</xdr:colOff>
      <xdr:row>41</xdr:row>
      <xdr:rowOff>97970</xdr:rowOff>
    </xdr:to>
    <xdr:sp macro="" textlink="">
      <xdr:nvSpPr>
        <xdr:cNvPr id="167" name="Oval 166">
          <a:extLst>
            <a:ext uri="{FF2B5EF4-FFF2-40B4-BE49-F238E27FC236}">
              <a16:creationId xmlns:a16="http://schemas.microsoft.com/office/drawing/2014/main" id="{0BCBC8A5-60F3-4A54-9BF1-AFE9EC7AF243}"/>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224790</xdr:colOff>
      <xdr:row>40</xdr:row>
      <xdr:rowOff>151311</xdr:rowOff>
    </xdr:from>
    <xdr:to>
      <xdr:col>16</xdr:col>
      <xdr:colOff>13608</xdr:colOff>
      <xdr:row>40</xdr:row>
      <xdr:rowOff>151312</xdr:rowOff>
    </xdr:to>
    <xdr:cxnSp macro="">
      <xdr:nvCxnSpPr>
        <xdr:cNvPr id="168" name="Connector: Elbow 42">
          <a:extLst>
            <a:ext uri="{FF2B5EF4-FFF2-40B4-BE49-F238E27FC236}">
              <a16:creationId xmlns:a16="http://schemas.microsoft.com/office/drawing/2014/main" id="{22102FE5-C330-4364-BB23-E5895D2AEE00}"/>
            </a:ext>
          </a:extLst>
        </xdr:cNvPr>
        <xdr:cNvCxnSpPr>
          <a:cxnSpLocks/>
          <a:stCxn id="158" idx="3"/>
          <a:endCxn id="167"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171450</xdr:colOff>
      <xdr:row>23</xdr:row>
      <xdr:rowOff>127908</xdr:rowOff>
    </xdr:from>
    <xdr:to>
      <xdr:col>17</xdr:col>
      <xdr:colOff>141513</xdr:colOff>
      <xdr:row>40</xdr:row>
      <xdr:rowOff>21772</xdr:rowOff>
    </xdr:to>
    <xdr:cxnSp macro="">
      <xdr:nvCxnSpPr>
        <xdr:cNvPr id="169" name="Connector: Elbow 168">
          <a:extLst>
            <a:ext uri="{FF2B5EF4-FFF2-40B4-BE49-F238E27FC236}">
              <a16:creationId xmlns:a16="http://schemas.microsoft.com/office/drawing/2014/main" id="{0F9DEF7D-D2FB-4095-97FB-6F21D834EB62}"/>
            </a:ext>
          </a:extLst>
        </xdr:cNvPr>
        <xdr:cNvCxnSpPr>
          <a:stCxn id="167" idx="0"/>
          <a:endCxn id="164"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329293</xdr:colOff>
      <xdr:row>39</xdr:row>
      <xdr:rowOff>28514</xdr:rowOff>
    </xdr:from>
    <xdr:to>
      <xdr:col>17</xdr:col>
      <xdr:colOff>547042</xdr:colOff>
      <xdr:row>40</xdr:row>
      <xdr:rowOff>151311</xdr:rowOff>
    </xdr:to>
    <xdr:cxnSp macro="">
      <xdr:nvCxnSpPr>
        <xdr:cNvPr id="170" name="Connector: Elbow 169">
          <a:extLst>
            <a:ext uri="{FF2B5EF4-FFF2-40B4-BE49-F238E27FC236}">
              <a16:creationId xmlns:a16="http://schemas.microsoft.com/office/drawing/2014/main" id="{55CC73ED-AD6D-4C0C-982C-8D78660D8CD4}"/>
            </a:ext>
          </a:extLst>
        </xdr:cNvPr>
        <xdr:cNvCxnSpPr>
          <a:stCxn id="167" idx="6"/>
          <a:endCxn id="165"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171451</xdr:colOff>
      <xdr:row>41</xdr:row>
      <xdr:rowOff>97969</xdr:rowOff>
    </xdr:from>
    <xdr:to>
      <xdr:col>17</xdr:col>
      <xdr:colOff>487136</xdr:colOff>
      <xdr:row>48</xdr:row>
      <xdr:rowOff>8164</xdr:rowOff>
    </xdr:to>
    <xdr:cxnSp macro="">
      <xdr:nvCxnSpPr>
        <xdr:cNvPr id="171" name="Connector: Elbow 170">
          <a:extLst>
            <a:ext uri="{FF2B5EF4-FFF2-40B4-BE49-F238E27FC236}">
              <a16:creationId xmlns:a16="http://schemas.microsoft.com/office/drawing/2014/main" id="{98EA1DDE-DAAE-4CD7-B6A7-A4BCBA396AEA}"/>
            </a:ext>
          </a:extLst>
        </xdr:cNvPr>
        <xdr:cNvCxnSpPr>
          <a:stCxn id="167" idx="4"/>
          <a:endCxn id="166"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103415</xdr:colOff>
      <xdr:row>47</xdr:row>
      <xdr:rowOff>76206</xdr:rowOff>
    </xdr:from>
    <xdr:to>
      <xdr:col>20</xdr:col>
      <xdr:colOff>310244</xdr:colOff>
      <xdr:row>48</xdr:row>
      <xdr:rowOff>130634</xdr:rowOff>
    </xdr:to>
    <xdr:sp macro="" textlink="">
      <xdr:nvSpPr>
        <xdr:cNvPr id="172" name="Isosceles Triangle 171">
          <a:extLst>
            <a:ext uri="{FF2B5EF4-FFF2-40B4-BE49-F238E27FC236}">
              <a16:creationId xmlns:a16="http://schemas.microsoft.com/office/drawing/2014/main" id="{3DB38F39-6221-4C28-92C4-B173CFC29815}"/>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117022</xdr:colOff>
      <xdr:row>48</xdr:row>
      <xdr:rowOff>8165</xdr:rowOff>
    </xdr:from>
    <xdr:to>
      <xdr:col>20</xdr:col>
      <xdr:colOff>103416</xdr:colOff>
      <xdr:row>48</xdr:row>
      <xdr:rowOff>8170</xdr:rowOff>
    </xdr:to>
    <xdr:cxnSp macro="">
      <xdr:nvCxnSpPr>
        <xdr:cNvPr id="173" name="Connector: Elbow 351">
          <a:extLst>
            <a:ext uri="{FF2B5EF4-FFF2-40B4-BE49-F238E27FC236}">
              <a16:creationId xmlns:a16="http://schemas.microsoft.com/office/drawing/2014/main" id="{18CAE7D2-19D9-4BE2-B099-87BACB46605F}"/>
            </a:ext>
          </a:extLst>
        </xdr:cNvPr>
        <xdr:cNvCxnSpPr>
          <a:stCxn id="166" idx="3"/>
          <a:endCxn id="172"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293546</xdr:colOff>
      <xdr:row>38</xdr:row>
      <xdr:rowOff>74114</xdr:rowOff>
    </xdr:from>
    <xdr:to>
      <xdr:col>20</xdr:col>
      <xdr:colOff>500375</xdr:colOff>
      <xdr:row>39</xdr:row>
      <xdr:rowOff>134687</xdr:rowOff>
    </xdr:to>
    <xdr:sp macro="" textlink="">
      <xdr:nvSpPr>
        <xdr:cNvPr id="174" name="Isosceles Triangle 173">
          <a:extLst>
            <a:ext uri="{FF2B5EF4-FFF2-40B4-BE49-F238E27FC236}">
              <a16:creationId xmlns:a16="http://schemas.microsoft.com/office/drawing/2014/main" id="{37651AC8-9EDC-4A04-9049-76344B82ADC0}"/>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176928</xdr:colOff>
      <xdr:row>39</xdr:row>
      <xdr:rowOff>12961</xdr:rowOff>
    </xdr:from>
    <xdr:to>
      <xdr:col>20</xdr:col>
      <xdr:colOff>293546</xdr:colOff>
      <xdr:row>39</xdr:row>
      <xdr:rowOff>28514</xdr:rowOff>
    </xdr:to>
    <xdr:cxnSp macro="">
      <xdr:nvCxnSpPr>
        <xdr:cNvPr id="175" name="Connector: Elbow 351">
          <a:extLst>
            <a:ext uri="{FF2B5EF4-FFF2-40B4-BE49-F238E27FC236}">
              <a16:creationId xmlns:a16="http://schemas.microsoft.com/office/drawing/2014/main" id="{5EBCC93A-33AB-41F9-A0A9-0DC2A415896A}"/>
            </a:ext>
          </a:extLst>
        </xdr:cNvPr>
        <xdr:cNvCxnSpPr>
          <a:stCxn id="165" idx="3"/>
          <a:endCxn id="174"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480604</xdr:colOff>
      <xdr:row>13</xdr:row>
      <xdr:rowOff>171450</xdr:rowOff>
    </xdr:from>
    <xdr:to>
      <xdr:col>23</xdr:col>
      <xdr:colOff>110490</xdr:colOff>
      <xdr:row>16</xdr:row>
      <xdr:rowOff>130084</xdr:rowOff>
    </xdr:to>
    <xdr:sp macro="" textlink="">
      <xdr:nvSpPr>
        <xdr:cNvPr id="176" name="Rectangle: Rounded Corners 175">
          <a:extLst>
            <a:ext uri="{FF2B5EF4-FFF2-40B4-BE49-F238E27FC236}">
              <a16:creationId xmlns:a16="http://schemas.microsoft.com/office/drawing/2014/main" id="{8DAB8DB7-9C06-43ED-8637-FB185EA65BCD}"/>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519389</xdr:colOff>
      <xdr:row>24</xdr:row>
      <xdr:rowOff>102642</xdr:rowOff>
    </xdr:from>
    <xdr:to>
      <xdr:col>23</xdr:col>
      <xdr:colOff>149275</xdr:colOff>
      <xdr:row>27</xdr:row>
      <xdr:rowOff>59100</xdr:rowOff>
    </xdr:to>
    <xdr:sp macro="" textlink="">
      <xdr:nvSpPr>
        <xdr:cNvPr id="177" name="Rectangle: Rounded Corners 176">
          <a:extLst>
            <a:ext uri="{FF2B5EF4-FFF2-40B4-BE49-F238E27FC236}">
              <a16:creationId xmlns:a16="http://schemas.microsoft.com/office/drawing/2014/main" id="{880825C8-055C-44D1-9D46-00B803E1B006}"/>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19</xdr:col>
      <xdr:colOff>601436</xdr:colOff>
      <xdr:row>23</xdr:row>
      <xdr:rowOff>-1</xdr:rowOff>
    </xdr:from>
    <xdr:to>
      <xdr:col>20</xdr:col>
      <xdr:colOff>307521</xdr:colOff>
      <xdr:row>24</xdr:row>
      <xdr:rowOff>76199</xdr:rowOff>
    </xdr:to>
    <xdr:sp macro="" textlink="">
      <xdr:nvSpPr>
        <xdr:cNvPr id="178" name="Oval 177">
          <a:extLst>
            <a:ext uri="{FF2B5EF4-FFF2-40B4-BE49-F238E27FC236}">
              <a16:creationId xmlns:a16="http://schemas.microsoft.com/office/drawing/2014/main" id="{2BB0CEFA-B4C1-4CD8-8C22-9B9FF1DCBD2C}"/>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381000</xdr:colOff>
      <xdr:row>23</xdr:row>
      <xdr:rowOff>127907</xdr:rowOff>
    </xdr:from>
    <xdr:to>
      <xdr:col>19</xdr:col>
      <xdr:colOff>601436</xdr:colOff>
      <xdr:row>23</xdr:row>
      <xdr:rowOff>133349</xdr:rowOff>
    </xdr:to>
    <xdr:cxnSp macro="">
      <xdr:nvCxnSpPr>
        <xdr:cNvPr id="195" name="Connector: Elbow 42">
          <a:extLst>
            <a:ext uri="{FF2B5EF4-FFF2-40B4-BE49-F238E27FC236}">
              <a16:creationId xmlns:a16="http://schemas.microsoft.com/office/drawing/2014/main" id="{C812A8EC-9056-4631-8BCF-CD3B2C86B8BA}"/>
            </a:ext>
          </a:extLst>
        </xdr:cNvPr>
        <xdr:cNvCxnSpPr>
          <a:cxnSpLocks/>
          <a:stCxn id="164" idx="3"/>
          <a:endCxn id="178"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149678</xdr:colOff>
      <xdr:row>15</xdr:row>
      <xdr:rowOff>59328</xdr:rowOff>
    </xdr:from>
    <xdr:to>
      <xdr:col>21</xdr:col>
      <xdr:colOff>480603</xdr:colOff>
      <xdr:row>23</xdr:row>
      <xdr:rowOff>0</xdr:rowOff>
    </xdr:to>
    <xdr:cxnSp macro="">
      <xdr:nvCxnSpPr>
        <xdr:cNvPr id="196" name="Connector: Elbow 195">
          <a:extLst>
            <a:ext uri="{FF2B5EF4-FFF2-40B4-BE49-F238E27FC236}">
              <a16:creationId xmlns:a16="http://schemas.microsoft.com/office/drawing/2014/main" id="{EBF32F5E-FD90-46B4-9D96-338DBD2BDA16}"/>
            </a:ext>
          </a:extLst>
        </xdr:cNvPr>
        <xdr:cNvCxnSpPr>
          <a:stCxn id="178" idx="0"/>
          <a:endCxn id="176"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149679</xdr:colOff>
      <xdr:row>24</xdr:row>
      <xdr:rowOff>76199</xdr:rowOff>
    </xdr:from>
    <xdr:to>
      <xdr:col>21</xdr:col>
      <xdr:colOff>519389</xdr:colOff>
      <xdr:row>25</xdr:row>
      <xdr:rowOff>172311</xdr:rowOff>
    </xdr:to>
    <xdr:cxnSp macro="">
      <xdr:nvCxnSpPr>
        <xdr:cNvPr id="197" name="Connector: Elbow 196">
          <a:extLst>
            <a:ext uri="{FF2B5EF4-FFF2-40B4-BE49-F238E27FC236}">
              <a16:creationId xmlns:a16="http://schemas.microsoft.com/office/drawing/2014/main" id="{43E1EE6F-845D-47BD-AEB0-565A652D6BE8}"/>
            </a:ext>
          </a:extLst>
        </xdr:cNvPr>
        <xdr:cNvCxnSpPr>
          <a:stCxn id="178" idx="4"/>
          <a:endCxn id="177"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507275</xdr:colOff>
      <xdr:row>25</xdr:row>
      <xdr:rowOff>29256</xdr:rowOff>
    </xdr:from>
    <xdr:to>
      <xdr:col>25</xdr:col>
      <xdr:colOff>104504</xdr:colOff>
      <xdr:row>26</xdr:row>
      <xdr:rowOff>83684</xdr:rowOff>
    </xdr:to>
    <xdr:sp macro="" textlink="">
      <xdr:nvSpPr>
        <xdr:cNvPr id="198" name="Isosceles Triangle 197">
          <a:extLst>
            <a:ext uri="{FF2B5EF4-FFF2-40B4-BE49-F238E27FC236}">
              <a16:creationId xmlns:a16="http://schemas.microsoft.com/office/drawing/2014/main" id="{ABE49127-3192-4A99-AEC5-F6AA4F4EA055}"/>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149275</xdr:colOff>
      <xdr:row>25</xdr:row>
      <xdr:rowOff>147910</xdr:rowOff>
    </xdr:from>
    <xdr:to>
      <xdr:col>24</xdr:col>
      <xdr:colOff>507276</xdr:colOff>
      <xdr:row>25</xdr:row>
      <xdr:rowOff>172311</xdr:rowOff>
    </xdr:to>
    <xdr:cxnSp macro="">
      <xdr:nvCxnSpPr>
        <xdr:cNvPr id="199" name="Connector: Elbow 351">
          <a:extLst>
            <a:ext uri="{FF2B5EF4-FFF2-40B4-BE49-F238E27FC236}">
              <a16:creationId xmlns:a16="http://schemas.microsoft.com/office/drawing/2014/main" id="{DA3EC0B5-524A-4651-9590-A6C415C2FD02}"/>
            </a:ext>
          </a:extLst>
        </xdr:cNvPr>
        <xdr:cNvCxnSpPr>
          <a:stCxn id="177" idx="3"/>
          <a:endCxn id="198"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110490</xdr:colOff>
      <xdr:row>15</xdr:row>
      <xdr:rowOff>59327</xdr:rowOff>
    </xdr:from>
    <xdr:to>
      <xdr:col>24</xdr:col>
      <xdr:colOff>400948</xdr:colOff>
      <xdr:row>15</xdr:row>
      <xdr:rowOff>81824</xdr:rowOff>
    </xdr:to>
    <xdr:cxnSp macro="">
      <xdr:nvCxnSpPr>
        <xdr:cNvPr id="206" name="Connector: Elbow 42">
          <a:extLst>
            <a:ext uri="{FF2B5EF4-FFF2-40B4-BE49-F238E27FC236}">
              <a16:creationId xmlns:a16="http://schemas.microsoft.com/office/drawing/2014/main" id="{D20263CD-E6BB-4BCD-AA61-8961F16A3F50}"/>
            </a:ext>
          </a:extLst>
        </xdr:cNvPr>
        <xdr:cNvCxnSpPr>
          <a:cxnSpLocks/>
          <a:stCxn id="176" idx="3"/>
          <a:endCxn id="213"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549869</xdr:colOff>
      <xdr:row>31</xdr:row>
      <xdr:rowOff>26442</xdr:rowOff>
    </xdr:from>
    <xdr:to>
      <xdr:col>23</xdr:col>
      <xdr:colOff>179755</xdr:colOff>
      <xdr:row>35</xdr:row>
      <xdr:rowOff>106680</xdr:rowOff>
    </xdr:to>
    <xdr:sp macro="" textlink="">
      <xdr:nvSpPr>
        <xdr:cNvPr id="209" name="Rectangle: Rounded Corners 208">
          <a:extLst>
            <a:ext uri="{FF2B5EF4-FFF2-40B4-BE49-F238E27FC236}">
              <a16:creationId xmlns:a16="http://schemas.microsoft.com/office/drawing/2014/main" id="{22A592AD-2708-438D-9CB2-A374CA8A005C}"/>
            </a:ext>
          </a:extLst>
        </xdr:cNvPr>
        <xdr:cNvSpPr/>
      </xdr:nvSpPr>
      <xdr:spPr>
        <a:xfrm>
          <a:off x="13351469" y="5695722"/>
          <a:ext cx="849086" cy="8117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 within</a:t>
          </a:r>
          <a:r>
            <a:rPr lang="en-ZA" sz="1100" baseline="0">
              <a:solidFill>
                <a:sysClr val="windowText" lastClr="000000"/>
              </a:solidFill>
            </a:rPr>
            <a:t> 28 days</a:t>
          </a:r>
          <a:endParaRPr lang="en-ZA" sz="1100">
            <a:solidFill>
              <a:sysClr val="windowText" lastClr="000000"/>
            </a:solidFill>
          </a:endParaRPr>
        </a:p>
      </xdr:txBody>
    </xdr:sp>
    <xdr:clientData/>
  </xdr:twoCellAnchor>
  <xdr:twoCellAnchor>
    <xdr:from>
      <xdr:col>20</xdr:col>
      <xdr:colOff>149679</xdr:colOff>
      <xdr:row>24</xdr:row>
      <xdr:rowOff>76199</xdr:rowOff>
    </xdr:from>
    <xdr:to>
      <xdr:col>21</xdr:col>
      <xdr:colOff>549869</xdr:colOff>
      <xdr:row>33</xdr:row>
      <xdr:rowOff>66561</xdr:rowOff>
    </xdr:to>
    <xdr:cxnSp macro="">
      <xdr:nvCxnSpPr>
        <xdr:cNvPr id="210" name="Connector: Elbow 209">
          <a:extLst>
            <a:ext uri="{FF2B5EF4-FFF2-40B4-BE49-F238E27FC236}">
              <a16:creationId xmlns:a16="http://schemas.microsoft.com/office/drawing/2014/main" id="{62C2123B-DAB9-4E2E-BCFA-0B0533D4873A}"/>
            </a:ext>
          </a:extLst>
        </xdr:cNvPr>
        <xdr:cNvCxnSpPr>
          <a:stCxn id="178" idx="4"/>
          <a:endCxn id="209" idx="1"/>
        </xdr:cNvCxnSpPr>
      </xdr:nvCxnSpPr>
      <xdr:spPr>
        <a:xfrm rot="16200000" flipH="1">
          <a:off x="12028433" y="4778565"/>
          <a:ext cx="163628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34835</xdr:colOff>
      <xdr:row>32</xdr:row>
      <xdr:rowOff>90216</xdr:rowOff>
    </xdr:from>
    <xdr:to>
      <xdr:col>25</xdr:col>
      <xdr:colOff>241664</xdr:colOff>
      <xdr:row>33</xdr:row>
      <xdr:rowOff>144644</xdr:rowOff>
    </xdr:to>
    <xdr:sp macro="" textlink="">
      <xdr:nvSpPr>
        <xdr:cNvPr id="211" name="Isosceles Triangle 210">
          <a:extLst>
            <a:ext uri="{FF2B5EF4-FFF2-40B4-BE49-F238E27FC236}">
              <a16:creationId xmlns:a16="http://schemas.microsoft.com/office/drawing/2014/main" id="{F3C83B3B-4716-4773-B0B1-826436176DDF}"/>
            </a:ext>
          </a:extLst>
        </xdr:cNvPr>
        <xdr:cNvSpPr/>
      </xdr:nvSpPr>
      <xdr:spPr>
        <a:xfrm rot="5400000">
          <a:off x="15259596" y="595761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179755</xdr:colOff>
      <xdr:row>33</xdr:row>
      <xdr:rowOff>25990</xdr:rowOff>
    </xdr:from>
    <xdr:to>
      <xdr:col>25</xdr:col>
      <xdr:colOff>34836</xdr:colOff>
      <xdr:row>33</xdr:row>
      <xdr:rowOff>66561</xdr:rowOff>
    </xdr:to>
    <xdr:cxnSp macro="">
      <xdr:nvCxnSpPr>
        <xdr:cNvPr id="212" name="Connector: Elbow 351">
          <a:extLst>
            <a:ext uri="{FF2B5EF4-FFF2-40B4-BE49-F238E27FC236}">
              <a16:creationId xmlns:a16="http://schemas.microsoft.com/office/drawing/2014/main" id="{858FB7A8-CB2A-490C-B080-C1E9BA01E33E}"/>
            </a:ext>
          </a:extLst>
        </xdr:cNvPr>
        <xdr:cNvCxnSpPr>
          <a:stCxn id="209" idx="3"/>
          <a:endCxn id="211" idx="3"/>
        </xdr:cNvCxnSpPr>
      </xdr:nvCxnSpPr>
      <xdr:spPr>
        <a:xfrm flipV="1">
          <a:off x="14200555" y="6061030"/>
          <a:ext cx="1074281" cy="4057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400947</xdr:colOff>
      <xdr:row>14</xdr:row>
      <xdr:rowOff>149860</xdr:rowOff>
    </xdr:from>
    <xdr:to>
      <xdr:col>24</xdr:col>
      <xdr:colOff>607776</xdr:colOff>
      <xdr:row>16</xdr:row>
      <xdr:rowOff>13788</xdr:rowOff>
    </xdr:to>
    <xdr:sp macro="" textlink="">
      <xdr:nvSpPr>
        <xdr:cNvPr id="213" name="Isosceles Triangle 212">
          <a:extLst>
            <a:ext uri="{FF2B5EF4-FFF2-40B4-BE49-F238E27FC236}">
              <a16:creationId xmlns:a16="http://schemas.microsoft.com/office/drawing/2014/main" id="{D862D6C0-22E7-4BAD-9F45-C32679C4F632}"/>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385354</xdr:colOff>
      <xdr:row>72</xdr:row>
      <xdr:rowOff>26670</xdr:rowOff>
    </xdr:from>
    <xdr:to>
      <xdr:col>21</xdr:col>
      <xdr:colOff>15240</xdr:colOff>
      <xdr:row>74</xdr:row>
      <xdr:rowOff>160564</xdr:rowOff>
    </xdr:to>
    <xdr:sp macro="" textlink="">
      <xdr:nvSpPr>
        <xdr:cNvPr id="214" name="Rectangle: Rounded Corners 213">
          <a:extLst>
            <a:ext uri="{FF2B5EF4-FFF2-40B4-BE49-F238E27FC236}">
              <a16:creationId xmlns:a16="http://schemas.microsoft.com/office/drawing/2014/main" id="{69CDC4A9-161C-4868-8D27-41020DED4222}"/>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19</xdr:col>
      <xdr:colOff>547042</xdr:colOff>
      <xdr:row>87</xdr:row>
      <xdr:rowOff>144797</xdr:rowOff>
    </xdr:from>
    <xdr:to>
      <xdr:col>21</xdr:col>
      <xdr:colOff>176928</xdr:colOff>
      <xdr:row>90</xdr:row>
      <xdr:rowOff>95110</xdr:rowOff>
    </xdr:to>
    <xdr:sp macro="" textlink="">
      <xdr:nvSpPr>
        <xdr:cNvPr id="215" name="Rectangle: Rounded Corners 214">
          <a:extLst>
            <a:ext uri="{FF2B5EF4-FFF2-40B4-BE49-F238E27FC236}">
              <a16:creationId xmlns:a16="http://schemas.microsoft.com/office/drawing/2014/main" id="{39E76EF1-7422-4C29-BABE-906BA43C3C22}"/>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96</xdr:row>
      <xdr:rowOff>127907</xdr:rowOff>
    </xdr:from>
    <xdr:to>
      <xdr:col>21</xdr:col>
      <xdr:colOff>117022</xdr:colOff>
      <xdr:row>99</xdr:row>
      <xdr:rowOff>78922</xdr:rowOff>
    </xdr:to>
    <xdr:sp macro="" textlink="">
      <xdr:nvSpPr>
        <xdr:cNvPr id="216" name="Rectangle: Rounded Corners 215">
          <a:extLst>
            <a:ext uri="{FF2B5EF4-FFF2-40B4-BE49-F238E27FC236}">
              <a16:creationId xmlns:a16="http://schemas.microsoft.com/office/drawing/2014/main" id="{6A75CE14-9F45-4125-B8E8-06F80120FD41}"/>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17</xdr:col>
      <xdr:colOff>516528</xdr:colOff>
      <xdr:row>79</xdr:row>
      <xdr:rowOff>37011</xdr:rowOff>
    </xdr:from>
    <xdr:to>
      <xdr:col>18</xdr:col>
      <xdr:colOff>222613</xdr:colOff>
      <xdr:row>80</xdr:row>
      <xdr:rowOff>113210</xdr:rowOff>
    </xdr:to>
    <xdr:sp macro="" textlink="">
      <xdr:nvSpPr>
        <xdr:cNvPr id="217" name="Oval 216">
          <a:extLst>
            <a:ext uri="{FF2B5EF4-FFF2-40B4-BE49-F238E27FC236}">
              <a16:creationId xmlns:a16="http://schemas.microsoft.com/office/drawing/2014/main" id="{0E2B766C-D4C7-4F63-9D7F-BAFD4881DE6A}"/>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64770</xdr:colOff>
      <xdr:row>73</xdr:row>
      <xdr:rowOff>93618</xdr:rowOff>
    </xdr:from>
    <xdr:to>
      <xdr:col>19</xdr:col>
      <xdr:colOff>385353</xdr:colOff>
      <xdr:row>79</xdr:row>
      <xdr:rowOff>37012</xdr:rowOff>
    </xdr:to>
    <xdr:cxnSp macro="">
      <xdr:nvCxnSpPr>
        <xdr:cNvPr id="218" name="Connector: Elbow 217">
          <a:extLst>
            <a:ext uri="{FF2B5EF4-FFF2-40B4-BE49-F238E27FC236}">
              <a16:creationId xmlns:a16="http://schemas.microsoft.com/office/drawing/2014/main" id="{8E77C751-1A84-4D1E-B0AC-C2D2312B532F}"/>
            </a:ext>
          </a:extLst>
        </xdr:cNvPr>
        <xdr:cNvCxnSpPr>
          <a:cxnSpLocks/>
          <a:stCxn id="217" idx="0"/>
          <a:endCxn id="214"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222613</xdr:colOff>
      <xdr:row>79</xdr:row>
      <xdr:rowOff>166551</xdr:rowOff>
    </xdr:from>
    <xdr:to>
      <xdr:col>19</xdr:col>
      <xdr:colOff>547042</xdr:colOff>
      <xdr:row>89</xdr:row>
      <xdr:rowOff>28514</xdr:rowOff>
    </xdr:to>
    <xdr:cxnSp macro="">
      <xdr:nvCxnSpPr>
        <xdr:cNvPr id="219" name="Connector: Elbow 218">
          <a:extLst>
            <a:ext uri="{FF2B5EF4-FFF2-40B4-BE49-F238E27FC236}">
              <a16:creationId xmlns:a16="http://schemas.microsoft.com/office/drawing/2014/main" id="{C8AA1A25-6760-43DC-A4DD-5C38370DB73F}"/>
            </a:ext>
          </a:extLst>
        </xdr:cNvPr>
        <xdr:cNvCxnSpPr>
          <a:stCxn id="217" idx="6"/>
          <a:endCxn id="215"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64771</xdr:colOff>
      <xdr:row>80</xdr:row>
      <xdr:rowOff>113209</xdr:rowOff>
    </xdr:from>
    <xdr:to>
      <xdr:col>19</xdr:col>
      <xdr:colOff>487136</xdr:colOff>
      <xdr:row>98</xdr:row>
      <xdr:rowOff>11974</xdr:rowOff>
    </xdr:to>
    <xdr:cxnSp macro="">
      <xdr:nvCxnSpPr>
        <xdr:cNvPr id="220" name="Connector: Elbow 219">
          <a:extLst>
            <a:ext uri="{FF2B5EF4-FFF2-40B4-BE49-F238E27FC236}">
              <a16:creationId xmlns:a16="http://schemas.microsoft.com/office/drawing/2014/main" id="{1E564A93-7557-49A8-A78C-FEA719913EB7}"/>
            </a:ext>
          </a:extLst>
        </xdr:cNvPr>
        <xdr:cNvCxnSpPr>
          <a:stCxn id="217" idx="4"/>
          <a:endCxn id="216"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97</xdr:row>
      <xdr:rowOff>76206</xdr:rowOff>
    </xdr:from>
    <xdr:to>
      <xdr:col>22</xdr:col>
      <xdr:colOff>310244</xdr:colOff>
      <xdr:row>98</xdr:row>
      <xdr:rowOff>130634</xdr:rowOff>
    </xdr:to>
    <xdr:sp macro="" textlink="">
      <xdr:nvSpPr>
        <xdr:cNvPr id="221" name="Isosceles Triangle 220">
          <a:extLst>
            <a:ext uri="{FF2B5EF4-FFF2-40B4-BE49-F238E27FC236}">
              <a16:creationId xmlns:a16="http://schemas.microsoft.com/office/drawing/2014/main" id="{3DE0F448-DAE1-4C9D-9CA1-99FF366EB08E}"/>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98</xdr:row>
      <xdr:rowOff>8165</xdr:rowOff>
    </xdr:from>
    <xdr:to>
      <xdr:col>22</xdr:col>
      <xdr:colOff>103416</xdr:colOff>
      <xdr:row>98</xdr:row>
      <xdr:rowOff>8170</xdr:rowOff>
    </xdr:to>
    <xdr:cxnSp macro="">
      <xdr:nvCxnSpPr>
        <xdr:cNvPr id="222" name="Connector: Elbow 351">
          <a:extLst>
            <a:ext uri="{FF2B5EF4-FFF2-40B4-BE49-F238E27FC236}">
              <a16:creationId xmlns:a16="http://schemas.microsoft.com/office/drawing/2014/main" id="{DEE926F3-7E29-4716-946F-698987874865}"/>
            </a:ext>
          </a:extLst>
        </xdr:cNvPr>
        <xdr:cNvCxnSpPr>
          <a:stCxn id="216" idx="3"/>
          <a:endCxn id="221"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88</xdr:row>
      <xdr:rowOff>74114</xdr:rowOff>
    </xdr:from>
    <xdr:to>
      <xdr:col>22</xdr:col>
      <xdr:colOff>500375</xdr:colOff>
      <xdr:row>89</xdr:row>
      <xdr:rowOff>134687</xdr:rowOff>
    </xdr:to>
    <xdr:sp macro="" textlink="">
      <xdr:nvSpPr>
        <xdr:cNvPr id="223" name="Isosceles Triangle 222">
          <a:extLst>
            <a:ext uri="{FF2B5EF4-FFF2-40B4-BE49-F238E27FC236}">
              <a16:creationId xmlns:a16="http://schemas.microsoft.com/office/drawing/2014/main" id="{9EA31FDA-273F-47F3-A256-55B7C722D8AB}"/>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89</xdr:row>
      <xdr:rowOff>12961</xdr:rowOff>
    </xdr:from>
    <xdr:to>
      <xdr:col>22</xdr:col>
      <xdr:colOff>293546</xdr:colOff>
      <xdr:row>89</xdr:row>
      <xdr:rowOff>28514</xdr:rowOff>
    </xdr:to>
    <xdr:cxnSp macro="">
      <xdr:nvCxnSpPr>
        <xdr:cNvPr id="224" name="Connector: Elbow 351">
          <a:extLst>
            <a:ext uri="{FF2B5EF4-FFF2-40B4-BE49-F238E27FC236}">
              <a16:creationId xmlns:a16="http://schemas.microsoft.com/office/drawing/2014/main" id="{795A7286-C821-4D1C-B283-497D598807F4}"/>
            </a:ext>
          </a:extLst>
        </xdr:cNvPr>
        <xdr:cNvCxnSpPr>
          <a:stCxn id="215" idx="3"/>
          <a:endCxn id="223"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480604</xdr:colOff>
      <xdr:row>63</xdr:row>
      <xdr:rowOff>125730</xdr:rowOff>
    </xdr:from>
    <xdr:to>
      <xdr:col>25</xdr:col>
      <xdr:colOff>110490</xdr:colOff>
      <xdr:row>66</xdr:row>
      <xdr:rowOff>84364</xdr:rowOff>
    </xdr:to>
    <xdr:sp macro="" textlink="">
      <xdr:nvSpPr>
        <xdr:cNvPr id="225" name="Rectangle: Rounded Corners 224">
          <a:extLst>
            <a:ext uri="{FF2B5EF4-FFF2-40B4-BE49-F238E27FC236}">
              <a16:creationId xmlns:a16="http://schemas.microsoft.com/office/drawing/2014/main" id="{8D77AE4B-6ED0-477C-886C-482485740F6D}"/>
            </a:ext>
          </a:extLst>
        </xdr:cNvPr>
        <xdr:cNvSpPr/>
      </xdr:nvSpPr>
      <xdr:spPr>
        <a:xfrm>
          <a:off x="14501404" y="1164717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23</xdr:col>
      <xdr:colOff>519389</xdr:colOff>
      <xdr:row>74</xdr:row>
      <xdr:rowOff>102642</xdr:rowOff>
    </xdr:from>
    <xdr:to>
      <xdr:col>25</xdr:col>
      <xdr:colOff>149275</xdr:colOff>
      <xdr:row>77</xdr:row>
      <xdr:rowOff>59100</xdr:rowOff>
    </xdr:to>
    <xdr:sp macro="" textlink="">
      <xdr:nvSpPr>
        <xdr:cNvPr id="226" name="Rectangle: Rounded Corners 225">
          <a:extLst>
            <a:ext uri="{FF2B5EF4-FFF2-40B4-BE49-F238E27FC236}">
              <a16:creationId xmlns:a16="http://schemas.microsoft.com/office/drawing/2014/main" id="{C6B51B7F-1464-495F-BDE0-7CE342C61682}"/>
            </a:ext>
          </a:extLst>
        </xdr:cNvPr>
        <xdr:cNvSpPr/>
      </xdr:nvSpPr>
      <xdr:spPr>
        <a:xfrm>
          <a:off x="14540189" y="13635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73</xdr:row>
      <xdr:rowOff>-1</xdr:rowOff>
    </xdr:from>
    <xdr:to>
      <xdr:col>22</xdr:col>
      <xdr:colOff>307521</xdr:colOff>
      <xdr:row>74</xdr:row>
      <xdr:rowOff>76199</xdr:rowOff>
    </xdr:to>
    <xdr:sp macro="" textlink="">
      <xdr:nvSpPr>
        <xdr:cNvPr id="227" name="Oval 226">
          <a:extLst>
            <a:ext uri="{FF2B5EF4-FFF2-40B4-BE49-F238E27FC236}">
              <a16:creationId xmlns:a16="http://schemas.microsoft.com/office/drawing/2014/main" id="{83488766-BE8C-4634-A638-3E2693EF0850}"/>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15240</xdr:colOff>
      <xdr:row>73</xdr:row>
      <xdr:rowOff>93617</xdr:rowOff>
    </xdr:from>
    <xdr:to>
      <xdr:col>21</xdr:col>
      <xdr:colOff>601436</xdr:colOff>
      <xdr:row>73</xdr:row>
      <xdr:rowOff>129539</xdr:rowOff>
    </xdr:to>
    <xdr:cxnSp macro="">
      <xdr:nvCxnSpPr>
        <xdr:cNvPr id="228" name="Connector: Elbow 42">
          <a:extLst>
            <a:ext uri="{FF2B5EF4-FFF2-40B4-BE49-F238E27FC236}">
              <a16:creationId xmlns:a16="http://schemas.microsoft.com/office/drawing/2014/main" id="{79381AFA-19C5-48A2-B40B-F685E60C0672}"/>
            </a:ext>
          </a:extLst>
        </xdr:cNvPr>
        <xdr:cNvCxnSpPr>
          <a:cxnSpLocks/>
          <a:stCxn id="214" idx="3"/>
          <a:endCxn id="227"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149678</xdr:colOff>
      <xdr:row>65</xdr:row>
      <xdr:rowOff>13608</xdr:rowOff>
    </xdr:from>
    <xdr:to>
      <xdr:col>23</xdr:col>
      <xdr:colOff>480603</xdr:colOff>
      <xdr:row>73</xdr:row>
      <xdr:rowOff>0</xdr:rowOff>
    </xdr:to>
    <xdr:cxnSp macro="">
      <xdr:nvCxnSpPr>
        <xdr:cNvPr id="229" name="Connector: Elbow 228">
          <a:extLst>
            <a:ext uri="{FF2B5EF4-FFF2-40B4-BE49-F238E27FC236}">
              <a16:creationId xmlns:a16="http://schemas.microsoft.com/office/drawing/2014/main" id="{93FF0DF7-A3C3-4704-939E-4EF285419A0C}"/>
            </a:ext>
          </a:extLst>
        </xdr:cNvPr>
        <xdr:cNvCxnSpPr>
          <a:stCxn id="227" idx="0"/>
          <a:endCxn id="225" idx="1"/>
        </xdr:cNvCxnSpPr>
      </xdr:nvCxnSpPr>
      <xdr:spPr>
        <a:xfrm rot="5400000" flipH="1" flipV="1">
          <a:off x="13306425" y="12155261"/>
          <a:ext cx="144943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74</xdr:row>
      <xdr:rowOff>76199</xdr:rowOff>
    </xdr:from>
    <xdr:to>
      <xdr:col>23</xdr:col>
      <xdr:colOff>519389</xdr:colOff>
      <xdr:row>75</xdr:row>
      <xdr:rowOff>172311</xdr:rowOff>
    </xdr:to>
    <xdr:cxnSp macro="">
      <xdr:nvCxnSpPr>
        <xdr:cNvPr id="230" name="Connector: Elbow 229">
          <a:extLst>
            <a:ext uri="{FF2B5EF4-FFF2-40B4-BE49-F238E27FC236}">
              <a16:creationId xmlns:a16="http://schemas.microsoft.com/office/drawing/2014/main" id="{959D213D-8788-429A-AA7C-AA4834E9A2D4}"/>
            </a:ext>
          </a:extLst>
        </xdr:cNvPr>
        <xdr:cNvCxnSpPr>
          <a:stCxn id="227" idx="4"/>
          <a:endCxn id="226" idx="1"/>
        </xdr:cNvCxnSpPr>
      </xdr:nvCxnSpPr>
      <xdr:spPr>
        <a:xfrm rot="16200000" flipH="1">
          <a:off x="13911038" y="13259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507275</xdr:colOff>
      <xdr:row>75</xdr:row>
      <xdr:rowOff>29256</xdr:rowOff>
    </xdr:from>
    <xdr:to>
      <xdr:col>27</xdr:col>
      <xdr:colOff>104504</xdr:colOff>
      <xdr:row>76</xdr:row>
      <xdr:rowOff>83684</xdr:rowOff>
    </xdr:to>
    <xdr:sp macro="" textlink="">
      <xdr:nvSpPr>
        <xdr:cNvPr id="231" name="Isosceles Triangle 230">
          <a:extLst>
            <a:ext uri="{FF2B5EF4-FFF2-40B4-BE49-F238E27FC236}">
              <a16:creationId xmlns:a16="http://schemas.microsoft.com/office/drawing/2014/main" id="{C5D88DB8-9611-42EC-8375-BB97853E06BF}"/>
            </a:ext>
          </a:extLst>
        </xdr:cNvPr>
        <xdr:cNvSpPr/>
      </xdr:nvSpPr>
      <xdr:spPr>
        <a:xfrm rot="5400000">
          <a:off x="16341636" y="13760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149275</xdr:colOff>
      <xdr:row>75</xdr:row>
      <xdr:rowOff>147910</xdr:rowOff>
    </xdr:from>
    <xdr:to>
      <xdr:col>26</xdr:col>
      <xdr:colOff>507276</xdr:colOff>
      <xdr:row>75</xdr:row>
      <xdr:rowOff>172311</xdr:rowOff>
    </xdr:to>
    <xdr:cxnSp macro="">
      <xdr:nvCxnSpPr>
        <xdr:cNvPr id="232" name="Connector: Elbow 351">
          <a:extLst>
            <a:ext uri="{FF2B5EF4-FFF2-40B4-BE49-F238E27FC236}">
              <a16:creationId xmlns:a16="http://schemas.microsoft.com/office/drawing/2014/main" id="{21C06D71-B90D-4391-BC48-ED49D217FADB}"/>
            </a:ext>
          </a:extLst>
        </xdr:cNvPr>
        <xdr:cNvCxnSpPr>
          <a:stCxn id="226" idx="3"/>
          <a:endCxn id="231" idx="3"/>
        </xdr:cNvCxnSpPr>
      </xdr:nvCxnSpPr>
      <xdr:spPr>
        <a:xfrm flipV="1">
          <a:off x="15389275" y="13863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110490</xdr:colOff>
      <xdr:row>65</xdr:row>
      <xdr:rowOff>13607</xdr:rowOff>
    </xdr:from>
    <xdr:to>
      <xdr:col>26</xdr:col>
      <xdr:colOff>400948</xdr:colOff>
      <xdr:row>65</xdr:row>
      <xdr:rowOff>81824</xdr:rowOff>
    </xdr:to>
    <xdr:cxnSp macro="">
      <xdr:nvCxnSpPr>
        <xdr:cNvPr id="261" name="Connector: Elbow 42">
          <a:extLst>
            <a:ext uri="{FF2B5EF4-FFF2-40B4-BE49-F238E27FC236}">
              <a16:creationId xmlns:a16="http://schemas.microsoft.com/office/drawing/2014/main" id="{FB3E6B0C-B5C4-42EC-9DD6-B49CADDA7BD1}"/>
            </a:ext>
          </a:extLst>
        </xdr:cNvPr>
        <xdr:cNvCxnSpPr>
          <a:cxnSpLocks/>
          <a:stCxn id="225" idx="3"/>
          <a:endCxn id="268" idx="3"/>
        </xdr:cNvCxnSpPr>
      </xdr:nvCxnSpPr>
      <xdr:spPr>
        <a:xfrm>
          <a:off x="15350490" y="11900807"/>
          <a:ext cx="900058" cy="6821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81</xdr:row>
      <xdr:rowOff>26442</xdr:rowOff>
    </xdr:from>
    <xdr:to>
      <xdr:col>25</xdr:col>
      <xdr:colOff>179755</xdr:colOff>
      <xdr:row>83</xdr:row>
      <xdr:rowOff>165780</xdr:rowOff>
    </xdr:to>
    <xdr:sp macro="" textlink="">
      <xdr:nvSpPr>
        <xdr:cNvPr id="264" name="Rectangle: Rounded Corners 263">
          <a:extLst>
            <a:ext uri="{FF2B5EF4-FFF2-40B4-BE49-F238E27FC236}">
              <a16:creationId xmlns:a16="http://schemas.microsoft.com/office/drawing/2014/main" id="{9D4F6B31-ACD5-4EC3-860E-720F5CB6B0F8}"/>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74</xdr:row>
      <xdr:rowOff>76199</xdr:rowOff>
    </xdr:from>
    <xdr:to>
      <xdr:col>23</xdr:col>
      <xdr:colOff>549869</xdr:colOff>
      <xdr:row>82</xdr:row>
      <xdr:rowOff>96111</xdr:rowOff>
    </xdr:to>
    <xdr:cxnSp macro="">
      <xdr:nvCxnSpPr>
        <xdr:cNvPr id="265" name="Connector: Elbow 264">
          <a:extLst>
            <a:ext uri="{FF2B5EF4-FFF2-40B4-BE49-F238E27FC236}">
              <a16:creationId xmlns:a16="http://schemas.microsoft.com/office/drawing/2014/main" id="{5038E782-7003-40A6-B7B8-733BAFF1D3CE}"/>
            </a:ext>
          </a:extLst>
        </xdr:cNvPr>
        <xdr:cNvCxnSpPr>
          <a:stCxn id="227" idx="4"/>
          <a:endCxn id="264"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81</xdr:row>
      <xdr:rowOff>181655</xdr:rowOff>
    </xdr:from>
    <xdr:to>
      <xdr:col>27</xdr:col>
      <xdr:colOff>241664</xdr:colOff>
      <xdr:row>83</xdr:row>
      <xdr:rowOff>53203</xdr:rowOff>
    </xdr:to>
    <xdr:sp macro="" textlink="">
      <xdr:nvSpPr>
        <xdr:cNvPr id="266" name="Isosceles Triangle 265">
          <a:extLst>
            <a:ext uri="{FF2B5EF4-FFF2-40B4-BE49-F238E27FC236}">
              <a16:creationId xmlns:a16="http://schemas.microsoft.com/office/drawing/2014/main" id="{938852F7-C56A-4C33-B56C-145F88C5539F}"/>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82</xdr:row>
      <xdr:rowOff>96111</xdr:rowOff>
    </xdr:from>
    <xdr:to>
      <xdr:col>27</xdr:col>
      <xdr:colOff>34836</xdr:colOff>
      <xdr:row>82</xdr:row>
      <xdr:rowOff>117429</xdr:rowOff>
    </xdr:to>
    <xdr:cxnSp macro="">
      <xdr:nvCxnSpPr>
        <xdr:cNvPr id="267" name="Connector: Elbow 351">
          <a:extLst>
            <a:ext uri="{FF2B5EF4-FFF2-40B4-BE49-F238E27FC236}">
              <a16:creationId xmlns:a16="http://schemas.microsoft.com/office/drawing/2014/main" id="{B24A60D2-A2A9-403C-B1AA-41E7ECD29A8E}"/>
            </a:ext>
          </a:extLst>
        </xdr:cNvPr>
        <xdr:cNvCxnSpPr>
          <a:stCxn id="264" idx="3"/>
          <a:endCxn id="266"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400947</xdr:colOff>
      <xdr:row>64</xdr:row>
      <xdr:rowOff>149860</xdr:rowOff>
    </xdr:from>
    <xdr:to>
      <xdr:col>26</xdr:col>
      <xdr:colOff>607776</xdr:colOff>
      <xdr:row>66</xdr:row>
      <xdr:rowOff>13788</xdr:rowOff>
    </xdr:to>
    <xdr:sp macro="" textlink="">
      <xdr:nvSpPr>
        <xdr:cNvPr id="268" name="Isosceles Triangle 267">
          <a:extLst>
            <a:ext uri="{FF2B5EF4-FFF2-40B4-BE49-F238E27FC236}">
              <a16:creationId xmlns:a16="http://schemas.microsoft.com/office/drawing/2014/main" id="{142BD563-D3D4-4AC3-974D-3EE3870D2C3B}"/>
            </a:ext>
          </a:extLst>
        </xdr:cNvPr>
        <xdr:cNvSpPr/>
      </xdr:nvSpPr>
      <xdr:spPr>
        <a:xfrm rot="5400000">
          <a:off x="16239118" y="11865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13</xdr:col>
      <xdr:colOff>594904</xdr:colOff>
      <xdr:row>143</xdr:row>
      <xdr:rowOff>81643</xdr:rowOff>
    </xdr:from>
    <xdr:to>
      <xdr:col>15</xdr:col>
      <xdr:colOff>224790</xdr:colOff>
      <xdr:row>146</xdr:row>
      <xdr:rowOff>38100</xdr:rowOff>
    </xdr:to>
    <xdr:sp macro="" textlink="">
      <xdr:nvSpPr>
        <xdr:cNvPr id="269" name="Rectangle: Rounded Corners 268">
          <a:extLst>
            <a:ext uri="{FF2B5EF4-FFF2-40B4-BE49-F238E27FC236}">
              <a16:creationId xmlns:a16="http://schemas.microsoft.com/office/drawing/2014/main" id="{954464AE-EB5B-44D7-9C98-E2A3D051EAAC}"/>
            </a:ext>
          </a:extLst>
        </xdr:cNvPr>
        <xdr:cNvSpPr/>
      </xdr:nvSpPr>
      <xdr:spPr>
        <a:xfrm>
          <a:off x="8519704" y="7213963"/>
          <a:ext cx="849086" cy="50509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283573</xdr:colOff>
      <xdr:row>182</xdr:row>
      <xdr:rowOff>81099</xdr:rowOff>
    </xdr:from>
    <xdr:to>
      <xdr:col>15</xdr:col>
      <xdr:colOff>523059</xdr:colOff>
      <xdr:row>185</xdr:row>
      <xdr:rowOff>30480</xdr:rowOff>
    </xdr:to>
    <xdr:sp macro="" textlink="">
      <xdr:nvSpPr>
        <xdr:cNvPr id="270" name="Rectangle: Rounded Corners 269">
          <a:extLst>
            <a:ext uri="{FF2B5EF4-FFF2-40B4-BE49-F238E27FC236}">
              <a16:creationId xmlns:a16="http://schemas.microsoft.com/office/drawing/2014/main" id="{41780B37-C142-4C0E-B757-3A4F6D4FC1A7}"/>
            </a:ext>
          </a:extLst>
        </xdr:cNvPr>
        <xdr:cNvSpPr/>
      </xdr:nvSpPr>
      <xdr:spPr>
        <a:xfrm>
          <a:off x="8817973" y="14345739"/>
          <a:ext cx="849086" cy="49802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1</xdr:colOff>
      <xdr:row>144</xdr:row>
      <xdr:rowOff>151313</xdr:rowOff>
    </xdr:from>
    <xdr:to>
      <xdr:col>13</xdr:col>
      <xdr:colOff>594904</xdr:colOff>
      <xdr:row>150</xdr:row>
      <xdr:rowOff>100148</xdr:rowOff>
    </xdr:to>
    <xdr:cxnSp macro="">
      <xdr:nvCxnSpPr>
        <xdr:cNvPr id="271" name="Connector: Elbow 270">
          <a:extLst>
            <a:ext uri="{FF2B5EF4-FFF2-40B4-BE49-F238E27FC236}">
              <a16:creationId xmlns:a16="http://schemas.microsoft.com/office/drawing/2014/main" id="{A5F37336-7AE8-4D45-BB2D-B033910BBFE9}"/>
            </a:ext>
          </a:extLst>
        </xdr:cNvPr>
        <xdr:cNvCxnSpPr>
          <a:stCxn id="273" idx="0"/>
          <a:endCxn id="269" idx="1"/>
        </xdr:cNvCxnSpPr>
      </xdr:nvCxnSpPr>
      <xdr:spPr>
        <a:xfrm rot="5400000" flipH="1" flipV="1">
          <a:off x="7699195" y="7692119"/>
          <a:ext cx="1046115" cy="59490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xdr:colOff>
      <xdr:row>151</xdr:row>
      <xdr:rowOff>176346</xdr:rowOff>
    </xdr:from>
    <xdr:to>
      <xdr:col>14</xdr:col>
      <xdr:colOff>283574</xdr:colOff>
      <xdr:row>183</xdr:row>
      <xdr:rowOff>147229</xdr:rowOff>
    </xdr:to>
    <xdr:cxnSp macro="">
      <xdr:nvCxnSpPr>
        <xdr:cNvPr id="272" name="Connector: Elbow 271">
          <a:extLst>
            <a:ext uri="{FF2B5EF4-FFF2-40B4-BE49-F238E27FC236}">
              <a16:creationId xmlns:a16="http://schemas.microsoft.com/office/drawing/2014/main" id="{77A087D8-0131-4403-9DCA-1C41FFDB7BC2}"/>
            </a:ext>
          </a:extLst>
        </xdr:cNvPr>
        <xdr:cNvCxnSpPr>
          <a:stCxn id="273" idx="4"/>
          <a:endCxn id="270" idx="1"/>
        </xdr:cNvCxnSpPr>
      </xdr:nvCxnSpPr>
      <xdr:spPr>
        <a:xfrm rot="16200000" flipH="1">
          <a:off x="5459866" y="11236642"/>
          <a:ext cx="5823043" cy="893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451758</xdr:colOff>
      <xdr:row>150</xdr:row>
      <xdr:rowOff>100147</xdr:rowOff>
    </xdr:from>
    <xdr:to>
      <xdr:col>13</xdr:col>
      <xdr:colOff>157843</xdr:colOff>
      <xdr:row>151</xdr:row>
      <xdr:rowOff>176347</xdr:rowOff>
    </xdr:to>
    <xdr:sp macro="" textlink="">
      <xdr:nvSpPr>
        <xdr:cNvPr id="273" name="Oval 272">
          <a:extLst>
            <a:ext uri="{FF2B5EF4-FFF2-40B4-BE49-F238E27FC236}">
              <a16:creationId xmlns:a16="http://schemas.microsoft.com/office/drawing/2014/main" id="{B6661806-482C-47F4-A941-19F9D3FA65EB}"/>
            </a:ext>
          </a:extLst>
        </xdr:cNvPr>
        <xdr:cNvSpPr/>
      </xdr:nvSpPr>
      <xdr:spPr>
        <a:xfrm>
          <a:off x="7766958" y="8512627"/>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523059</xdr:colOff>
      <xdr:row>183</xdr:row>
      <xdr:rowOff>147230</xdr:rowOff>
    </xdr:from>
    <xdr:to>
      <xdr:col>17</xdr:col>
      <xdr:colOff>516528</xdr:colOff>
      <xdr:row>183</xdr:row>
      <xdr:rowOff>166551</xdr:rowOff>
    </xdr:to>
    <xdr:cxnSp macro="">
      <xdr:nvCxnSpPr>
        <xdr:cNvPr id="274" name="Connector: Elbow 351">
          <a:extLst>
            <a:ext uri="{FF2B5EF4-FFF2-40B4-BE49-F238E27FC236}">
              <a16:creationId xmlns:a16="http://schemas.microsoft.com/office/drawing/2014/main" id="{D1D3FC82-91BA-4BA6-A6DC-9516B926CD6A}"/>
            </a:ext>
          </a:extLst>
        </xdr:cNvPr>
        <xdr:cNvCxnSpPr>
          <a:cxnSpLocks/>
          <a:stCxn id="270" idx="3"/>
          <a:endCxn id="316" idx="2"/>
        </xdr:cNvCxnSpPr>
      </xdr:nvCxnSpPr>
      <xdr:spPr>
        <a:xfrm>
          <a:off x="9667059" y="14594750"/>
          <a:ext cx="1212669" cy="1932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141514</xdr:colOff>
      <xdr:row>126</xdr:row>
      <xdr:rowOff>57150</xdr:rowOff>
    </xdr:from>
    <xdr:to>
      <xdr:col>18</xdr:col>
      <xdr:colOff>381000</xdr:colOff>
      <xdr:row>129</xdr:row>
      <xdr:rowOff>8164</xdr:rowOff>
    </xdr:to>
    <xdr:sp macro="" textlink="">
      <xdr:nvSpPr>
        <xdr:cNvPr id="275" name="Rectangle: Rounded Corners 274">
          <a:extLst>
            <a:ext uri="{FF2B5EF4-FFF2-40B4-BE49-F238E27FC236}">
              <a16:creationId xmlns:a16="http://schemas.microsoft.com/office/drawing/2014/main" id="{53C170D5-4FFD-41D9-8C29-B7161FFF8866}"/>
            </a:ext>
          </a:extLst>
        </xdr:cNvPr>
        <xdr:cNvSpPr/>
      </xdr:nvSpPr>
      <xdr:spPr>
        <a:xfrm>
          <a:off x="10504714" y="408051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547042</xdr:colOff>
      <xdr:row>141</xdr:row>
      <xdr:rowOff>144797</xdr:rowOff>
    </xdr:from>
    <xdr:to>
      <xdr:col>19</xdr:col>
      <xdr:colOff>176928</xdr:colOff>
      <xdr:row>144</xdr:row>
      <xdr:rowOff>95110</xdr:rowOff>
    </xdr:to>
    <xdr:sp macro="" textlink="">
      <xdr:nvSpPr>
        <xdr:cNvPr id="276" name="Rectangle: Rounded Corners 275">
          <a:extLst>
            <a:ext uri="{FF2B5EF4-FFF2-40B4-BE49-F238E27FC236}">
              <a16:creationId xmlns:a16="http://schemas.microsoft.com/office/drawing/2014/main" id="{228487CF-29ED-4487-9D9B-B8A2DE9D3237}"/>
            </a:ext>
          </a:extLst>
        </xdr:cNvPr>
        <xdr:cNvSpPr/>
      </xdr:nvSpPr>
      <xdr:spPr>
        <a:xfrm>
          <a:off x="10910242" y="6911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17</xdr:col>
      <xdr:colOff>487136</xdr:colOff>
      <xdr:row>150</xdr:row>
      <xdr:rowOff>127907</xdr:rowOff>
    </xdr:from>
    <xdr:to>
      <xdr:col>19</xdr:col>
      <xdr:colOff>117022</xdr:colOff>
      <xdr:row>153</xdr:row>
      <xdr:rowOff>78922</xdr:rowOff>
    </xdr:to>
    <xdr:sp macro="" textlink="">
      <xdr:nvSpPr>
        <xdr:cNvPr id="277" name="Rectangle: Rounded Corners 276">
          <a:extLst>
            <a:ext uri="{FF2B5EF4-FFF2-40B4-BE49-F238E27FC236}">
              <a16:creationId xmlns:a16="http://schemas.microsoft.com/office/drawing/2014/main" id="{0E464353-54BA-4ED3-ACE2-8BF00D6D9542}"/>
            </a:ext>
          </a:extLst>
        </xdr:cNvPr>
        <xdr:cNvSpPr/>
      </xdr:nvSpPr>
      <xdr:spPr>
        <a:xfrm>
          <a:off x="10850336" y="8540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13608</xdr:colOff>
      <xdr:row>144</xdr:row>
      <xdr:rowOff>21771</xdr:rowOff>
    </xdr:from>
    <xdr:to>
      <xdr:col>16</xdr:col>
      <xdr:colOff>329293</xdr:colOff>
      <xdr:row>145</xdr:row>
      <xdr:rowOff>97970</xdr:rowOff>
    </xdr:to>
    <xdr:sp macro="" textlink="">
      <xdr:nvSpPr>
        <xdr:cNvPr id="278" name="Oval 277">
          <a:extLst>
            <a:ext uri="{FF2B5EF4-FFF2-40B4-BE49-F238E27FC236}">
              <a16:creationId xmlns:a16="http://schemas.microsoft.com/office/drawing/2014/main" id="{18F0D92C-3AFD-4EC9-A3BB-DD5B59CCCD3F}"/>
            </a:ext>
          </a:extLst>
        </xdr:cNvPr>
        <xdr:cNvSpPr/>
      </xdr:nvSpPr>
      <xdr:spPr>
        <a:xfrm>
          <a:off x="9767208" y="733697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224790</xdr:colOff>
      <xdr:row>144</xdr:row>
      <xdr:rowOff>151311</xdr:rowOff>
    </xdr:from>
    <xdr:to>
      <xdr:col>16</xdr:col>
      <xdr:colOff>13608</xdr:colOff>
      <xdr:row>144</xdr:row>
      <xdr:rowOff>151312</xdr:rowOff>
    </xdr:to>
    <xdr:cxnSp macro="">
      <xdr:nvCxnSpPr>
        <xdr:cNvPr id="279" name="Connector: Elbow 42">
          <a:extLst>
            <a:ext uri="{FF2B5EF4-FFF2-40B4-BE49-F238E27FC236}">
              <a16:creationId xmlns:a16="http://schemas.microsoft.com/office/drawing/2014/main" id="{4F63267A-4CD3-44E9-994A-62E3C41EFD25}"/>
            </a:ext>
          </a:extLst>
        </xdr:cNvPr>
        <xdr:cNvCxnSpPr>
          <a:cxnSpLocks/>
          <a:stCxn id="269" idx="3"/>
          <a:endCxn id="278" idx="2"/>
        </xdr:cNvCxnSpPr>
      </xdr:nvCxnSpPr>
      <xdr:spPr>
        <a:xfrm flipV="1">
          <a:off x="9368790" y="7466511"/>
          <a:ext cx="398418" cy="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171450</xdr:colOff>
      <xdr:row>127</xdr:row>
      <xdr:rowOff>127908</xdr:rowOff>
    </xdr:from>
    <xdr:to>
      <xdr:col>17</xdr:col>
      <xdr:colOff>141513</xdr:colOff>
      <xdr:row>144</xdr:row>
      <xdr:rowOff>21772</xdr:rowOff>
    </xdr:to>
    <xdr:cxnSp macro="">
      <xdr:nvCxnSpPr>
        <xdr:cNvPr id="280" name="Connector: Elbow 279">
          <a:extLst>
            <a:ext uri="{FF2B5EF4-FFF2-40B4-BE49-F238E27FC236}">
              <a16:creationId xmlns:a16="http://schemas.microsoft.com/office/drawing/2014/main" id="{E81FD449-3B87-47DE-A83C-85661FD4A6D9}"/>
            </a:ext>
          </a:extLst>
        </xdr:cNvPr>
        <xdr:cNvCxnSpPr>
          <a:stCxn id="278" idx="0"/>
          <a:endCxn id="275" idx="1"/>
        </xdr:cNvCxnSpPr>
      </xdr:nvCxnSpPr>
      <xdr:spPr>
        <a:xfrm rot="5400000" flipH="1" flipV="1">
          <a:off x="8713470" y="5545728"/>
          <a:ext cx="3002824" cy="57966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329293</xdr:colOff>
      <xdr:row>143</xdr:row>
      <xdr:rowOff>28514</xdr:rowOff>
    </xdr:from>
    <xdr:to>
      <xdr:col>17</xdr:col>
      <xdr:colOff>547042</xdr:colOff>
      <xdr:row>144</xdr:row>
      <xdr:rowOff>151311</xdr:rowOff>
    </xdr:to>
    <xdr:cxnSp macro="">
      <xdr:nvCxnSpPr>
        <xdr:cNvPr id="281" name="Connector: Elbow 280">
          <a:extLst>
            <a:ext uri="{FF2B5EF4-FFF2-40B4-BE49-F238E27FC236}">
              <a16:creationId xmlns:a16="http://schemas.microsoft.com/office/drawing/2014/main" id="{58B34860-6D89-4BEC-9FFB-CC6685350221}"/>
            </a:ext>
          </a:extLst>
        </xdr:cNvPr>
        <xdr:cNvCxnSpPr>
          <a:stCxn id="278" idx="6"/>
          <a:endCxn id="276" idx="1"/>
        </xdr:cNvCxnSpPr>
      </xdr:nvCxnSpPr>
      <xdr:spPr>
        <a:xfrm flipV="1">
          <a:off x="10082893" y="7160834"/>
          <a:ext cx="827349" cy="305677"/>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171451</xdr:colOff>
      <xdr:row>145</xdr:row>
      <xdr:rowOff>97969</xdr:rowOff>
    </xdr:from>
    <xdr:to>
      <xdr:col>17</xdr:col>
      <xdr:colOff>487136</xdr:colOff>
      <xdr:row>152</xdr:row>
      <xdr:rowOff>8164</xdr:rowOff>
    </xdr:to>
    <xdr:cxnSp macro="">
      <xdr:nvCxnSpPr>
        <xdr:cNvPr id="282" name="Connector: Elbow 281">
          <a:extLst>
            <a:ext uri="{FF2B5EF4-FFF2-40B4-BE49-F238E27FC236}">
              <a16:creationId xmlns:a16="http://schemas.microsoft.com/office/drawing/2014/main" id="{033FD79B-C8BB-423C-BB41-B0AD5FF15E37}"/>
            </a:ext>
          </a:extLst>
        </xdr:cNvPr>
        <xdr:cNvCxnSpPr>
          <a:stCxn id="278" idx="4"/>
          <a:endCxn id="277" idx="1"/>
        </xdr:cNvCxnSpPr>
      </xdr:nvCxnSpPr>
      <xdr:spPr>
        <a:xfrm rot="16200000" flipH="1">
          <a:off x="9792516" y="7728584"/>
          <a:ext cx="1190355" cy="92528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103415</xdr:colOff>
      <xdr:row>151</xdr:row>
      <xdr:rowOff>76206</xdr:rowOff>
    </xdr:from>
    <xdr:to>
      <xdr:col>20</xdr:col>
      <xdr:colOff>310244</xdr:colOff>
      <xdr:row>152</xdr:row>
      <xdr:rowOff>130634</xdr:rowOff>
    </xdr:to>
    <xdr:sp macro="" textlink="">
      <xdr:nvSpPr>
        <xdr:cNvPr id="283" name="Isosceles Triangle 282">
          <a:extLst>
            <a:ext uri="{FF2B5EF4-FFF2-40B4-BE49-F238E27FC236}">
              <a16:creationId xmlns:a16="http://schemas.microsoft.com/office/drawing/2014/main" id="{15BE2090-EF7E-4703-9DBF-DA9A5517F3EA}"/>
            </a:ext>
          </a:extLst>
        </xdr:cNvPr>
        <xdr:cNvSpPr/>
      </xdr:nvSpPr>
      <xdr:spPr>
        <a:xfrm rot="5400000">
          <a:off x="12280176" y="8686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117022</xdr:colOff>
      <xdr:row>152</xdr:row>
      <xdr:rowOff>8165</xdr:rowOff>
    </xdr:from>
    <xdr:to>
      <xdr:col>20</xdr:col>
      <xdr:colOff>103416</xdr:colOff>
      <xdr:row>152</xdr:row>
      <xdr:rowOff>8170</xdr:rowOff>
    </xdr:to>
    <xdr:cxnSp macro="">
      <xdr:nvCxnSpPr>
        <xdr:cNvPr id="284" name="Connector: Elbow 351">
          <a:extLst>
            <a:ext uri="{FF2B5EF4-FFF2-40B4-BE49-F238E27FC236}">
              <a16:creationId xmlns:a16="http://schemas.microsoft.com/office/drawing/2014/main" id="{DF615AAF-9138-4FD4-9906-F96CA8D8D60E}"/>
            </a:ext>
          </a:extLst>
        </xdr:cNvPr>
        <xdr:cNvCxnSpPr>
          <a:stCxn id="277" idx="3"/>
          <a:endCxn id="283" idx="3"/>
        </xdr:cNvCxnSpPr>
      </xdr:nvCxnSpPr>
      <xdr:spPr>
        <a:xfrm>
          <a:off x="11699422" y="8786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293546</xdr:colOff>
      <xdr:row>142</xdr:row>
      <xdr:rowOff>74114</xdr:rowOff>
    </xdr:from>
    <xdr:to>
      <xdr:col>20</xdr:col>
      <xdr:colOff>500375</xdr:colOff>
      <xdr:row>143</xdr:row>
      <xdr:rowOff>134687</xdr:rowOff>
    </xdr:to>
    <xdr:sp macro="" textlink="">
      <xdr:nvSpPr>
        <xdr:cNvPr id="285" name="Isosceles Triangle 284">
          <a:extLst>
            <a:ext uri="{FF2B5EF4-FFF2-40B4-BE49-F238E27FC236}">
              <a16:creationId xmlns:a16="http://schemas.microsoft.com/office/drawing/2014/main" id="{1E93AFFF-7535-4FC3-A5F4-44A5173105FE}"/>
            </a:ext>
          </a:extLst>
        </xdr:cNvPr>
        <xdr:cNvSpPr/>
      </xdr:nvSpPr>
      <xdr:spPr>
        <a:xfrm rot="5400000">
          <a:off x="12467234" y="7041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176928</xdr:colOff>
      <xdr:row>143</xdr:row>
      <xdr:rowOff>12961</xdr:rowOff>
    </xdr:from>
    <xdr:to>
      <xdr:col>20</xdr:col>
      <xdr:colOff>293546</xdr:colOff>
      <xdr:row>143</xdr:row>
      <xdr:rowOff>28514</xdr:rowOff>
    </xdr:to>
    <xdr:cxnSp macro="">
      <xdr:nvCxnSpPr>
        <xdr:cNvPr id="286" name="Connector: Elbow 351">
          <a:extLst>
            <a:ext uri="{FF2B5EF4-FFF2-40B4-BE49-F238E27FC236}">
              <a16:creationId xmlns:a16="http://schemas.microsoft.com/office/drawing/2014/main" id="{E7577F35-2B2B-4B2D-B9E2-8B8570BFD16C}"/>
            </a:ext>
          </a:extLst>
        </xdr:cNvPr>
        <xdr:cNvCxnSpPr>
          <a:stCxn id="276" idx="3"/>
          <a:endCxn id="285" idx="3"/>
        </xdr:cNvCxnSpPr>
      </xdr:nvCxnSpPr>
      <xdr:spPr>
        <a:xfrm flipV="1">
          <a:off x="11759328" y="7145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480604</xdr:colOff>
      <xdr:row>117</xdr:row>
      <xdr:rowOff>171450</xdr:rowOff>
    </xdr:from>
    <xdr:to>
      <xdr:col>23</xdr:col>
      <xdr:colOff>110490</xdr:colOff>
      <xdr:row>120</xdr:row>
      <xdr:rowOff>130084</xdr:rowOff>
    </xdr:to>
    <xdr:sp macro="" textlink="">
      <xdr:nvSpPr>
        <xdr:cNvPr id="287" name="Rectangle: Rounded Corners 286">
          <a:extLst>
            <a:ext uri="{FF2B5EF4-FFF2-40B4-BE49-F238E27FC236}">
              <a16:creationId xmlns:a16="http://schemas.microsoft.com/office/drawing/2014/main" id="{CEC4E015-E98B-43E0-9E6B-1AF7DC0B7DCA}"/>
            </a:ext>
          </a:extLst>
        </xdr:cNvPr>
        <xdr:cNvSpPr/>
      </xdr:nvSpPr>
      <xdr:spPr>
        <a:xfrm>
          <a:off x="13282204" y="2548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519389</xdr:colOff>
      <xdr:row>128</xdr:row>
      <xdr:rowOff>102642</xdr:rowOff>
    </xdr:from>
    <xdr:to>
      <xdr:col>23</xdr:col>
      <xdr:colOff>149275</xdr:colOff>
      <xdr:row>131</xdr:row>
      <xdr:rowOff>59100</xdr:rowOff>
    </xdr:to>
    <xdr:sp macro="" textlink="">
      <xdr:nvSpPr>
        <xdr:cNvPr id="288" name="Rectangle: Rounded Corners 287">
          <a:extLst>
            <a:ext uri="{FF2B5EF4-FFF2-40B4-BE49-F238E27FC236}">
              <a16:creationId xmlns:a16="http://schemas.microsoft.com/office/drawing/2014/main" id="{8B9BA10A-753E-49E8-A7B1-13BFA4EF0E51}"/>
            </a:ext>
          </a:extLst>
        </xdr:cNvPr>
        <xdr:cNvSpPr/>
      </xdr:nvSpPr>
      <xdr:spPr>
        <a:xfrm>
          <a:off x="13320989" y="44917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19</xdr:col>
      <xdr:colOff>601436</xdr:colOff>
      <xdr:row>127</xdr:row>
      <xdr:rowOff>-1</xdr:rowOff>
    </xdr:from>
    <xdr:to>
      <xdr:col>20</xdr:col>
      <xdr:colOff>307521</xdr:colOff>
      <xdr:row>128</xdr:row>
      <xdr:rowOff>76199</xdr:rowOff>
    </xdr:to>
    <xdr:sp macro="" textlink="">
      <xdr:nvSpPr>
        <xdr:cNvPr id="289" name="Oval 288">
          <a:extLst>
            <a:ext uri="{FF2B5EF4-FFF2-40B4-BE49-F238E27FC236}">
              <a16:creationId xmlns:a16="http://schemas.microsoft.com/office/drawing/2014/main" id="{7EABAC23-39D0-488B-8A11-DD35B5F75C07}"/>
            </a:ext>
          </a:extLst>
        </xdr:cNvPr>
        <xdr:cNvSpPr/>
      </xdr:nvSpPr>
      <xdr:spPr>
        <a:xfrm>
          <a:off x="12183836" y="4206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381000</xdr:colOff>
      <xdr:row>127</xdr:row>
      <xdr:rowOff>127907</xdr:rowOff>
    </xdr:from>
    <xdr:to>
      <xdr:col>19</xdr:col>
      <xdr:colOff>601436</xdr:colOff>
      <xdr:row>127</xdr:row>
      <xdr:rowOff>133349</xdr:rowOff>
    </xdr:to>
    <xdr:cxnSp macro="">
      <xdr:nvCxnSpPr>
        <xdr:cNvPr id="290" name="Connector: Elbow 42">
          <a:extLst>
            <a:ext uri="{FF2B5EF4-FFF2-40B4-BE49-F238E27FC236}">
              <a16:creationId xmlns:a16="http://schemas.microsoft.com/office/drawing/2014/main" id="{69684D20-BC8C-4B8B-B528-4A9A3966B7FE}"/>
            </a:ext>
          </a:extLst>
        </xdr:cNvPr>
        <xdr:cNvCxnSpPr>
          <a:cxnSpLocks/>
          <a:stCxn id="275" idx="3"/>
          <a:endCxn id="289" idx="2"/>
        </xdr:cNvCxnSpPr>
      </xdr:nvCxnSpPr>
      <xdr:spPr>
        <a:xfrm>
          <a:off x="11353800" y="4334147"/>
          <a:ext cx="830036" cy="5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149678</xdr:colOff>
      <xdr:row>119</xdr:row>
      <xdr:rowOff>59328</xdr:rowOff>
    </xdr:from>
    <xdr:to>
      <xdr:col>21</xdr:col>
      <xdr:colOff>480603</xdr:colOff>
      <xdr:row>127</xdr:row>
      <xdr:rowOff>0</xdr:rowOff>
    </xdr:to>
    <xdr:cxnSp macro="">
      <xdr:nvCxnSpPr>
        <xdr:cNvPr id="291" name="Connector: Elbow 290">
          <a:extLst>
            <a:ext uri="{FF2B5EF4-FFF2-40B4-BE49-F238E27FC236}">
              <a16:creationId xmlns:a16="http://schemas.microsoft.com/office/drawing/2014/main" id="{C02A3141-9946-4043-8D2E-393AAE3CE100}"/>
            </a:ext>
          </a:extLst>
        </xdr:cNvPr>
        <xdr:cNvCxnSpPr>
          <a:stCxn id="289" idx="0"/>
          <a:endCxn id="287" idx="1"/>
        </xdr:cNvCxnSpPr>
      </xdr:nvCxnSpPr>
      <xdr:spPr>
        <a:xfrm rot="5400000" flipH="1" flipV="1">
          <a:off x="12110085" y="3034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149679</xdr:colOff>
      <xdr:row>128</xdr:row>
      <xdr:rowOff>76199</xdr:rowOff>
    </xdr:from>
    <xdr:to>
      <xdr:col>21</xdr:col>
      <xdr:colOff>519389</xdr:colOff>
      <xdr:row>129</xdr:row>
      <xdr:rowOff>172311</xdr:rowOff>
    </xdr:to>
    <xdr:cxnSp macro="">
      <xdr:nvCxnSpPr>
        <xdr:cNvPr id="292" name="Connector: Elbow 291">
          <a:extLst>
            <a:ext uri="{FF2B5EF4-FFF2-40B4-BE49-F238E27FC236}">
              <a16:creationId xmlns:a16="http://schemas.microsoft.com/office/drawing/2014/main" id="{BC789388-DDAE-44EC-8457-3F7A0133E3DB}"/>
            </a:ext>
          </a:extLst>
        </xdr:cNvPr>
        <xdr:cNvCxnSpPr>
          <a:stCxn id="289" idx="4"/>
          <a:endCxn id="288" idx="1"/>
        </xdr:cNvCxnSpPr>
      </xdr:nvCxnSpPr>
      <xdr:spPr>
        <a:xfrm rot="16200000" flipH="1">
          <a:off x="12691838" y="4115160"/>
          <a:ext cx="278992" cy="97931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507275</xdr:colOff>
      <xdr:row>129</xdr:row>
      <xdr:rowOff>29256</xdr:rowOff>
    </xdr:from>
    <xdr:to>
      <xdr:col>25</xdr:col>
      <xdr:colOff>104504</xdr:colOff>
      <xdr:row>130</xdr:row>
      <xdr:rowOff>83684</xdr:rowOff>
    </xdr:to>
    <xdr:sp macro="" textlink="">
      <xdr:nvSpPr>
        <xdr:cNvPr id="293" name="Isosceles Triangle 292">
          <a:extLst>
            <a:ext uri="{FF2B5EF4-FFF2-40B4-BE49-F238E27FC236}">
              <a16:creationId xmlns:a16="http://schemas.microsoft.com/office/drawing/2014/main" id="{0D4197BA-6023-49BB-968E-8E7A90761F79}"/>
            </a:ext>
          </a:extLst>
        </xdr:cNvPr>
        <xdr:cNvSpPr/>
      </xdr:nvSpPr>
      <xdr:spPr>
        <a:xfrm rot="5400000">
          <a:off x="15122436" y="461649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149275</xdr:colOff>
      <xdr:row>129</xdr:row>
      <xdr:rowOff>147910</xdr:rowOff>
    </xdr:from>
    <xdr:to>
      <xdr:col>24</xdr:col>
      <xdr:colOff>507276</xdr:colOff>
      <xdr:row>129</xdr:row>
      <xdr:rowOff>172311</xdr:rowOff>
    </xdr:to>
    <xdr:cxnSp macro="">
      <xdr:nvCxnSpPr>
        <xdr:cNvPr id="294" name="Connector: Elbow 351">
          <a:extLst>
            <a:ext uri="{FF2B5EF4-FFF2-40B4-BE49-F238E27FC236}">
              <a16:creationId xmlns:a16="http://schemas.microsoft.com/office/drawing/2014/main" id="{64C6AD27-B2E9-4B89-80A0-3952774431E4}"/>
            </a:ext>
          </a:extLst>
        </xdr:cNvPr>
        <xdr:cNvCxnSpPr>
          <a:stCxn id="288" idx="3"/>
          <a:endCxn id="293" idx="3"/>
        </xdr:cNvCxnSpPr>
      </xdr:nvCxnSpPr>
      <xdr:spPr>
        <a:xfrm flipV="1">
          <a:off x="14170075" y="4719910"/>
          <a:ext cx="967601" cy="2440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110490</xdr:colOff>
      <xdr:row>119</xdr:row>
      <xdr:rowOff>59327</xdr:rowOff>
    </xdr:from>
    <xdr:to>
      <xdr:col>24</xdr:col>
      <xdr:colOff>400948</xdr:colOff>
      <xdr:row>119</xdr:row>
      <xdr:rowOff>81824</xdr:rowOff>
    </xdr:to>
    <xdr:cxnSp macro="">
      <xdr:nvCxnSpPr>
        <xdr:cNvPr id="301" name="Connector: Elbow 42">
          <a:extLst>
            <a:ext uri="{FF2B5EF4-FFF2-40B4-BE49-F238E27FC236}">
              <a16:creationId xmlns:a16="http://schemas.microsoft.com/office/drawing/2014/main" id="{7A91370C-F455-4399-A1E9-28A80CD58D35}"/>
            </a:ext>
          </a:extLst>
        </xdr:cNvPr>
        <xdr:cNvCxnSpPr>
          <a:cxnSpLocks/>
          <a:stCxn id="287" idx="3"/>
          <a:endCxn id="312" idx="3"/>
        </xdr:cNvCxnSpPr>
      </xdr:nvCxnSpPr>
      <xdr:spPr>
        <a:xfrm>
          <a:off x="14131290" y="2802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549869</xdr:colOff>
      <xdr:row>135</xdr:row>
      <xdr:rowOff>26442</xdr:rowOff>
    </xdr:from>
    <xdr:to>
      <xdr:col>23</xdr:col>
      <xdr:colOff>179755</xdr:colOff>
      <xdr:row>137</xdr:row>
      <xdr:rowOff>165780</xdr:rowOff>
    </xdr:to>
    <xdr:sp macro="" textlink="">
      <xdr:nvSpPr>
        <xdr:cNvPr id="308" name="Rectangle: Rounded Corners 307">
          <a:extLst>
            <a:ext uri="{FF2B5EF4-FFF2-40B4-BE49-F238E27FC236}">
              <a16:creationId xmlns:a16="http://schemas.microsoft.com/office/drawing/2014/main" id="{33E9BC0E-7C37-46DD-BF23-DF0AEBC5D8DC}"/>
            </a:ext>
          </a:extLst>
        </xdr:cNvPr>
        <xdr:cNvSpPr/>
      </xdr:nvSpPr>
      <xdr:spPr>
        <a:xfrm>
          <a:off x="13351469" y="5695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20</xdr:col>
      <xdr:colOff>149679</xdr:colOff>
      <xdr:row>128</xdr:row>
      <xdr:rowOff>76199</xdr:rowOff>
    </xdr:from>
    <xdr:to>
      <xdr:col>21</xdr:col>
      <xdr:colOff>549869</xdr:colOff>
      <xdr:row>136</xdr:row>
      <xdr:rowOff>96111</xdr:rowOff>
    </xdr:to>
    <xdr:cxnSp macro="">
      <xdr:nvCxnSpPr>
        <xdr:cNvPr id="309" name="Connector: Elbow 308">
          <a:extLst>
            <a:ext uri="{FF2B5EF4-FFF2-40B4-BE49-F238E27FC236}">
              <a16:creationId xmlns:a16="http://schemas.microsoft.com/office/drawing/2014/main" id="{D4099DF7-AC74-430E-962C-8435228117AF}"/>
            </a:ext>
          </a:extLst>
        </xdr:cNvPr>
        <xdr:cNvCxnSpPr>
          <a:stCxn id="289" idx="4"/>
          <a:endCxn id="308" idx="1"/>
        </xdr:cNvCxnSpPr>
      </xdr:nvCxnSpPr>
      <xdr:spPr>
        <a:xfrm rot="16200000" flipH="1">
          <a:off x="12105098" y="4701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34835</xdr:colOff>
      <xdr:row>135</xdr:row>
      <xdr:rowOff>181655</xdr:rowOff>
    </xdr:from>
    <xdr:to>
      <xdr:col>25</xdr:col>
      <xdr:colOff>241664</xdr:colOff>
      <xdr:row>137</xdr:row>
      <xdr:rowOff>53203</xdr:rowOff>
    </xdr:to>
    <xdr:sp macro="" textlink="">
      <xdr:nvSpPr>
        <xdr:cNvPr id="310" name="Isosceles Triangle 309">
          <a:extLst>
            <a:ext uri="{FF2B5EF4-FFF2-40B4-BE49-F238E27FC236}">
              <a16:creationId xmlns:a16="http://schemas.microsoft.com/office/drawing/2014/main" id="{766F1438-1049-4B40-B2D3-5F47E9B2BE2D}"/>
            </a:ext>
          </a:extLst>
        </xdr:cNvPr>
        <xdr:cNvSpPr/>
      </xdr:nvSpPr>
      <xdr:spPr>
        <a:xfrm rot="5400000">
          <a:off x="15259596" y="5866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179755</xdr:colOff>
      <xdr:row>136</xdr:row>
      <xdr:rowOff>96111</xdr:rowOff>
    </xdr:from>
    <xdr:to>
      <xdr:col>25</xdr:col>
      <xdr:colOff>34836</xdr:colOff>
      <xdr:row>136</xdr:row>
      <xdr:rowOff>117429</xdr:rowOff>
    </xdr:to>
    <xdr:cxnSp macro="">
      <xdr:nvCxnSpPr>
        <xdr:cNvPr id="311" name="Connector: Elbow 351">
          <a:extLst>
            <a:ext uri="{FF2B5EF4-FFF2-40B4-BE49-F238E27FC236}">
              <a16:creationId xmlns:a16="http://schemas.microsoft.com/office/drawing/2014/main" id="{E983FC6B-8374-47B3-A5CF-F420BB0EFFEC}"/>
            </a:ext>
          </a:extLst>
        </xdr:cNvPr>
        <xdr:cNvCxnSpPr>
          <a:stCxn id="308" idx="3"/>
          <a:endCxn id="310" idx="3"/>
        </xdr:cNvCxnSpPr>
      </xdr:nvCxnSpPr>
      <xdr:spPr>
        <a:xfrm>
          <a:off x="14200555" y="5948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400947</xdr:colOff>
      <xdr:row>118</xdr:row>
      <xdr:rowOff>149860</xdr:rowOff>
    </xdr:from>
    <xdr:to>
      <xdr:col>24</xdr:col>
      <xdr:colOff>607776</xdr:colOff>
      <xdr:row>120</xdr:row>
      <xdr:rowOff>13788</xdr:rowOff>
    </xdr:to>
    <xdr:sp macro="" textlink="">
      <xdr:nvSpPr>
        <xdr:cNvPr id="312" name="Isosceles Triangle 311">
          <a:extLst>
            <a:ext uri="{FF2B5EF4-FFF2-40B4-BE49-F238E27FC236}">
              <a16:creationId xmlns:a16="http://schemas.microsoft.com/office/drawing/2014/main" id="{3A3447B7-E353-4150-BA61-186117D5678B}"/>
            </a:ext>
          </a:extLst>
        </xdr:cNvPr>
        <xdr:cNvSpPr/>
      </xdr:nvSpPr>
      <xdr:spPr>
        <a:xfrm rot="5400000">
          <a:off x="15019918" y="2721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385354</xdr:colOff>
      <xdr:row>176</xdr:row>
      <xdr:rowOff>26670</xdr:rowOff>
    </xdr:from>
    <xdr:to>
      <xdr:col>21</xdr:col>
      <xdr:colOff>15240</xdr:colOff>
      <xdr:row>178</xdr:row>
      <xdr:rowOff>160564</xdr:rowOff>
    </xdr:to>
    <xdr:sp macro="" textlink="">
      <xdr:nvSpPr>
        <xdr:cNvPr id="313" name="Rectangle: Rounded Corners 312">
          <a:extLst>
            <a:ext uri="{FF2B5EF4-FFF2-40B4-BE49-F238E27FC236}">
              <a16:creationId xmlns:a16="http://schemas.microsoft.com/office/drawing/2014/main" id="{3B2B2891-2ED7-46FD-A9BD-A4956A7731B9}"/>
            </a:ext>
          </a:extLst>
        </xdr:cNvPr>
        <xdr:cNvSpPr/>
      </xdr:nvSpPr>
      <xdr:spPr>
        <a:xfrm>
          <a:off x="11967754" y="13194030"/>
          <a:ext cx="849086" cy="49965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SGA</a:t>
          </a:r>
        </a:p>
      </xdr:txBody>
    </xdr:sp>
    <xdr:clientData/>
  </xdr:twoCellAnchor>
  <xdr:twoCellAnchor>
    <xdr:from>
      <xdr:col>19</xdr:col>
      <xdr:colOff>547042</xdr:colOff>
      <xdr:row>191</xdr:row>
      <xdr:rowOff>144797</xdr:rowOff>
    </xdr:from>
    <xdr:to>
      <xdr:col>21</xdr:col>
      <xdr:colOff>176928</xdr:colOff>
      <xdr:row>194</xdr:row>
      <xdr:rowOff>95110</xdr:rowOff>
    </xdr:to>
    <xdr:sp macro="" textlink="">
      <xdr:nvSpPr>
        <xdr:cNvPr id="314" name="Rectangle: Rounded Corners 313">
          <a:extLst>
            <a:ext uri="{FF2B5EF4-FFF2-40B4-BE49-F238E27FC236}">
              <a16:creationId xmlns:a16="http://schemas.microsoft.com/office/drawing/2014/main" id="{CBEB8CB1-26F4-4266-86F4-8EB32A87D617}"/>
            </a:ext>
          </a:extLst>
        </xdr:cNvPr>
        <xdr:cNvSpPr/>
      </xdr:nvSpPr>
      <xdr:spPr>
        <a:xfrm>
          <a:off x="12129442" y="16055357"/>
          <a:ext cx="849086" cy="49895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Norrmal</a:t>
          </a:r>
          <a:r>
            <a:rPr lang="en-ZA" sz="1100" baseline="0">
              <a:solidFill>
                <a:sysClr val="windowText" lastClr="000000"/>
              </a:solidFill>
            </a:rPr>
            <a:t> weight</a:t>
          </a:r>
          <a:endParaRPr lang="en-ZA" sz="1100">
            <a:solidFill>
              <a:sysClr val="windowText" lastClr="000000"/>
            </a:solidFill>
          </a:endParaRPr>
        </a:p>
      </xdr:txBody>
    </xdr:sp>
    <xdr:clientData/>
  </xdr:twoCellAnchor>
  <xdr:twoCellAnchor>
    <xdr:from>
      <xdr:col>19</xdr:col>
      <xdr:colOff>487136</xdr:colOff>
      <xdr:row>200</xdr:row>
      <xdr:rowOff>127907</xdr:rowOff>
    </xdr:from>
    <xdr:to>
      <xdr:col>21</xdr:col>
      <xdr:colOff>117022</xdr:colOff>
      <xdr:row>203</xdr:row>
      <xdr:rowOff>78922</xdr:rowOff>
    </xdr:to>
    <xdr:sp macro="" textlink="">
      <xdr:nvSpPr>
        <xdr:cNvPr id="315" name="Rectangle: Rounded Corners 314">
          <a:extLst>
            <a:ext uri="{FF2B5EF4-FFF2-40B4-BE49-F238E27FC236}">
              <a16:creationId xmlns:a16="http://schemas.microsoft.com/office/drawing/2014/main" id="{29686110-3CFA-45DA-B98F-B28521C615D5}"/>
            </a:ext>
          </a:extLst>
        </xdr:cNvPr>
        <xdr:cNvSpPr/>
      </xdr:nvSpPr>
      <xdr:spPr>
        <a:xfrm>
          <a:off x="12069536" y="17684387"/>
          <a:ext cx="849086" cy="49965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17</xdr:col>
      <xdr:colOff>516528</xdr:colOff>
      <xdr:row>183</xdr:row>
      <xdr:rowOff>37011</xdr:rowOff>
    </xdr:from>
    <xdr:to>
      <xdr:col>18</xdr:col>
      <xdr:colOff>222613</xdr:colOff>
      <xdr:row>184</xdr:row>
      <xdr:rowOff>113210</xdr:rowOff>
    </xdr:to>
    <xdr:sp macro="" textlink="">
      <xdr:nvSpPr>
        <xdr:cNvPr id="316" name="Oval 315">
          <a:extLst>
            <a:ext uri="{FF2B5EF4-FFF2-40B4-BE49-F238E27FC236}">
              <a16:creationId xmlns:a16="http://schemas.microsoft.com/office/drawing/2014/main" id="{4C125354-51EC-43A9-8035-DAE6BEF9D643}"/>
            </a:ext>
          </a:extLst>
        </xdr:cNvPr>
        <xdr:cNvSpPr/>
      </xdr:nvSpPr>
      <xdr:spPr>
        <a:xfrm>
          <a:off x="10879728" y="14484531"/>
          <a:ext cx="315685" cy="25907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64770</xdr:colOff>
      <xdr:row>177</xdr:row>
      <xdr:rowOff>93618</xdr:rowOff>
    </xdr:from>
    <xdr:to>
      <xdr:col>19</xdr:col>
      <xdr:colOff>385353</xdr:colOff>
      <xdr:row>183</xdr:row>
      <xdr:rowOff>37012</xdr:rowOff>
    </xdr:to>
    <xdr:cxnSp macro="">
      <xdr:nvCxnSpPr>
        <xdr:cNvPr id="317" name="Connector: Elbow 316">
          <a:extLst>
            <a:ext uri="{FF2B5EF4-FFF2-40B4-BE49-F238E27FC236}">
              <a16:creationId xmlns:a16="http://schemas.microsoft.com/office/drawing/2014/main" id="{3CA2D50E-59B6-43F1-AE28-C48B6B76F242}"/>
            </a:ext>
          </a:extLst>
        </xdr:cNvPr>
        <xdr:cNvCxnSpPr>
          <a:cxnSpLocks/>
          <a:stCxn id="316" idx="0"/>
          <a:endCxn id="313" idx="1"/>
        </xdr:cNvCxnSpPr>
      </xdr:nvCxnSpPr>
      <xdr:spPr>
        <a:xfrm rot="5400000" flipH="1" flipV="1">
          <a:off x="10982325" y="13499103"/>
          <a:ext cx="1040674" cy="93018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222613</xdr:colOff>
      <xdr:row>183</xdr:row>
      <xdr:rowOff>166551</xdr:rowOff>
    </xdr:from>
    <xdr:to>
      <xdr:col>19</xdr:col>
      <xdr:colOff>547042</xdr:colOff>
      <xdr:row>193</xdr:row>
      <xdr:rowOff>28514</xdr:rowOff>
    </xdr:to>
    <xdr:cxnSp macro="">
      <xdr:nvCxnSpPr>
        <xdr:cNvPr id="318" name="Connector: Elbow 317">
          <a:extLst>
            <a:ext uri="{FF2B5EF4-FFF2-40B4-BE49-F238E27FC236}">
              <a16:creationId xmlns:a16="http://schemas.microsoft.com/office/drawing/2014/main" id="{55E8AECA-1529-4834-8C3C-CC0B228F1009}"/>
            </a:ext>
          </a:extLst>
        </xdr:cNvPr>
        <xdr:cNvCxnSpPr>
          <a:stCxn id="316" idx="6"/>
          <a:endCxn id="314" idx="1"/>
        </xdr:cNvCxnSpPr>
      </xdr:nvCxnSpPr>
      <xdr:spPr>
        <a:xfrm>
          <a:off x="11195413" y="14614071"/>
          <a:ext cx="934029" cy="169076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64771</xdr:colOff>
      <xdr:row>184</xdr:row>
      <xdr:rowOff>113209</xdr:rowOff>
    </xdr:from>
    <xdr:to>
      <xdr:col>19</xdr:col>
      <xdr:colOff>487136</xdr:colOff>
      <xdr:row>202</xdr:row>
      <xdr:rowOff>11974</xdr:rowOff>
    </xdr:to>
    <xdr:cxnSp macro="">
      <xdr:nvCxnSpPr>
        <xdr:cNvPr id="319" name="Connector: Elbow 318">
          <a:extLst>
            <a:ext uri="{FF2B5EF4-FFF2-40B4-BE49-F238E27FC236}">
              <a16:creationId xmlns:a16="http://schemas.microsoft.com/office/drawing/2014/main" id="{77F5DEEA-EF80-4F89-8BC5-A04E5BFEB2EB}"/>
            </a:ext>
          </a:extLst>
        </xdr:cNvPr>
        <xdr:cNvCxnSpPr>
          <a:stCxn id="316" idx="4"/>
          <a:endCxn id="315" idx="1"/>
        </xdr:cNvCxnSpPr>
      </xdr:nvCxnSpPr>
      <xdr:spPr>
        <a:xfrm rot="16200000" flipH="1">
          <a:off x="9958251" y="15822929"/>
          <a:ext cx="3190605" cy="10319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103415</xdr:colOff>
      <xdr:row>201</xdr:row>
      <xdr:rowOff>76206</xdr:rowOff>
    </xdr:from>
    <xdr:to>
      <xdr:col>22</xdr:col>
      <xdr:colOff>310244</xdr:colOff>
      <xdr:row>202</xdr:row>
      <xdr:rowOff>130634</xdr:rowOff>
    </xdr:to>
    <xdr:sp macro="" textlink="">
      <xdr:nvSpPr>
        <xdr:cNvPr id="320" name="Isosceles Triangle 319">
          <a:extLst>
            <a:ext uri="{FF2B5EF4-FFF2-40B4-BE49-F238E27FC236}">
              <a16:creationId xmlns:a16="http://schemas.microsoft.com/office/drawing/2014/main" id="{17AACD90-AA1B-4F4F-BE91-CCDFE107AA5C}"/>
            </a:ext>
          </a:extLst>
        </xdr:cNvPr>
        <xdr:cNvSpPr/>
      </xdr:nvSpPr>
      <xdr:spPr>
        <a:xfrm rot="5400000">
          <a:off x="13499376" y="17830805"/>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117022</xdr:colOff>
      <xdr:row>202</xdr:row>
      <xdr:rowOff>8165</xdr:rowOff>
    </xdr:from>
    <xdr:to>
      <xdr:col>22</xdr:col>
      <xdr:colOff>103416</xdr:colOff>
      <xdr:row>202</xdr:row>
      <xdr:rowOff>8170</xdr:rowOff>
    </xdr:to>
    <xdr:cxnSp macro="">
      <xdr:nvCxnSpPr>
        <xdr:cNvPr id="321" name="Connector: Elbow 351">
          <a:extLst>
            <a:ext uri="{FF2B5EF4-FFF2-40B4-BE49-F238E27FC236}">
              <a16:creationId xmlns:a16="http://schemas.microsoft.com/office/drawing/2014/main" id="{147DE68F-50BA-4A5F-B106-057D28307A82}"/>
            </a:ext>
          </a:extLst>
        </xdr:cNvPr>
        <xdr:cNvCxnSpPr>
          <a:stCxn id="315" idx="3"/>
          <a:endCxn id="320" idx="3"/>
        </xdr:cNvCxnSpPr>
      </xdr:nvCxnSpPr>
      <xdr:spPr>
        <a:xfrm>
          <a:off x="12918622" y="17930405"/>
          <a:ext cx="595994" cy="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293546</xdr:colOff>
      <xdr:row>192</xdr:row>
      <xdr:rowOff>74114</xdr:rowOff>
    </xdr:from>
    <xdr:to>
      <xdr:col>22</xdr:col>
      <xdr:colOff>500375</xdr:colOff>
      <xdr:row>193</xdr:row>
      <xdr:rowOff>134687</xdr:rowOff>
    </xdr:to>
    <xdr:sp macro="" textlink="">
      <xdr:nvSpPr>
        <xdr:cNvPr id="322" name="Isosceles Triangle 321">
          <a:extLst>
            <a:ext uri="{FF2B5EF4-FFF2-40B4-BE49-F238E27FC236}">
              <a16:creationId xmlns:a16="http://schemas.microsoft.com/office/drawing/2014/main" id="{F38B30E5-B953-44CA-B9A7-F8FC4BD81BD2}"/>
            </a:ext>
          </a:extLst>
        </xdr:cNvPr>
        <xdr:cNvSpPr/>
      </xdr:nvSpPr>
      <xdr:spPr>
        <a:xfrm rot="5400000">
          <a:off x="13686434" y="16185866"/>
          <a:ext cx="24345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176928</xdr:colOff>
      <xdr:row>193</xdr:row>
      <xdr:rowOff>12961</xdr:rowOff>
    </xdr:from>
    <xdr:to>
      <xdr:col>22</xdr:col>
      <xdr:colOff>293546</xdr:colOff>
      <xdr:row>193</xdr:row>
      <xdr:rowOff>28514</xdr:rowOff>
    </xdr:to>
    <xdr:cxnSp macro="">
      <xdr:nvCxnSpPr>
        <xdr:cNvPr id="323" name="Connector: Elbow 351">
          <a:extLst>
            <a:ext uri="{FF2B5EF4-FFF2-40B4-BE49-F238E27FC236}">
              <a16:creationId xmlns:a16="http://schemas.microsoft.com/office/drawing/2014/main" id="{AB58138C-7DA9-4465-AC34-8A4216014D54}"/>
            </a:ext>
          </a:extLst>
        </xdr:cNvPr>
        <xdr:cNvCxnSpPr>
          <a:stCxn id="314" idx="3"/>
          <a:endCxn id="322" idx="3"/>
        </xdr:cNvCxnSpPr>
      </xdr:nvCxnSpPr>
      <xdr:spPr>
        <a:xfrm flipV="1">
          <a:off x="12978528" y="16289281"/>
          <a:ext cx="726218" cy="1555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480604</xdr:colOff>
      <xdr:row>167</xdr:row>
      <xdr:rowOff>171450</xdr:rowOff>
    </xdr:from>
    <xdr:to>
      <xdr:col>25</xdr:col>
      <xdr:colOff>110490</xdr:colOff>
      <xdr:row>170</xdr:row>
      <xdr:rowOff>130084</xdr:rowOff>
    </xdr:to>
    <xdr:sp macro="" textlink="">
      <xdr:nvSpPr>
        <xdr:cNvPr id="324" name="Rectangle: Rounded Corners 323">
          <a:extLst>
            <a:ext uri="{FF2B5EF4-FFF2-40B4-BE49-F238E27FC236}">
              <a16:creationId xmlns:a16="http://schemas.microsoft.com/office/drawing/2014/main" id="{2783B50D-25D1-49CA-AEB9-4B3E37F614DC}"/>
            </a:ext>
          </a:extLst>
        </xdr:cNvPr>
        <xdr:cNvSpPr/>
      </xdr:nvSpPr>
      <xdr:spPr>
        <a:xfrm>
          <a:off x="14501404" y="11692890"/>
          <a:ext cx="849086" cy="50727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Hypoglycaemia</a:t>
          </a:r>
        </a:p>
      </xdr:txBody>
    </xdr:sp>
    <xdr:clientData/>
  </xdr:twoCellAnchor>
  <xdr:twoCellAnchor>
    <xdr:from>
      <xdr:col>23</xdr:col>
      <xdr:colOff>595589</xdr:colOff>
      <xdr:row>175</xdr:row>
      <xdr:rowOff>72162</xdr:rowOff>
    </xdr:from>
    <xdr:to>
      <xdr:col>25</xdr:col>
      <xdr:colOff>225475</xdr:colOff>
      <xdr:row>178</xdr:row>
      <xdr:rowOff>28620</xdr:rowOff>
    </xdr:to>
    <xdr:sp macro="" textlink="">
      <xdr:nvSpPr>
        <xdr:cNvPr id="325" name="Rectangle: Rounded Corners 324">
          <a:extLst>
            <a:ext uri="{FF2B5EF4-FFF2-40B4-BE49-F238E27FC236}">
              <a16:creationId xmlns:a16="http://schemas.microsoft.com/office/drawing/2014/main" id="{0C73364D-5186-4290-A133-79077F4D96F6}"/>
            </a:ext>
          </a:extLst>
        </xdr:cNvPr>
        <xdr:cNvSpPr/>
      </xdr:nvSpPr>
      <xdr:spPr>
        <a:xfrm>
          <a:off x="14616389" y="3207616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complications</a:t>
          </a:r>
        </a:p>
      </xdr:txBody>
    </xdr:sp>
    <xdr:clientData/>
  </xdr:twoCellAnchor>
  <xdr:twoCellAnchor>
    <xdr:from>
      <xdr:col>21</xdr:col>
      <xdr:colOff>601436</xdr:colOff>
      <xdr:row>177</xdr:row>
      <xdr:rowOff>-1</xdr:rowOff>
    </xdr:from>
    <xdr:to>
      <xdr:col>22</xdr:col>
      <xdr:colOff>307521</xdr:colOff>
      <xdr:row>178</xdr:row>
      <xdr:rowOff>76199</xdr:rowOff>
    </xdr:to>
    <xdr:sp macro="" textlink="">
      <xdr:nvSpPr>
        <xdr:cNvPr id="330" name="Oval 329">
          <a:extLst>
            <a:ext uri="{FF2B5EF4-FFF2-40B4-BE49-F238E27FC236}">
              <a16:creationId xmlns:a16="http://schemas.microsoft.com/office/drawing/2014/main" id="{6C184317-F0CC-4A7F-8448-96F0C2028D53}"/>
            </a:ext>
          </a:extLst>
        </xdr:cNvPr>
        <xdr:cNvSpPr/>
      </xdr:nvSpPr>
      <xdr:spPr>
        <a:xfrm>
          <a:off x="13403036" y="13350239"/>
          <a:ext cx="315685" cy="25908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21</xdr:col>
      <xdr:colOff>15240</xdr:colOff>
      <xdr:row>177</xdr:row>
      <xdr:rowOff>93617</xdr:rowOff>
    </xdr:from>
    <xdr:to>
      <xdr:col>21</xdr:col>
      <xdr:colOff>601436</xdr:colOff>
      <xdr:row>177</xdr:row>
      <xdr:rowOff>129539</xdr:rowOff>
    </xdr:to>
    <xdr:cxnSp macro="">
      <xdr:nvCxnSpPr>
        <xdr:cNvPr id="331" name="Connector: Elbow 42">
          <a:extLst>
            <a:ext uri="{FF2B5EF4-FFF2-40B4-BE49-F238E27FC236}">
              <a16:creationId xmlns:a16="http://schemas.microsoft.com/office/drawing/2014/main" id="{44CD9F87-9210-4D91-93CD-B2F53B43CE00}"/>
            </a:ext>
          </a:extLst>
        </xdr:cNvPr>
        <xdr:cNvCxnSpPr>
          <a:cxnSpLocks/>
          <a:stCxn id="313" idx="3"/>
          <a:endCxn id="330" idx="2"/>
        </xdr:cNvCxnSpPr>
      </xdr:nvCxnSpPr>
      <xdr:spPr>
        <a:xfrm>
          <a:off x="12816840" y="13443857"/>
          <a:ext cx="586196" cy="359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149678</xdr:colOff>
      <xdr:row>169</xdr:row>
      <xdr:rowOff>59328</xdr:rowOff>
    </xdr:from>
    <xdr:to>
      <xdr:col>23</xdr:col>
      <xdr:colOff>480603</xdr:colOff>
      <xdr:row>177</xdr:row>
      <xdr:rowOff>0</xdr:rowOff>
    </xdr:to>
    <xdr:cxnSp macro="">
      <xdr:nvCxnSpPr>
        <xdr:cNvPr id="332" name="Connector: Elbow 331">
          <a:extLst>
            <a:ext uri="{FF2B5EF4-FFF2-40B4-BE49-F238E27FC236}">
              <a16:creationId xmlns:a16="http://schemas.microsoft.com/office/drawing/2014/main" id="{64B65980-F42C-4C8B-B3F1-88AC1F6F0614}"/>
            </a:ext>
          </a:extLst>
        </xdr:cNvPr>
        <xdr:cNvCxnSpPr>
          <a:cxnSpLocks/>
          <a:stCxn id="330" idx="0"/>
          <a:endCxn id="324" idx="1"/>
        </xdr:cNvCxnSpPr>
      </xdr:nvCxnSpPr>
      <xdr:spPr>
        <a:xfrm rot="5400000" flipH="1" flipV="1">
          <a:off x="13329285" y="12178121"/>
          <a:ext cx="1403712" cy="94052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149679</xdr:colOff>
      <xdr:row>176</xdr:row>
      <xdr:rowOff>141831</xdr:rowOff>
    </xdr:from>
    <xdr:to>
      <xdr:col>23</xdr:col>
      <xdr:colOff>595589</xdr:colOff>
      <xdr:row>178</xdr:row>
      <xdr:rowOff>76199</xdr:rowOff>
    </xdr:to>
    <xdr:cxnSp macro="">
      <xdr:nvCxnSpPr>
        <xdr:cNvPr id="333" name="Connector: Elbow 332">
          <a:extLst>
            <a:ext uri="{FF2B5EF4-FFF2-40B4-BE49-F238E27FC236}">
              <a16:creationId xmlns:a16="http://schemas.microsoft.com/office/drawing/2014/main" id="{DF215FCB-B466-456F-9E25-2694227B8A4A}"/>
            </a:ext>
          </a:extLst>
        </xdr:cNvPr>
        <xdr:cNvCxnSpPr>
          <a:stCxn id="330" idx="4"/>
          <a:endCxn id="325" idx="1"/>
        </xdr:cNvCxnSpPr>
      </xdr:nvCxnSpPr>
      <xdr:spPr>
        <a:xfrm rot="5400000" flipH="1" flipV="1">
          <a:off x="13938570" y="31951020"/>
          <a:ext cx="300128" cy="1055510"/>
        </a:xfrm>
        <a:prstGeom prst="bentConnector4">
          <a:avLst>
            <a:gd name="adj1" fmla="val -76168"/>
            <a:gd name="adj2" fmla="val 57477"/>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537755</xdr:colOff>
      <xdr:row>175</xdr:row>
      <xdr:rowOff>181657</xdr:rowOff>
    </xdr:from>
    <xdr:to>
      <xdr:col>27</xdr:col>
      <xdr:colOff>134984</xdr:colOff>
      <xdr:row>177</xdr:row>
      <xdr:rowOff>53205</xdr:rowOff>
    </xdr:to>
    <xdr:sp macro="" textlink="">
      <xdr:nvSpPr>
        <xdr:cNvPr id="334" name="Isosceles Triangle 333">
          <a:extLst>
            <a:ext uri="{FF2B5EF4-FFF2-40B4-BE49-F238E27FC236}">
              <a16:creationId xmlns:a16="http://schemas.microsoft.com/office/drawing/2014/main" id="{FEA5BDCA-C7C3-4682-BBD0-0892C9BC0A00}"/>
            </a:ext>
          </a:extLst>
        </xdr:cNvPr>
        <xdr:cNvSpPr/>
      </xdr:nvSpPr>
      <xdr:spPr>
        <a:xfrm rot="5400000">
          <a:off x="16372116" y="32200896"/>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225475</xdr:colOff>
      <xdr:row>176</xdr:row>
      <xdr:rowOff>117431</xdr:rowOff>
    </xdr:from>
    <xdr:to>
      <xdr:col>26</xdr:col>
      <xdr:colOff>537756</xdr:colOff>
      <xdr:row>176</xdr:row>
      <xdr:rowOff>141831</xdr:rowOff>
    </xdr:to>
    <xdr:cxnSp macro="">
      <xdr:nvCxnSpPr>
        <xdr:cNvPr id="335" name="Connector: Elbow 351">
          <a:extLst>
            <a:ext uri="{FF2B5EF4-FFF2-40B4-BE49-F238E27FC236}">
              <a16:creationId xmlns:a16="http://schemas.microsoft.com/office/drawing/2014/main" id="{9788CB35-1ACB-4AA5-AA0B-DC5EEC2C10ED}"/>
            </a:ext>
          </a:extLst>
        </xdr:cNvPr>
        <xdr:cNvCxnSpPr>
          <a:stCxn id="325" idx="3"/>
          <a:endCxn id="334" idx="3"/>
        </xdr:cNvCxnSpPr>
      </xdr:nvCxnSpPr>
      <xdr:spPr>
        <a:xfrm flipV="1">
          <a:off x="15465475" y="32304311"/>
          <a:ext cx="921881" cy="244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110490</xdr:colOff>
      <xdr:row>169</xdr:row>
      <xdr:rowOff>59327</xdr:rowOff>
    </xdr:from>
    <xdr:to>
      <xdr:col>26</xdr:col>
      <xdr:colOff>400948</xdr:colOff>
      <xdr:row>169</xdr:row>
      <xdr:rowOff>81824</xdr:rowOff>
    </xdr:to>
    <xdr:cxnSp macro="">
      <xdr:nvCxnSpPr>
        <xdr:cNvPr id="342" name="Connector: Elbow 42">
          <a:extLst>
            <a:ext uri="{FF2B5EF4-FFF2-40B4-BE49-F238E27FC236}">
              <a16:creationId xmlns:a16="http://schemas.microsoft.com/office/drawing/2014/main" id="{72B1F3A4-1086-4217-A644-8F2824082280}"/>
            </a:ext>
          </a:extLst>
        </xdr:cNvPr>
        <xdr:cNvCxnSpPr>
          <a:cxnSpLocks/>
          <a:stCxn id="324" idx="3"/>
          <a:endCxn id="349" idx="3"/>
        </xdr:cNvCxnSpPr>
      </xdr:nvCxnSpPr>
      <xdr:spPr>
        <a:xfrm>
          <a:off x="15350490" y="11946527"/>
          <a:ext cx="900058" cy="2249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549869</xdr:colOff>
      <xdr:row>185</xdr:row>
      <xdr:rowOff>26442</xdr:rowOff>
    </xdr:from>
    <xdr:to>
      <xdr:col>25</xdr:col>
      <xdr:colOff>179755</xdr:colOff>
      <xdr:row>187</xdr:row>
      <xdr:rowOff>165780</xdr:rowOff>
    </xdr:to>
    <xdr:sp macro="" textlink="">
      <xdr:nvSpPr>
        <xdr:cNvPr id="345" name="Rectangle: Rounded Corners 344">
          <a:extLst>
            <a:ext uri="{FF2B5EF4-FFF2-40B4-BE49-F238E27FC236}">
              <a16:creationId xmlns:a16="http://schemas.microsoft.com/office/drawing/2014/main" id="{D79C69B6-DA61-4DEA-828A-D70DA990CBA8}"/>
            </a:ext>
          </a:extLst>
        </xdr:cNvPr>
        <xdr:cNvSpPr/>
      </xdr:nvSpPr>
      <xdr:spPr>
        <a:xfrm>
          <a:off x="14570669" y="14839722"/>
          <a:ext cx="849086" cy="50509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Death</a:t>
          </a:r>
        </a:p>
      </xdr:txBody>
    </xdr:sp>
    <xdr:clientData/>
  </xdr:twoCellAnchor>
  <xdr:twoCellAnchor>
    <xdr:from>
      <xdr:col>22</xdr:col>
      <xdr:colOff>149679</xdr:colOff>
      <xdr:row>178</xdr:row>
      <xdr:rowOff>76199</xdr:rowOff>
    </xdr:from>
    <xdr:to>
      <xdr:col>23</xdr:col>
      <xdr:colOff>549869</xdr:colOff>
      <xdr:row>186</xdr:row>
      <xdr:rowOff>96111</xdr:rowOff>
    </xdr:to>
    <xdr:cxnSp macro="">
      <xdr:nvCxnSpPr>
        <xdr:cNvPr id="346" name="Connector: Elbow 345">
          <a:extLst>
            <a:ext uri="{FF2B5EF4-FFF2-40B4-BE49-F238E27FC236}">
              <a16:creationId xmlns:a16="http://schemas.microsoft.com/office/drawing/2014/main" id="{491D933A-9E63-4084-9108-B15AD9BC214E}"/>
            </a:ext>
          </a:extLst>
        </xdr:cNvPr>
        <xdr:cNvCxnSpPr>
          <a:stCxn id="330" idx="4"/>
          <a:endCxn id="345" idx="1"/>
        </xdr:cNvCxnSpPr>
      </xdr:nvCxnSpPr>
      <xdr:spPr>
        <a:xfrm rot="16200000" flipH="1">
          <a:off x="13324298" y="13845900"/>
          <a:ext cx="1482952" cy="10097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34835</xdr:colOff>
      <xdr:row>185</xdr:row>
      <xdr:rowOff>181655</xdr:rowOff>
    </xdr:from>
    <xdr:to>
      <xdr:col>27</xdr:col>
      <xdr:colOff>241664</xdr:colOff>
      <xdr:row>187</xdr:row>
      <xdr:rowOff>53203</xdr:rowOff>
    </xdr:to>
    <xdr:sp macro="" textlink="">
      <xdr:nvSpPr>
        <xdr:cNvPr id="347" name="Isosceles Triangle 346">
          <a:extLst>
            <a:ext uri="{FF2B5EF4-FFF2-40B4-BE49-F238E27FC236}">
              <a16:creationId xmlns:a16="http://schemas.microsoft.com/office/drawing/2014/main" id="{A9F6DD57-8FD3-43D2-B756-4C9DE1DA7DB6}"/>
            </a:ext>
          </a:extLst>
        </xdr:cNvPr>
        <xdr:cNvSpPr/>
      </xdr:nvSpPr>
      <xdr:spPr>
        <a:xfrm rot="5400000">
          <a:off x="16478796" y="15010174"/>
          <a:ext cx="23730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179755</xdr:colOff>
      <xdr:row>186</xdr:row>
      <xdr:rowOff>96111</xdr:rowOff>
    </xdr:from>
    <xdr:to>
      <xdr:col>27</xdr:col>
      <xdr:colOff>34836</xdr:colOff>
      <xdr:row>186</xdr:row>
      <xdr:rowOff>117429</xdr:rowOff>
    </xdr:to>
    <xdr:cxnSp macro="">
      <xdr:nvCxnSpPr>
        <xdr:cNvPr id="348" name="Connector: Elbow 351">
          <a:extLst>
            <a:ext uri="{FF2B5EF4-FFF2-40B4-BE49-F238E27FC236}">
              <a16:creationId xmlns:a16="http://schemas.microsoft.com/office/drawing/2014/main" id="{A001E53E-CBC6-4C40-BDEC-36E477EF7439}"/>
            </a:ext>
          </a:extLst>
        </xdr:cNvPr>
        <xdr:cNvCxnSpPr>
          <a:stCxn id="345" idx="3"/>
          <a:endCxn id="347" idx="3"/>
        </xdr:cNvCxnSpPr>
      </xdr:nvCxnSpPr>
      <xdr:spPr>
        <a:xfrm>
          <a:off x="15419755" y="15092271"/>
          <a:ext cx="1074281" cy="2131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400947</xdr:colOff>
      <xdr:row>168</xdr:row>
      <xdr:rowOff>149860</xdr:rowOff>
    </xdr:from>
    <xdr:to>
      <xdr:col>26</xdr:col>
      <xdr:colOff>607776</xdr:colOff>
      <xdr:row>170</xdr:row>
      <xdr:rowOff>13788</xdr:rowOff>
    </xdr:to>
    <xdr:sp macro="" textlink="">
      <xdr:nvSpPr>
        <xdr:cNvPr id="349" name="Isosceles Triangle 348">
          <a:extLst>
            <a:ext uri="{FF2B5EF4-FFF2-40B4-BE49-F238E27FC236}">
              <a16:creationId xmlns:a16="http://schemas.microsoft.com/office/drawing/2014/main" id="{27939417-6435-4B61-9F2B-E726E5CB3B86}"/>
            </a:ext>
          </a:extLst>
        </xdr:cNvPr>
        <xdr:cNvSpPr/>
      </xdr:nvSpPr>
      <xdr:spPr>
        <a:xfrm rot="5400000">
          <a:off x="16239118" y="11865609"/>
          <a:ext cx="22968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14</xdr:row>
      <xdr:rowOff>190499</xdr:rowOff>
    </xdr:from>
    <xdr:to>
      <xdr:col>3</xdr:col>
      <xdr:colOff>598714</xdr:colOff>
      <xdr:row>15</xdr:row>
      <xdr:rowOff>0</xdr:rowOff>
    </xdr:to>
    <xdr:cxnSp macro="">
      <xdr:nvCxnSpPr>
        <xdr:cNvPr id="2" name="Straight Connector 1">
          <a:extLst>
            <a:ext uri="{FF2B5EF4-FFF2-40B4-BE49-F238E27FC236}">
              <a16:creationId xmlns:a16="http://schemas.microsoft.com/office/drawing/2014/main" id="{8B180CAE-0A15-4E76-BEFC-3303D1D9CFFE}"/>
            </a:ext>
          </a:extLst>
        </xdr:cNvPr>
        <xdr:cNvCxnSpPr>
          <a:endCxn id="3" idx="1"/>
        </xdr:cNvCxnSpPr>
      </xdr:nvCxnSpPr>
      <xdr:spPr>
        <a:xfrm flipV="1">
          <a:off x="1219200" y="2743199"/>
          <a:ext cx="1208314"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598714</xdr:colOff>
      <xdr:row>14</xdr:row>
      <xdr:rowOff>126999</xdr:rowOff>
    </xdr:from>
    <xdr:to>
      <xdr:col>4</xdr:col>
      <xdr:colOff>60960</xdr:colOff>
      <xdr:row>15</xdr:row>
      <xdr:rowOff>63499</xdr:rowOff>
    </xdr:to>
    <xdr:sp macro="" textlink="">
      <xdr:nvSpPr>
        <xdr:cNvPr id="3" name="Rectangle 2">
          <a:extLst>
            <a:ext uri="{FF2B5EF4-FFF2-40B4-BE49-F238E27FC236}">
              <a16:creationId xmlns:a16="http://schemas.microsoft.com/office/drawing/2014/main" id="{416C0364-4265-4A29-92B0-28E498E0FCAC}"/>
            </a:ext>
          </a:extLst>
        </xdr:cNvPr>
        <xdr:cNvSpPr/>
      </xdr:nvSpPr>
      <xdr:spPr>
        <a:xfrm>
          <a:off x="2427514" y="2687319"/>
          <a:ext cx="71846" cy="1193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xdr:col>
      <xdr:colOff>601980</xdr:colOff>
      <xdr:row>10</xdr:row>
      <xdr:rowOff>10026</xdr:rowOff>
    </xdr:from>
    <xdr:to>
      <xdr:col>4</xdr:col>
      <xdr:colOff>5014</xdr:colOff>
      <xdr:row>21</xdr:row>
      <xdr:rowOff>15240</xdr:rowOff>
    </xdr:to>
    <xdr:cxnSp macro="">
      <xdr:nvCxnSpPr>
        <xdr:cNvPr id="4" name="Straight Connector 3">
          <a:extLst>
            <a:ext uri="{FF2B5EF4-FFF2-40B4-BE49-F238E27FC236}">
              <a16:creationId xmlns:a16="http://schemas.microsoft.com/office/drawing/2014/main" id="{252853F9-2E06-4844-953A-813FC5F3C06F}"/>
            </a:ext>
          </a:extLst>
        </xdr:cNvPr>
        <xdr:cNvCxnSpPr/>
      </xdr:nvCxnSpPr>
      <xdr:spPr>
        <a:xfrm flipH="1">
          <a:off x="2430780" y="1838826"/>
          <a:ext cx="12634" cy="201689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7620</xdr:colOff>
      <xdr:row>20</xdr:row>
      <xdr:rowOff>179071</xdr:rowOff>
    </xdr:from>
    <xdr:to>
      <xdr:col>12</xdr:col>
      <xdr:colOff>524466</xdr:colOff>
      <xdr:row>21</xdr:row>
      <xdr:rowOff>0</xdr:rowOff>
    </xdr:to>
    <xdr:cxnSp macro="">
      <xdr:nvCxnSpPr>
        <xdr:cNvPr id="5" name="Straight Connector 4">
          <a:extLst>
            <a:ext uri="{FF2B5EF4-FFF2-40B4-BE49-F238E27FC236}">
              <a16:creationId xmlns:a16="http://schemas.microsoft.com/office/drawing/2014/main" id="{86452AE3-3092-4880-990E-EFA7E9A97B08}"/>
            </a:ext>
          </a:extLst>
        </xdr:cNvPr>
        <xdr:cNvCxnSpPr>
          <a:endCxn id="7" idx="2"/>
        </xdr:cNvCxnSpPr>
      </xdr:nvCxnSpPr>
      <xdr:spPr>
        <a:xfrm flipV="1">
          <a:off x="2446020" y="3836671"/>
          <a:ext cx="5393646" cy="3809"/>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548640</xdr:colOff>
      <xdr:row>9</xdr:row>
      <xdr:rowOff>121920</xdr:rowOff>
    </xdr:from>
    <xdr:to>
      <xdr:col>10</xdr:col>
      <xdr:colOff>68580</xdr:colOff>
      <xdr:row>10</xdr:row>
      <xdr:rowOff>68580</xdr:rowOff>
    </xdr:to>
    <xdr:sp macro="" textlink="">
      <xdr:nvSpPr>
        <xdr:cNvPr id="6" name="Flowchart: Connector 5">
          <a:extLst>
            <a:ext uri="{FF2B5EF4-FFF2-40B4-BE49-F238E27FC236}">
              <a16:creationId xmlns:a16="http://schemas.microsoft.com/office/drawing/2014/main" id="{9FC6C104-12B3-4550-8378-0BDF5BA73A06}"/>
            </a:ext>
          </a:extLst>
        </xdr:cNvPr>
        <xdr:cNvSpPr/>
      </xdr:nvSpPr>
      <xdr:spPr>
        <a:xfrm>
          <a:off x="6035040" y="1767840"/>
          <a:ext cx="129540" cy="129540"/>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524466</xdr:colOff>
      <xdr:row>20</xdr:row>
      <xdr:rowOff>114301</xdr:rowOff>
    </xdr:from>
    <xdr:to>
      <xdr:col>13</xdr:col>
      <xdr:colOff>44406</xdr:colOff>
      <xdr:row>21</xdr:row>
      <xdr:rowOff>60960</xdr:rowOff>
    </xdr:to>
    <xdr:sp macro="" textlink="">
      <xdr:nvSpPr>
        <xdr:cNvPr id="7" name="Flowchart: Connector 6">
          <a:extLst>
            <a:ext uri="{FF2B5EF4-FFF2-40B4-BE49-F238E27FC236}">
              <a16:creationId xmlns:a16="http://schemas.microsoft.com/office/drawing/2014/main" id="{B9566D09-111C-411A-AAC4-625EA5A19622}"/>
            </a:ext>
          </a:extLst>
        </xdr:cNvPr>
        <xdr:cNvSpPr/>
      </xdr:nvSpPr>
      <xdr:spPr>
        <a:xfrm>
          <a:off x="7839666" y="377190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9236</xdr:colOff>
      <xdr:row>9</xdr:row>
      <xdr:rowOff>179070</xdr:rowOff>
    </xdr:from>
    <xdr:to>
      <xdr:col>9</xdr:col>
      <xdr:colOff>556260</xdr:colOff>
      <xdr:row>10</xdr:row>
      <xdr:rowOff>4619</xdr:rowOff>
    </xdr:to>
    <xdr:cxnSp macro="">
      <xdr:nvCxnSpPr>
        <xdr:cNvPr id="8" name="Straight Connector 7">
          <a:extLst>
            <a:ext uri="{FF2B5EF4-FFF2-40B4-BE49-F238E27FC236}">
              <a16:creationId xmlns:a16="http://schemas.microsoft.com/office/drawing/2014/main" id="{DC96C180-AA34-4095-8D48-5650FA36E970}"/>
            </a:ext>
          </a:extLst>
        </xdr:cNvPr>
        <xdr:cNvCxnSpPr/>
      </xdr:nvCxnSpPr>
      <xdr:spPr>
        <a:xfrm flipV="1">
          <a:off x="2447636" y="1824990"/>
          <a:ext cx="3595024" cy="8429"/>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5255</xdr:colOff>
      <xdr:row>7</xdr:row>
      <xdr:rowOff>3629</xdr:rowOff>
    </xdr:from>
    <xdr:to>
      <xdr:col>10</xdr:col>
      <xdr:colOff>7257</xdr:colOff>
      <xdr:row>13</xdr:row>
      <xdr:rowOff>2503</xdr:rowOff>
    </xdr:to>
    <xdr:cxnSp macro="">
      <xdr:nvCxnSpPr>
        <xdr:cNvPr id="9" name="Straight Connector 8">
          <a:extLst>
            <a:ext uri="{FF2B5EF4-FFF2-40B4-BE49-F238E27FC236}">
              <a16:creationId xmlns:a16="http://schemas.microsoft.com/office/drawing/2014/main" id="{1A1165CC-B39C-4CE7-A3BE-F2F64CE66FAA}"/>
            </a:ext>
          </a:extLst>
        </xdr:cNvPr>
        <xdr:cNvCxnSpPr/>
      </xdr:nvCxnSpPr>
      <xdr:spPr>
        <a:xfrm flipH="1">
          <a:off x="6101255" y="1283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601980</xdr:colOff>
      <xdr:row>18</xdr:row>
      <xdr:rowOff>21021</xdr:rowOff>
    </xdr:from>
    <xdr:to>
      <xdr:col>12</xdr:col>
      <xdr:colOff>601980</xdr:colOff>
      <xdr:row>24</xdr:row>
      <xdr:rowOff>36883</xdr:rowOff>
    </xdr:to>
    <xdr:cxnSp macro="">
      <xdr:nvCxnSpPr>
        <xdr:cNvPr id="10" name="Straight Connector 9">
          <a:extLst>
            <a:ext uri="{FF2B5EF4-FFF2-40B4-BE49-F238E27FC236}">
              <a16:creationId xmlns:a16="http://schemas.microsoft.com/office/drawing/2014/main" id="{ACD7606A-9E0E-4858-8730-5B3177074FFE}"/>
            </a:ext>
          </a:extLst>
        </xdr:cNvPr>
        <xdr:cNvCxnSpPr/>
      </xdr:nvCxnSpPr>
      <xdr:spPr>
        <a:xfrm>
          <a:off x="7917180" y="3312861"/>
          <a:ext cx="0" cy="111314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11814</xdr:colOff>
      <xdr:row>7</xdr:row>
      <xdr:rowOff>0</xdr:rowOff>
    </xdr:from>
    <xdr:to>
      <xdr:col>13</xdr:col>
      <xdr:colOff>30480</xdr:colOff>
      <xdr:row>7</xdr:row>
      <xdr:rowOff>5907</xdr:rowOff>
    </xdr:to>
    <xdr:cxnSp macro="">
      <xdr:nvCxnSpPr>
        <xdr:cNvPr id="11" name="Straight Connector 10">
          <a:extLst>
            <a:ext uri="{FF2B5EF4-FFF2-40B4-BE49-F238E27FC236}">
              <a16:creationId xmlns:a16="http://schemas.microsoft.com/office/drawing/2014/main" id="{935269BD-925C-4C0D-A24D-B2712F69470F}"/>
            </a:ext>
          </a:extLst>
        </xdr:cNvPr>
        <xdr:cNvCxnSpPr/>
      </xdr:nvCxnSpPr>
      <xdr:spPr>
        <a:xfrm flipV="1">
          <a:off x="6107814" y="1280160"/>
          <a:ext cx="1847466" cy="590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5255</xdr:colOff>
      <xdr:row>12</xdr:row>
      <xdr:rowOff>175260</xdr:rowOff>
    </xdr:from>
    <xdr:to>
      <xdr:col>12</xdr:col>
      <xdr:colOff>601980</xdr:colOff>
      <xdr:row>12</xdr:row>
      <xdr:rowOff>178676</xdr:rowOff>
    </xdr:to>
    <xdr:cxnSp macro="">
      <xdr:nvCxnSpPr>
        <xdr:cNvPr id="12" name="Straight Connector 11">
          <a:extLst>
            <a:ext uri="{FF2B5EF4-FFF2-40B4-BE49-F238E27FC236}">
              <a16:creationId xmlns:a16="http://schemas.microsoft.com/office/drawing/2014/main" id="{F8F5160A-2B57-426A-B5F1-C091021D8507}"/>
            </a:ext>
          </a:extLst>
        </xdr:cNvPr>
        <xdr:cNvCxnSpPr/>
      </xdr:nvCxnSpPr>
      <xdr:spPr>
        <a:xfrm flipV="1">
          <a:off x="6101255" y="2369820"/>
          <a:ext cx="1815925" cy="341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601980</xdr:colOff>
      <xdr:row>17</xdr:row>
      <xdr:rowOff>171674</xdr:rowOff>
    </xdr:from>
    <xdr:to>
      <xdr:col>14</xdr:col>
      <xdr:colOff>608383</xdr:colOff>
      <xdr:row>17</xdr:row>
      <xdr:rowOff>175260</xdr:rowOff>
    </xdr:to>
    <xdr:cxnSp macro="">
      <xdr:nvCxnSpPr>
        <xdr:cNvPr id="14" name="Straight Connector 13">
          <a:extLst>
            <a:ext uri="{FF2B5EF4-FFF2-40B4-BE49-F238E27FC236}">
              <a16:creationId xmlns:a16="http://schemas.microsoft.com/office/drawing/2014/main" id="{6A9EA9D5-1D6B-4D56-A798-35A121A659C8}"/>
            </a:ext>
          </a:extLst>
        </xdr:cNvPr>
        <xdr:cNvCxnSpPr/>
      </xdr:nvCxnSpPr>
      <xdr:spPr>
        <a:xfrm flipV="1">
          <a:off x="7917180" y="32806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15176</xdr:colOff>
      <xdr:row>24</xdr:row>
      <xdr:rowOff>11654</xdr:rowOff>
    </xdr:from>
    <xdr:to>
      <xdr:col>15</xdr:col>
      <xdr:colOff>8772</xdr:colOff>
      <xdr:row>24</xdr:row>
      <xdr:rowOff>11654</xdr:rowOff>
    </xdr:to>
    <xdr:cxnSp macro="">
      <xdr:nvCxnSpPr>
        <xdr:cNvPr id="16" name="Straight Connector 15">
          <a:extLst>
            <a:ext uri="{FF2B5EF4-FFF2-40B4-BE49-F238E27FC236}">
              <a16:creationId xmlns:a16="http://schemas.microsoft.com/office/drawing/2014/main" id="{5958F8E9-2735-4EB6-AF7A-EEF8E2A48EC3}"/>
            </a:ext>
          </a:extLst>
        </xdr:cNvPr>
        <xdr:cNvCxnSpPr/>
      </xdr:nvCxnSpPr>
      <xdr:spPr>
        <a:xfrm>
          <a:off x="7939976" y="4400774"/>
          <a:ext cx="121279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5255</xdr:colOff>
      <xdr:row>2</xdr:row>
      <xdr:rowOff>171269</xdr:rowOff>
    </xdr:from>
    <xdr:to>
      <xdr:col>13</xdr:col>
      <xdr:colOff>7257</xdr:colOff>
      <xdr:row>8</xdr:row>
      <xdr:rowOff>170143</xdr:rowOff>
    </xdr:to>
    <xdr:cxnSp macro="">
      <xdr:nvCxnSpPr>
        <xdr:cNvPr id="18" name="Straight Connector 17">
          <a:extLst>
            <a:ext uri="{FF2B5EF4-FFF2-40B4-BE49-F238E27FC236}">
              <a16:creationId xmlns:a16="http://schemas.microsoft.com/office/drawing/2014/main" id="{0D17D7EF-6985-4D5D-A5E8-0C2637FCB4BB}"/>
            </a:ext>
          </a:extLst>
        </xdr:cNvPr>
        <xdr:cNvCxnSpPr/>
      </xdr:nvCxnSpPr>
      <xdr:spPr>
        <a:xfrm flipH="1">
          <a:off x="7930055" y="53702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5255</xdr:colOff>
      <xdr:row>10</xdr:row>
      <xdr:rowOff>18869</xdr:rowOff>
    </xdr:from>
    <xdr:to>
      <xdr:col>13</xdr:col>
      <xdr:colOff>7257</xdr:colOff>
      <xdr:row>16</xdr:row>
      <xdr:rowOff>17743</xdr:rowOff>
    </xdr:to>
    <xdr:cxnSp macro="">
      <xdr:nvCxnSpPr>
        <xdr:cNvPr id="19" name="Straight Connector 18">
          <a:extLst>
            <a:ext uri="{FF2B5EF4-FFF2-40B4-BE49-F238E27FC236}">
              <a16:creationId xmlns:a16="http://schemas.microsoft.com/office/drawing/2014/main" id="{4A238FD0-A456-4623-B06F-FCE673B3467C}"/>
            </a:ext>
          </a:extLst>
        </xdr:cNvPr>
        <xdr:cNvCxnSpPr/>
      </xdr:nvCxnSpPr>
      <xdr:spPr>
        <a:xfrm flipH="1">
          <a:off x="7930055" y="184766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554946</xdr:colOff>
      <xdr:row>12</xdr:row>
      <xdr:rowOff>129541</xdr:rowOff>
    </xdr:from>
    <xdr:to>
      <xdr:col>13</xdr:col>
      <xdr:colOff>74886</xdr:colOff>
      <xdr:row>13</xdr:row>
      <xdr:rowOff>76200</xdr:rowOff>
    </xdr:to>
    <xdr:sp macro="" textlink="">
      <xdr:nvSpPr>
        <xdr:cNvPr id="23" name="Flowchart: Connector 22">
          <a:extLst>
            <a:ext uri="{FF2B5EF4-FFF2-40B4-BE49-F238E27FC236}">
              <a16:creationId xmlns:a16="http://schemas.microsoft.com/office/drawing/2014/main" id="{7E4AF98D-6AB4-45FD-9E76-1D9F8BCFB98F}"/>
            </a:ext>
          </a:extLst>
        </xdr:cNvPr>
        <xdr:cNvSpPr/>
      </xdr:nvSpPr>
      <xdr:spPr>
        <a:xfrm>
          <a:off x="7870146" y="232410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532086</xdr:colOff>
      <xdr:row>6</xdr:row>
      <xdr:rowOff>99061</xdr:rowOff>
    </xdr:from>
    <xdr:to>
      <xdr:col>13</xdr:col>
      <xdr:colOff>52026</xdr:colOff>
      <xdr:row>7</xdr:row>
      <xdr:rowOff>45720</xdr:rowOff>
    </xdr:to>
    <xdr:sp macro="" textlink="">
      <xdr:nvSpPr>
        <xdr:cNvPr id="24" name="Flowchart: Connector 23">
          <a:extLst>
            <a:ext uri="{FF2B5EF4-FFF2-40B4-BE49-F238E27FC236}">
              <a16:creationId xmlns:a16="http://schemas.microsoft.com/office/drawing/2014/main" id="{F7B3A5B9-8ADB-4876-B060-942061594499}"/>
            </a:ext>
          </a:extLst>
        </xdr:cNvPr>
        <xdr:cNvSpPr/>
      </xdr:nvSpPr>
      <xdr:spPr>
        <a:xfrm>
          <a:off x="7847286" y="119634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12</xdr:col>
      <xdr:colOff>601980</xdr:colOff>
      <xdr:row>9</xdr:row>
      <xdr:rowOff>179294</xdr:rowOff>
    </xdr:from>
    <xdr:to>
      <xdr:col>14</xdr:col>
      <xdr:colOff>608383</xdr:colOff>
      <xdr:row>10</xdr:row>
      <xdr:rowOff>0</xdr:rowOff>
    </xdr:to>
    <xdr:cxnSp macro="">
      <xdr:nvCxnSpPr>
        <xdr:cNvPr id="27" name="Straight Connector 26">
          <a:extLst>
            <a:ext uri="{FF2B5EF4-FFF2-40B4-BE49-F238E27FC236}">
              <a16:creationId xmlns:a16="http://schemas.microsoft.com/office/drawing/2014/main" id="{0D16819F-B489-4583-BC2D-B3DA8361A70A}"/>
            </a:ext>
          </a:extLst>
        </xdr:cNvPr>
        <xdr:cNvCxnSpPr/>
      </xdr:nvCxnSpPr>
      <xdr:spPr>
        <a:xfrm flipV="1">
          <a:off x="7917180" y="18252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15</xdr:row>
      <xdr:rowOff>179294</xdr:rowOff>
    </xdr:from>
    <xdr:to>
      <xdr:col>15</xdr:col>
      <xdr:colOff>6403</xdr:colOff>
      <xdr:row>16</xdr:row>
      <xdr:rowOff>0</xdr:rowOff>
    </xdr:to>
    <xdr:cxnSp macro="">
      <xdr:nvCxnSpPr>
        <xdr:cNvPr id="28" name="Straight Connector 27">
          <a:extLst>
            <a:ext uri="{FF2B5EF4-FFF2-40B4-BE49-F238E27FC236}">
              <a16:creationId xmlns:a16="http://schemas.microsoft.com/office/drawing/2014/main" id="{0EB7A85D-695F-4F9B-8714-567AED02D995}"/>
            </a:ext>
          </a:extLst>
        </xdr:cNvPr>
        <xdr:cNvCxnSpPr/>
      </xdr:nvCxnSpPr>
      <xdr:spPr>
        <a:xfrm flipV="1">
          <a:off x="7924800" y="292249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8</xdr:row>
      <xdr:rowOff>171674</xdr:rowOff>
    </xdr:from>
    <xdr:to>
      <xdr:col>15</xdr:col>
      <xdr:colOff>6403</xdr:colOff>
      <xdr:row>8</xdr:row>
      <xdr:rowOff>175260</xdr:rowOff>
    </xdr:to>
    <xdr:cxnSp macro="">
      <xdr:nvCxnSpPr>
        <xdr:cNvPr id="29" name="Straight Connector 28">
          <a:extLst>
            <a:ext uri="{FF2B5EF4-FFF2-40B4-BE49-F238E27FC236}">
              <a16:creationId xmlns:a16="http://schemas.microsoft.com/office/drawing/2014/main" id="{CB7B1BFB-428B-4E8D-AED0-71030B14A7B4}"/>
            </a:ext>
          </a:extLst>
        </xdr:cNvPr>
        <xdr:cNvCxnSpPr/>
      </xdr:nvCxnSpPr>
      <xdr:spPr>
        <a:xfrm flipV="1">
          <a:off x="7924800" y="16347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15240</xdr:colOff>
      <xdr:row>3</xdr:row>
      <xdr:rowOff>4034</xdr:rowOff>
    </xdr:from>
    <xdr:to>
      <xdr:col>15</xdr:col>
      <xdr:colOff>21643</xdr:colOff>
      <xdr:row>3</xdr:row>
      <xdr:rowOff>7620</xdr:rowOff>
    </xdr:to>
    <xdr:cxnSp macro="">
      <xdr:nvCxnSpPr>
        <xdr:cNvPr id="30" name="Straight Connector 29">
          <a:extLst>
            <a:ext uri="{FF2B5EF4-FFF2-40B4-BE49-F238E27FC236}">
              <a16:creationId xmlns:a16="http://schemas.microsoft.com/office/drawing/2014/main" id="{003C88F0-83BE-488A-8B02-4E321231B2E7}"/>
            </a:ext>
          </a:extLst>
        </xdr:cNvPr>
        <xdr:cNvCxnSpPr/>
      </xdr:nvCxnSpPr>
      <xdr:spPr>
        <a:xfrm flipV="1">
          <a:off x="7940040" y="5526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10</xdr:row>
      <xdr:rowOff>190499</xdr:rowOff>
    </xdr:from>
    <xdr:to>
      <xdr:col>2</xdr:col>
      <xdr:colOff>598714</xdr:colOff>
      <xdr:row>11</xdr:row>
      <xdr:rowOff>0</xdr:rowOff>
    </xdr:to>
    <xdr:cxnSp macro="">
      <xdr:nvCxnSpPr>
        <xdr:cNvPr id="36" name="Straight Connector 35">
          <a:extLst>
            <a:ext uri="{FF2B5EF4-FFF2-40B4-BE49-F238E27FC236}">
              <a16:creationId xmlns:a16="http://schemas.microsoft.com/office/drawing/2014/main" id="{72DDFAFA-8757-4BF1-A810-8DC5B5FBBDCA}"/>
            </a:ext>
          </a:extLst>
        </xdr:cNvPr>
        <xdr:cNvCxnSpPr>
          <a:cxnSpLocks/>
        </xdr:cNvCxnSpPr>
      </xdr:nvCxnSpPr>
      <xdr:spPr>
        <a:xfrm flipV="1">
          <a:off x="0" y="2750819"/>
          <a:ext cx="1208314"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524466</xdr:colOff>
      <xdr:row>22</xdr:row>
      <xdr:rowOff>114301</xdr:rowOff>
    </xdr:from>
    <xdr:to>
      <xdr:col>1</xdr:col>
      <xdr:colOff>44406</xdr:colOff>
      <xdr:row>23</xdr:row>
      <xdr:rowOff>60960</xdr:rowOff>
    </xdr:to>
    <xdr:sp macro="" textlink="">
      <xdr:nvSpPr>
        <xdr:cNvPr id="19" name="Flowchart: Connector 18">
          <a:extLst>
            <a:ext uri="{FF2B5EF4-FFF2-40B4-BE49-F238E27FC236}">
              <a16:creationId xmlns:a16="http://schemas.microsoft.com/office/drawing/2014/main" id="{94EA13F9-E222-4283-990D-D94D06C21508}"/>
            </a:ext>
          </a:extLst>
        </xdr:cNvPr>
        <xdr:cNvSpPr/>
      </xdr:nvSpPr>
      <xdr:spPr>
        <a:xfrm>
          <a:off x="7839666" y="377190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601980</xdr:colOff>
      <xdr:row>19</xdr:row>
      <xdr:rowOff>171674</xdr:rowOff>
    </xdr:from>
    <xdr:to>
      <xdr:col>2</xdr:col>
      <xdr:colOff>608383</xdr:colOff>
      <xdr:row>19</xdr:row>
      <xdr:rowOff>175260</xdr:rowOff>
    </xdr:to>
    <xdr:cxnSp macro="">
      <xdr:nvCxnSpPr>
        <xdr:cNvPr id="20" name="Straight Connector 19">
          <a:extLst>
            <a:ext uri="{FF2B5EF4-FFF2-40B4-BE49-F238E27FC236}">
              <a16:creationId xmlns:a16="http://schemas.microsoft.com/office/drawing/2014/main" id="{F4889E18-019B-4B69-8765-560FD247096C}"/>
            </a:ext>
          </a:extLst>
        </xdr:cNvPr>
        <xdr:cNvCxnSpPr/>
      </xdr:nvCxnSpPr>
      <xdr:spPr>
        <a:xfrm flipV="1">
          <a:off x="7917180" y="32806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15176</xdr:colOff>
      <xdr:row>26</xdr:row>
      <xdr:rowOff>11654</xdr:rowOff>
    </xdr:from>
    <xdr:to>
      <xdr:col>3</xdr:col>
      <xdr:colOff>8772</xdr:colOff>
      <xdr:row>26</xdr:row>
      <xdr:rowOff>11654</xdr:rowOff>
    </xdr:to>
    <xdr:cxnSp macro="">
      <xdr:nvCxnSpPr>
        <xdr:cNvPr id="21" name="Straight Connector 20">
          <a:extLst>
            <a:ext uri="{FF2B5EF4-FFF2-40B4-BE49-F238E27FC236}">
              <a16:creationId xmlns:a16="http://schemas.microsoft.com/office/drawing/2014/main" id="{2A2D15CD-A968-4CA4-A0AD-6AE6B7F4BCFB}"/>
            </a:ext>
          </a:extLst>
        </xdr:cNvPr>
        <xdr:cNvCxnSpPr/>
      </xdr:nvCxnSpPr>
      <xdr:spPr>
        <a:xfrm>
          <a:off x="7939976" y="4400774"/>
          <a:ext cx="121279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5255</xdr:colOff>
      <xdr:row>4</xdr:row>
      <xdr:rowOff>171269</xdr:rowOff>
    </xdr:from>
    <xdr:to>
      <xdr:col>1</xdr:col>
      <xdr:colOff>7257</xdr:colOff>
      <xdr:row>10</xdr:row>
      <xdr:rowOff>170143</xdr:rowOff>
    </xdr:to>
    <xdr:cxnSp macro="">
      <xdr:nvCxnSpPr>
        <xdr:cNvPr id="22" name="Straight Connector 21">
          <a:extLst>
            <a:ext uri="{FF2B5EF4-FFF2-40B4-BE49-F238E27FC236}">
              <a16:creationId xmlns:a16="http://schemas.microsoft.com/office/drawing/2014/main" id="{18839AAC-E093-4B05-AA98-278C45A89657}"/>
            </a:ext>
          </a:extLst>
        </xdr:cNvPr>
        <xdr:cNvCxnSpPr/>
      </xdr:nvCxnSpPr>
      <xdr:spPr>
        <a:xfrm flipH="1">
          <a:off x="7930055" y="53702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5255</xdr:colOff>
      <xdr:row>12</xdr:row>
      <xdr:rowOff>18869</xdr:rowOff>
    </xdr:from>
    <xdr:to>
      <xdr:col>1</xdr:col>
      <xdr:colOff>7257</xdr:colOff>
      <xdr:row>18</xdr:row>
      <xdr:rowOff>17743</xdr:rowOff>
    </xdr:to>
    <xdr:cxnSp macro="">
      <xdr:nvCxnSpPr>
        <xdr:cNvPr id="23" name="Straight Connector 22">
          <a:extLst>
            <a:ext uri="{FF2B5EF4-FFF2-40B4-BE49-F238E27FC236}">
              <a16:creationId xmlns:a16="http://schemas.microsoft.com/office/drawing/2014/main" id="{2F9E47D7-55A8-43DF-B88F-4CEC44103CD8}"/>
            </a:ext>
          </a:extLst>
        </xdr:cNvPr>
        <xdr:cNvCxnSpPr/>
      </xdr:nvCxnSpPr>
      <xdr:spPr>
        <a:xfrm flipH="1">
          <a:off x="7930055" y="184766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554946</xdr:colOff>
      <xdr:row>14</xdr:row>
      <xdr:rowOff>129541</xdr:rowOff>
    </xdr:from>
    <xdr:to>
      <xdr:col>1</xdr:col>
      <xdr:colOff>74886</xdr:colOff>
      <xdr:row>15</xdr:row>
      <xdr:rowOff>76200</xdr:rowOff>
    </xdr:to>
    <xdr:sp macro="" textlink="">
      <xdr:nvSpPr>
        <xdr:cNvPr id="24" name="Flowchart: Connector 23">
          <a:extLst>
            <a:ext uri="{FF2B5EF4-FFF2-40B4-BE49-F238E27FC236}">
              <a16:creationId xmlns:a16="http://schemas.microsoft.com/office/drawing/2014/main" id="{5211DBBE-70E5-4166-8A8A-228002811E37}"/>
            </a:ext>
          </a:extLst>
        </xdr:cNvPr>
        <xdr:cNvSpPr/>
      </xdr:nvSpPr>
      <xdr:spPr>
        <a:xfrm>
          <a:off x="7870146" y="232410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532086</xdr:colOff>
      <xdr:row>8</xdr:row>
      <xdr:rowOff>99061</xdr:rowOff>
    </xdr:from>
    <xdr:to>
      <xdr:col>1</xdr:col>
      <xdr:colOff>52026</xdr:colOff>
      <xdr:row>9</xdr:row>
      <xdr:rowOff>45720</xdr:rowOff>
    </xdr:to>
    <xdr:sp macro="" textlink="">
      <xdr:nvSpPr>
        <xdr:cNvPr id="25" name="Flowchart: Connector 24">
          <a:extLst>
            <a:ext uri="{FF2B5EF4-FFF2-40B4-BE49-F238E27FC236}">
              <a16:creationId xmlns:a16="http://schemas.microsoft.com/office/drawing/2014/main" id="{6A9B5D3C-EAFD-43AF-B1F8-E773F174B674}"/>
            </a:ext>
          </a:extLst>
        </xdr:cNvPr>
        <xdr:cNvSpPr/>
      </xdr:nvSpPr>
      <xdr:spPr>
        <a:xfrm>
          <a:off x="7847286" y="119634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601980</xdr:colOff>
      <xdr:row>11</xdr:row>
      <xdr:rowOff>179294</xdr:rowOff>
    </xdr:from>
    <xdr:to>
      <xdr:col>2</xdr:col>
      <xdr:colOff>608383</xdr:colOff>
      <xdr:row>12</xdr:row>
      <xdr:rowOff>0</xdr:rowOff>
    </xdr:to>
    <xdr:cxnSp macro="">
      <xdr:nvCxnSpPr>
        <xdr:cNvPr id="26" name="Straight Connector 25">
          <a:extLst>
            <a:ext uri="{FF2B5EF4-FFF2-40B4-BE49-F238E27FC236}">
              <a16:creationId xmlns:a16="http://schemas.microsoft.com/office/drawing/2014/main" id="{717EBF21-C042-422A-AC62-1BA118A28131}"/>
            </a:ext>
          </a:extLst>
        </xdr:cNvPr>
        <xdr:cNvCxnSpPr/>
      </xdr:nvCxnSpPr>
      <xdr:spPr>
        <a:xfrm flipV="1">
          <a:off x="7917180" y="18252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17</xdr:row>
      <xdr:rowOff>179294</xdr:rowOff>
    </xdr:from>
    <xdr:to>
      <xdr:col>3</xdr:col>
      <xdr:colOff>6403</xdr:colOff>
      <xdr:row>18</xdr:row>
      <xdr:rowOff>0</xdr:rowOff>
    </xdr:to>
    <xdr:cxnSp macro="">
      <xdr:nvCxnSpPr>
        <xdr:cNvPr id="27" name="Straight Connector 26">
          <a:extLst>
            <a:ext uri="{FF2B5EF4-FFF2-40B4-BE49-F238E27FC236}">
              <a16:creationId xmlns:a16="http://schemas.microsoft.com/office/drawing/2014/main" id="{ED21DE4B-D136-4468-A207-5627699344A3}"/>
            </a:ext>
          </a:extLst>
        </xdr:cNvPr>
        <xdr:cNvCxnSpPr/>
      </xdr:nvCxnSpPr>
      <xdr:spPr>
        <a:xfrm flipV="1">
          <a:off x="7924800" y="292249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10</xdr:row>
      <xdr:rowOff>171674</xdr:rowOff>
    </xdr:from>
    <xdr:to>
      <xdr:col>3</xdr:col>
      <xdr:colOff>6403</xdr:colOff>
      <xdr:row>10</xdr:row>
      <xdr:rowOff>175260</xdr:rowOff>
    </xdr:to>
    <xdr:cxnSp macro="">
      <xdr:nvCxnSpPr>
        <xdr:cNvPr id="28" name="Straight Connector 27">
          <a:extLst>
            <a:ext uri="{FF2B5EF4-FFF2-40B4-BE49-F238E27FC236}">
              <a16:creationId xmlns:a16="http://schemas.microsoft.com/office/drawing/2014/main" id="{9405452F-547F-46EE-A4E3-34718035C155}"/>
            </a:ext>
          </a:extLst>
        </xdr:cNvPr>
        <xdr:cNvCxnSpPr/>
      </xdr:nvCxnSpPr>
      <xdr:spPr>
        <a:xfrm flipV="1">
          <a:off x="7924800" y="16347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15240</xdr:colOff>
      <xdr:row>5</xdr:row>
      <xdr:rowOff>4034</xdr:rowOff>
    </xdr:from>
    <xdr:to>
      <xdr:col>3</xdr:col>
      <xdr:colOff>21643</xdr:colOff>
      <xdr:row>5</xdr:row>
      <xdr:rowOff>7620</xdr:rowOff>
    </xdr:to>
    <xdr:cxnSp macro="">
      <xdr:nvCxnSpPr>
        <xdr:cNvPr id="29" name="Straight Connector 28">
          <a:extLst>
            <a:ext uri="{FF2B5EF4-FFF2-40B4-BE49-F238E27FC236}">
              <a16:creationId xmlns:a16="http://schemas.microsoft.com/office/drawing/2014/main" id="{0CA837A1-01AE-42CF-9EF4-5FA2431BF095}"/>
            </a:ext>
          </a:extLst>
        </xdr:cNvPr>
        <xdr:cNvCxnSpPr/>
      </xdr:nvCxnSpPr>
      <xdr:spPr>
        <a:xfrm flipV="1">
          <a:off x="7940040" y="5526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599615</xdr:colOff>
      <xdr:row>19</xdr:row>
      <xdr:rowOff>171269</xdr:rowOff>
    </xdr:from>
    <xdr:to>
      <xdr:col>0</xdr:col>
      <xdr:colOff>601617</xdr:colOff>
      <xdr:row>25</xdr:row>
      <xdr:rowOff>170143</xdr:rowOff>
    </xdr:to>
    <xdr:cxnSp macro="">
      <xdr:nvCxnSpPr>
        <xdr:cNvPr id="30" name="Straight Connector 29">
          <a:extLst>
            <a:ext uri="{FF2B5EF4-FFF2-40B4-BE49-F238E27FC236}">
              <a16:creationId xmlns:a16="http://schemas.microsoft.com/office/drawing/2014/main" id="{4C192D76-9CA4-44E1-A940-44E3E63EB414}"/>
            </a:ext>
          </a:extLst>
        </xdr:cNvPr>
        <xdr:cNvCxnSpPr/>
      </xdr:nvCxnSpPr>
      <xdr:spPr>
        <a:xfrm flipH="1">
          <a:off x="1209215" y="437750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10</xdr:row>
      <xdr:rowOff>190499</xdr:rowOff>
    </xdr:from>
    <xdr:to>
      <xdr:col>6</xdr:col>
      <xdr:colOff>598714</xdr:colOff>
      <xdr:row>11</xdr:row>
      <xdr:rowOff>0</xdr:rowOff>
    </xdr:to>
    <xdr:cxnSp macro="">
      <xdr:nvCxnSpPr>
        <xdr:cNvPr id="31" name="Straight Connector 30">
          <a:extLst>
            <a:ext uri="{FF2B5EF4-FFF2-40B4-BE49-F238E27FC236}">
              <a16:creationId xmlns:a16="http://schemas.microsoft.com/office/drawing/2014/main" id="{4F1AD627-A64F-4DE4-87A6-5F8447E33C27}"/>
            </a:ext>
          </a:extLst>
        </xdr:cNvPr>
        <xdr:cNvCxnSpPr>
          <a:cxnSpLocks/>
        </xdr:cNvCxnSpPr>
      </xdr:nvCxnSpPr>
      <xdr:spPr>
        <a:xfrm flipV="1">
          <a:off x="1219200" y="2743199"/>
          <a:ext cx="1208314"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5255</xdr:colOff>
      <xdr:row>4</xdr:row>
      <xdr:rowOff>171269</xdr:rowOff>
    </xdr:from>
    <xdr:to>
      <xdr:col>5</xdr:col>
      <xdr:colOff>7257</xdr:colOff>
      <xdr:row>10</xdr:row>
      <xdr:rowOff>170143</xdr:rowOff>
    </xdr:to>
    <xdr:cxnSp macro="">
      <xdr:nvCxnSpPr>
        <xdr:cNvPr id="32" name="Straight Connector 31">
          <a:extLst>
            <a:ext uri="{FF2B5EF4-FFF2-40B4-BE49-F238E27FC236}">
              <a16:creationId xmlns:a16="http://schemas.microsoft.com/office/drawing/2014/main" id="{A761EDB9-F7C3-4A6D-8EEA-75752DC1F2D8}"/>
            </a:ext>
          </a:extLst>
        </xdr:cNvPr>
        <xdr:cNvCxnSpPr/>
      </xdr:nvCxnSpPr>
      <xdr:spPr>
        <a:xfrm flipH="1">
          <a:off x="1224455" y="163430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532086</xdr:colOff>
      <xdr:row>7</xdr:row>
      <xdr:rowOff>129541</xdr:rowOff>
    </xdr:from>
    <xdr:to>
      <xdr:col>5</xdr:col>
      <xdr:colOff>52026</xdr:colOff>
      <xdr:row>8</xdr:row>
      <xdr:rowOff>76200</xdr:rowOff>
    </xdr:to>
    <xdr:sp macro="" textlink="">
      <xdr:nvSpPr>
        <xdr:cNvPr id="33" name="Flowchart: Connector 32">
          <a:extLst>
            <a:ext uri="{FF2B5EF4-FFF2-40B4-BE49-F238E27FC236}">
              <a16:creationId xmlns:a16="http://schemas.microsoft.com/office/drawing/2014/main" id="{D9029C02-B916-4A35-A921-74C32F1B5337}"/>
            </a:ext>
          </a:extLst>
        </xdr:cNvPr>
        <xdr:cNvSpPr/>
      </xdr:nvSpPr>
      <xdr:spPr>
        <a:xfrm>
          <a:off x="4189686" y="214122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5</xdr:col>
      <xdr:colOff>0</xdr:colOff>
      <xdr:row>10</xdr:row>
      <xdr:rowOff>171674</xdr:rowOff>
    </xdr:from>
    <xdr:to>
      <xdr:col>7</xdr:col>
      <xdr:colOff>6403</xdr:colOff>
      <xdr:row>10</xdr:row>
      <xdr:rowOff>175260</xdr:rowOff>
    </xdr:to>
    <xdr:cxnSp macro="">
      <xdr:nvCxnSpPr>
        <xdr:cNvPr id="35" name="Straight Connector 34">
          <a:extLst>
            <a:ext uri="{FF2B5EF4-FFF2-40B4-BE49-F238E27FC236}">
              <a16:creationId xmlns:a16="http://schemas.microsoft.com/office/drawing/2014/main" id="{262F1E67-94E9-49D8-A4C7-335B1FD91E24}"/>
            </a:ext>
          </a:extLst>
        </xdr:cNvPr>
        <xdr:cNvCxnSpPr/>
      </xdr:nvCxnSpPr>
      <xdr:spPr>
        <a:xfrm flipV="1">
          <a:off x="1219200" y="273199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xdr:colOff>
      <xdr:row>5</xdr:row>
      <xdr:rowOff>4034</xdr:rowOff>
    </xdr:from>
    <xdr:to>
      <xdr:col>7</xdr:col>
      <xdr:colOff>21643</xdr:colOff>
      <xdr:row>5</xdr:row>
      <xdr:rowOff>7620</xdr:rowOff>
    </xdr:to>
    <xdr:cxnSp macro="">
      <xdr:nvCxnSpPr>
        <xdr:cNvPr id="53" name="Straight Connector 52">
          <a:extLst>
            <a:ext uri="{FF2B5EF4-FFF2-40B4-BE49-F238E27FC236}">
              <a16:creationId xmlns:a16="http://schemas.microsoft.com/office/drawing/2014/main" id="{3DB20406-3F9C-48CA-A148-53D30E60DEEE}"/>
            </a:ext>
          </a:extLst>
        </xdr:cNvPr>
        <xdr:cNvCxnSpPr/>
      </xdr:nvCxnSpPr>
      <xdr:spPr>
        <a:xfrm flipV="1">
          <a:off x="1234440" y="164995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7621</xdr:colOff>
      <xdr:row>10</xdr:row>
      <xdr:rowOff>114300</xdr:rowOff>
    </xdr:from>
    <xdr:to>
      <xdr:col>7</xdr:col>
      <xdr:colOff>89683</xdr:colOff>
      <xdr:row>11</xdr:row>
      <xdr:rowOff>55685</xdr:rowOff>
    </xdr:to>
    <xdr:sp macro="" textlink="">
      <xdr:nvSpPr>
        <xdr:cNvPr id="58" name="Isosceles Triangle 57">
          <a:extLst>
            <a:ext uri="{FF2B5EF4-FFF2-40B4-BE49-F238E27FC236}">
              <a16:creationId xmlns:a16="http://schemas.microsoft.com/office/drawing/2014/main" id="{19217608-D74A-45F2-8309-040C21F034F9}"/>
            </a:ext>
          </a:extLst>
        </xdr:cNvPr>
        <xdr:cNvSpPr/>
      </xdr:nvSpPr>
      <xdr:spPr>
        <a:xfrm rot="16200000">
          <a:off x="5472919" y="269572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548640</xdr:colOff>
      <xdr:row>10</xdr:row>
      <xdr:rowOff>121920</xdr:rowOff>
    </xdr:from>
    <xdr:to>
      <xdr:col>5</xdr:col>
      <xdr:colOff>68580</xdr:colOff>
      <xdr:row>11</xdr:row>
      <xdr:rowOff>68580</xdr:rowOff>
    </xdr:to>
    <xdr:sp macro="" textlink="">
      <xdr:nvSpPr>
        <xdr:cNvPr id="2" name="Flowchart: Connector 1">
          <a:extLst>
            <a:ext uri="{FF2B5EF4-FFF2-40B4-BE49-F238E27FC236}">
              <a16:creationId xmlns:a16="http://schemas.microsoft.com/office/drawing/2014/main" id="{1A8D3040-9EA9-43E9-91D5-58D34942F9CD}"/>
            </a:ext>
          </a:extLst>
        </xdr:cNvPr>
        <xdr:cNvSpPr/>
      </xdr:nvSpPr>
      <xdr:spPr>
        <a:xfrm>
          <a:off x="6035040" y="1767840"/>
          <a:ext cx="129540" cy="129540"/>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5</xdr:col>
      <xdr:colOff>5255</xdr:colOff>
      <xdr:row>8</xdr:row>
      <xdr:rowOff>3629</xdr:rowOff>
    </xdr:from>
    <xdr:to>
      <xdr:col>5</xdr:col>
      <xdr:colOff>7257</xdr:colOff>
      <xdr:row>14</xdr:row>
      <xdr:rowOff>2503</xdr:rowOff>
    </xdr:to>
    <xdr:cxnSp macro="">
      <xdr:nvCxnSpPr>
        <xdr:cNvPr id="4" name="Straight Connector 3">
          <a:extLst>
            <a:ext uri="{FF2B5EF4-FFF2-40B4-BE49-F238E27FC236}">
              <a16:creationId xmlns:a16="http://schemas.microsoft.com/office/drawing/2014/main" id="{EE3C4F4B-1266-48D5-A2E8-859EAE47D96C}"/>
            </a:ext>
          </a:extLst>
        </xdr:cNvPr>
        <xdr:cNvCxnSpPr/>
      </xdr:nvCxnSpPr>
      <xdr:spPr>
        <a:xfrm flipH="1">
          <a:off x="6101255" y="1283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11814</xdr:colOff>
      <xdr:row>8</xdr:row>
      <xdr:rowOff>0</xdr:rowOff>
    </xdr:from>
    <xdr:to>
      <xdr:col>7</xdr:col>
      <xdr:colOff>601980</xdr:colOff>
      <xdr:row>8</xdr:row>
      <xdr:rowOff>5907</xdr:rowOff>
    </xdr:to>
    <xdr:cxnSp macro="">
      <xdr:nvCxnSpPr>
        <xdr:cNvPr id="6" name="Straight Connector 5">
          <a:extLst>
            <a:ext uri="{FF2B5EF4-FFF2-40B4-BE49-F238E27FC236}">
              <a16:creationId xmlns:a16="http://schemas.microsoft.com/office/drawing/2014/main" id="{3F20CA6B-D006-4716-9953-02EA67D62C6A}"/>
            </a:ext>
          </a:extLst>
        </xdr:cNvPr>
        <xdr:cNvCxnSpPr/>
      </xdr:nvCxnSpPr>
      <xdr:spPr>
        <a:xfrm flipV="1">
          <a:off x="4279014" y="1828800"/>
          <a:ext cx="1809366" cy="590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5255</xdr:colOff>
      <xdr:row>13</xdr:row>
      <xdr:rowOff>178676</xdr:rowOff>
    </xdr:from>
    <xdr:to>
      <xdr:col>7</xdr:col>
      <xdr:colOff>5255</xdr:colOff>
      <xdr:row>13</xdr:row>
      <xdr:rowOff>178676</xdr:rowOff>
    </xdr:to>
    <xdr:cxnSp macro="">
      <xdr:nvCxnSpPr>
        <xdr:cNvPr id="7" name="Straight Connector 6">
          <a:extLst>
            <a:ext uri="{FF2B5EF4-FFF2-40B4-BE49-F238E27FC236}">
              <a16:creationId xmlns:a16="http://schemas.microsoft.com/office/drawing/2014/main" id="{A8DD82AC-CF02-44DE-8B77-EF206775FEFD}"/>
            </a:ext>
          </a:extLst>
        </xdr:cNvPr>
        <xdr:cNvCxnSpPr/>
      </xdr:nvCxnSpPr>
      <xdr:spPr>
        <a:xfrm>
          <a:off x="6101255" y="2373236"/>
          <a:ext cx="12192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68580</xdr:colOff>
      <xdr:row>11</xdr:row>
      <xdr:rowOff>4210</xdr:rowOff>
    </xdr:from>
    <xdr:to>
      <xdr:col>6</xdr:col>
      <xdr:colOff>602022</xdr:colOff>
      <xdr:row>11</xdr:row>
      <xdr:rowOff>4736</xdr:rowOff>
    </xdr:to>
    <xdr:cxnSp macro="">
      <xdr:nvCxnSpPr>
        <xdr:cNvPr id="8" name="Straight Connector 7">
          <a:extLst>
            <a:ext uri="{FF2B5EF4-FFF2-40B4-BE49-F238E27FC236}">
              <a16:creationId xmlns:a16="http://schemas.microsoft.com/office/drawing/2014/main" id="{60C93CE6-8085-4E04-A3E6-7748C06F65E3}"/>
            </a:ext>
          </a:extLst>
        </xdr:cNvPr>
        <xdr:cNvCxnSpPr>
          <a:stCxn id="2" idx="6"/>
        </xdr:cNvCxnSpPr>
      </xdr:nvCxnSpPr>
      <xdr:spPr>
        <a:xfrm flipV="1">
          <a:off x="6164580" y="183301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17983</xdr:colOff>
      <xdr:row>13</xdr:row>
      <xdr:rowOff>122703</xdr:rowOff>
    </xdr:from>
    <xdr:to>
      <xdr:col>7</xdr:col>
      <xdr:colOff>100045</xdr:colOff>
      <xdr:row>14</xdr:row>
      <xdr:rowOff>64088</xdr:rowOff>
    </xdr:to>
    <xdr:sp macro="" textlink="">
      <xdr:nvSpPr>
        <xdr:cNvPr id="13" name="Isosceles Triangle 12">
          <a:extLst>
            <a:ext uri="{FF2B5EF4-FFF2-40B4-BE49-F238E27FC236}">
              <a16:creationId xmlns:a16="http://schemas.microsoft.com/office/drawing/2014/main" id="{2B0C53B8-0678-4C67-830E-3B933390ABD7}"/>
            </a:ext>
          </a:extLst>
        </xdr:cNvPr>
        <xdr:cNvSpPr/>
      </xdr:nvSpPr>
      <xdr:spPr>
        <a:xfrm rot="16200000">
          <a:off x="5483281" y="2887005"/>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25603</xdr:colOff>
      <xdr:row>10</xdr:row>
      <xdr:rowOff>115083</xdr:rowOff>
    </xdr:from>
    <xdr:to>
      <xdr:col>7</xdr:col>
      <xdr:colOff>107665</xdr:colOff>
      <xdr:row>11</xdr:row>
      <xdr:rowOff>56468</xdr:rowOff>
    </xdr:to>
    <xdr:sp macro="" textlink="">
      <xdr:nvSpPr>
        <xdr:cNvPr id="15" name="Isosceles Triangle 14">
          <a:extLst>
            <a:ext uri="{FF2B5EF4-FFF2-40B4-BE49-F238E27FC236}">
              <a16:creationId xmlns:a16="http://schemas.microsoft.com/office/drawing/2014/main" id="{391CA79A-2389-4AC7-825D-CB9C35805A5D}"/>
            </a:ext>
          </a:extLst>
        </xdr:cNvPr>
        <xdr:cNvSpPr/>
      </xdr:nvSpPr>
      <xdr:spPr>
        <a:xfrm rot="16200000">
          <a:off x="5490901" y="2330745"/>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548640</xdr:colOff>
      <xdr:row>7</xdr:row>
      <xdr:rowOff>121920</xdr:rowOff>
    </xdr:from>
    <xdr:to>
      <xdr:col>8</xdr:col>
      <xdr:colOff>68580</xdr:colOff>
      <xdr:row>8</xdr:row>
      <xdr:rowOff>68580</xdr:rowOff>
    </xdr:to>
    <xdr:sp macro="" textlink="">
      <xdr:nvSpPr>
        <xdr:cNvPr id="17" name="Flowchart: Connector 16">
          <a:extLst>
            <a:ext uri="{FF2B5EF4-FFF2-40B4-BE49-F238E27FC236}">
              <a16:creationId xmlns:a16="http://schemas.microsoft.com/office/drawing/2014/main" id="{2165B893-58CE-4B0D-BC2B-B2CE842ECA11}"/>
            </a:ext>
          </a:extLst>
        </xdr:cNvPr>
        <xdr:cNvSpPr/>
      </xdr:nvSpPr>
      <xdr:spPr>
        <a:xfrm>
          <a:off x="6035040" y="1767840"/>
          <a:ext cx="129540" cy="129540"/>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5255</xdr:colOff>
      <xdr:row>5</xdr:row>
      <xdr:rowOff>3629</xdr:rowOff>
    </xdr:from>
    <xdr:to>
      <xdr:col>8</xdr:col>
      <xdr:colOff>7257</xdr:colOff>
      <xdr:row>11</xdr:row>
      <xdr:rowOff>2503</xdr:rowOff>
    </xdr:to>
    <xdr:cxnSp macro="">
      <xdr:nvCxnSpPr>
        <xdr:cNvPr id="18" name="Straight Connector 17">
          <a:extLst>
            <a:ext uri="{FF2B5EF4-FFF2-40B4-BE49-F238E27FC236}">
              <a16:creationId xmlns:a16="http://schemas.microsoft.com/office/drawing/2014/main" id="{6E2998C8-F3B5-40A1-97E9-4F0D71AA5B16}"/>
            </a:ext>
          </a:extLst>
        </xdr:cNvPr>
        <xdr:cNvCxnSpPr/>
      </xdr:nvCxnSpPr>
      <xdr:spPr>
        <a:xfrm flipH="1">
          <a:off x="6101255" y="1283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xdr:colOff>
      <xdr:row>8</xdr:row>
      <xdr:rowOff>4210</xdr:rowOff>
    </xdr:from>
    <xdr:to>
      <xdr:col>9</xdr:col>
      <xdr:colOff>602022</xdr:colOff>
      <xdr:row>8</xdr:row>
      <xdr:rowOff>4736</xdr:rowOff>
    </xdr:to>
    <xdr:cxnSp macro="">
      <xdr:nvCxnSpPr>
        <xdr:cNvPr id="19" name="Straight Connector 18">
          <a:extLst>
            <a:ext uri="{FF2B5EF4-FFF2-40B4-BE49-F238E27FC236}">
              <a16:creationId xmlns:a16="http://schemas.microsoft.com/office/drawing/2014/main" id="{EA946BEF-2AB3-4703-A3E0-A8D96A2C7176}"/>
            </a:ext>
          </a:extLst>
        </xdr:cNvPr>
        <xdr:cNvCxnSpPr/>
      </xdr:nvCxnSpPr>
      <xdr:spPr>
        <a:xfrm flipV="1">
          <a:off x="6164580" y="183301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10</xdr:row>
      <xdr:rowOff>179470</xdr:rowOff>
    </xdr:from>
    <xdr:to>
      <xdr:col>9</xdr:col>
      <xdr:colOff>533442</xdr:colOff>
      <xdr:row>10</xdr:row>
      <xdr:rowOff>179996</xdr:rowOff>
    </xdr:to>
    <xdr:cxnSp macro="">
      <xdr:nvCxnSpPr>
        <xdr:cNvPr id="20" name="Straight Connector 19">
          <a:extLst>
            <a:ext uri="{FF2B5EF4-FFF2-40B4-BE49-F238E27FC236}">
              <a16:creationId xmlns:a16="http://schemas.microsoft.com/office/drawing/2014/main" id="{1CA4D5A0-DEDA-4F48-AC32-C716E2E95434}"/>
            </a:ext>
          </a:extLst>
        </xdr:cNvPr>
        <xdr:cNvCxnSpPr/>
      </xdr:nvCxnSpPr>
      <xdr:spPr>
        <a:xfrm flipV="1">
          <a:off x="6096000" y="237403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7620</xdr:colOff>
      <xdr:row>4</xdr:row>
      <xdr:rowOff>179470</xdr:rowOff>
    </xdr:from>
    <xdr:to>
      <xdr:col>9</xdr:col>
      <xdr:colOff>541062</xdr:colOff>
      <xdr:row>4</xdr:row>
      <xdr:rowOff>179996</xdr:rowOff>
    </xdr:to>
    <xdr:cxnSp macro="">
      <xdr:nvCxnSpPr>
        <xdr:cNvPr id="21" name="Straight Connector 20">
          <a:extLst>
            <a:ext uri="{FF2B5EF4-FFF2-40B4-BE49-F238E27FC236}">
              <a16:creationId xmlns:a16="http://schemas.microsoft.com/office/drawing/2014/main" id="{06733432-CBB8-4E96-82DF-8CE05BA5234A}"/>
            </a:ext>
          </a:extLst>
        </xdr:cNvPr>
        <xdr:cNvCxnSpPr/>
      </xdr:nvCxnSpPr>
      <xdr:spPr>
        <a:xfrm flipV="1">
          <a:off x="6103620" y="127675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16</xdr:row>
      <xdr:rowOff>190499</xdr:rowOff>
    </xdr:from>
    <xdr:to>
      <xdr:col>2</xdr:col>
      <xdr:colOff>598714</xdr:colOff>
      <xdr:row>17</xdr:row>
      <xdr:rowOff>0</xdr:rowOff>
    </xdr:to>
    <xdr:cxnSp macro="">
      <xdr:nvCxnSpPr>
        <xdr:cNvPr id="45" name="Straight Connector 44">
          <a:extLst>
            <a:ext uri="{FF2B5EF4-FFF2-40B4-BE49-F238E27FC236}">
              <a16:creationId xmlns:a16="http://schemas.microsoft.com/office/drawing/2014/main" id="{A4535089-D3BA-46A6-8341-8F18360D0EBE}"/>
            </a:ext>
          </a:extLst>
        </xdr:cNvPr>
        <xdr:cNvCxnSpPr>
          <a:cxnSpLocks/>
        </xdr:cNvCxnSpPr>
      </xdr:nvCxnSpPr>
      <xdr:spPr>
        <a:xfrm flipV="1">
          <a:off x="4267200" y="2743199"/>
          <a:ext cx="1208314"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5255</xdr:colOff>
      <xdr:row>10</xdr:row>
      <xdr:rowOff>171269</xdr:rowOff>
    </xdr:from>
    <xdr:to>
      <xdr:col>1</xdr:col>
      <xdr:colOff>7257</xdr:colOff>
      <xdr:row>16</xdr:row>
      <xdr:rowOff>170143</xdr:rowOff>
    </xdr:to>
    <xdr:cxnSp macro="">
      <xdr:nvCxnSpPr>
        <xdr:cNvPr id="46" name="Straight Connector 45">
          <a:extLst>
            <a:ext uri="{FF2B5EF4-FFF2-40B4-BE49-F238E27FC236}">
              <a16:creationId xmlns:a16="http://schemas.microsoft.com/office/drawing/2014/main" id="{8822C240-2916-47F5-B462-96F03DEE748D}"/>
            </a:ext>
          </a:extLst>
        </xdr:cNvPr>
        <xdr:cNvCxnSpPr/>
      </xdr:nvCxnSpPr>
      <xdr:spPr>
        <a:xfrm flipH="1">
          <a:off x="4272455" y="163430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532086</xdr:colOff>
      <xdr:row>13</xdr:row>
      <xdr:rowOff>129541</xdr:rowOff>
    </xdr:from>
    <xdr:to>
      <xdr:col>1</xdr:col>
      <xdr:colOff>52026</xdr:colOff>
      <xdr:row>14</xdr:row>
      <xdr:rowOff>76200</xdr:rowOff>
    </xdr:to>
    <xdr:sp macro="" textlink="">
      <xdr:nvSpPr>
        <xdr:cNvPr id="47" name="Flowchart: Connector 46">
          <a:extLst>
            <a:ext uri="{FF2B5EF4-FFF2-40B4-BE49-F238E27FC236}">
              <a16:creationId xmlns:a16="http://schemas.microsoft.com/office/drawing/2014/main" id="{88E7EDA0-DFBC-4BBE-9019-C9AF103E3654}"/>
            </a:ext>
          </a:extLst>
        </xdr:cNvPr>
        <xdr:cNvSpPr/>
      </xdr:nvSpPr>
      <xdr:spPr>
        <a:xfrm>
          <a:off x="4189686" y="214122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0</xdr:colOff>
      <xdr:row>16</xdr:row>
      <xdr:rowOff>171674</xdr:rowOff>
    </xdr:from>
    <xdr:to>
      <xdr:col>3</xdr:col>
      <xdr:colOff>6403</xdr:colOff>
      <xdr:row>16</xdr:row>
      <xdr:rowOff>175260</xdr:rowOff>
    </xdr:to>
    <xdr:cxnSp macro="">
      <xdr:nvCxnSpPr>
        <xdr:cNvPr id="48" name="Straight Connector 47">
          <a:extLst>
            <a:ext uri="{FF2B5EF4-FFF2-40B4-BE49-F238E27FC236}">
              <a16:creationId xmlns:a16="http://schemas.microsoft.com/office/drawing/2014/main" id="{F46311F0-AE75-4D6C-A0C5-7F12CF0E003D}"/>
            </a:ext>
          </a:extLst>
        </xdr:cNvPr>
        <xdr:cNvCxnSpPr/>
      </xdr:nvCxnSpPr>
      <xdr:spPr>
        <a:xfrm flipV="1">
          <a:off x="4267200" y="273199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15240</xdr:colOff>
      <xdr:row>11</xdr:row>
      <xdr:rowOff>4034</xdr:rowOff>
    </xdr:from>
    <xdr:to>
      <xdr:col>3</xdr:col>
      <xdr:colOff>21643</xdr:colOff>
      <xdr:row>11</xdr:row>
      <xdr:rowOff>7620</xdr:rowOff>
    </xdr:to>
    <xdr:cxnSp macro="">
      <xdr:nvCxnSpPr>
        <xdr:cNvPr id="49" name="Straight Connector 48">
          <a:extLst>
            <a:ext uri="{FF2B5EF4-FFF2-40B4-BE49-F238E27FC236}">
              <a16:creationId xmlns:a16="http://schemas.microsoft.com/office/drawing/2014/main" id="{12DCAE20-AE22-45F1-8A17-F1C468C36E0B}"/>
            </a:ext>
          </a:extLst>
        </xdr:cNvPr>
        <xdr:cNvCxnSpPr/>
      </xdr:nvCxnSpPr>
      <xdr:spPr>
        <a:xfrm flipV="1">
          <a:off x="4282440" y="164995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7621</xdr:colOff>
      <xdr:row>16</xdr:row>
      <xdr:rowOff>114300</xdr:rowOff>
    </xdr:from>
    <xdr:to>
      <xdr:col>3</xdr:col>
      <xdr:colOff>89683</xdr:colOff>
      <xdr:row>17</xdr:row>
      <xdr:rowOff>55685</xdr:rowOff>
    </xdr:to>
    <xdr:sp macro="" textlink="">
      <xdr:nvSpPr>
        <xdr:cNvPr id="50" name="Isosceles Triangle 49">
          <a:extLst>
            <a:ext uri="{FF2B5EF4-FFF2-40B4-BE49-F238E27FC236}">
              <a16:creationId xmlns:a16="http://schemas.microsoft.com/office/drawing/2014/main" id="{30314809-D8C6-4376-A1DC-E636981BF712}"/>
            </a:ext>
          </a:extLst>
        </xdr:cNvPr>
        <xdr:cNvSpPr/>
      </xdr:nvSpPr>
      <xdr:spPr>
        <a:xfrm rot="16200000">
          <a:off x="5472919" y="269572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548640</xdr:colOff>
      <xdr:row>11</xdr:row>
      <xdr:rowOff>121920</xdr:rowOff>
    </xdr:from>
    <xdr:to>
      <xdr:col>1</xdr:col>
      <xdr:colOff>68580</xdr:colOff>
      <xdr:row>12</xdr:row>
      <xdr:rowOff>68580</xdr:rowOff>
    </xdr:to>
    <xdr:sp macro="" textlink="">
      <xdr:nvSpPr>
        <xdr:cNvPr id="2" name="Flowchart: Connector 1">
          <a:extLst>
            <a:ext uri="{FF2B5EF4-FFF2-40B4-BE49-F238E27FC236}">
              <a16:creationId xmlns:a16="http://schemas.microsoft.com/office/drawing/2014/main" id="{3E90E21E-6F31-4B5A-BF9B-6E4A19C922A9}"/>
            </a:ext>
          </a:extLst>
        </xdr:cNvPr>
        <xdr:cNvSpPr/>
      </xdr:nvSpPr>
      <xdr:spPr>
        <a:xfrm>
          <a:off x="6035040" y="1767840"/>
          <a:ext cx="129540" cy="129540"/>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5255</xdr:colOff>
      <xdr:row>9</xdr:row>
      <xdr:rowOff>3629</xdr:rowOff>
    </xdr:from>
    <xdr:to>
      <xdr:col>1</xdr:col>
      <xdr:colOff>7257</xdr:colOff>
      <xdr:row>15</xdr:row>
      <xdr:rowOff>2503</xdr:rowOff>
    </xdr:to>
    <xdr:cxnSp macro="">
      <xdr:nvCxnSpPr>
        <xdr:cNvPr id="3" name="Straight Connector 2">
          <a:extLst>
            <a:ext uri="{FF2B5EF4-FFF2-40B4-BE49-F238E27FC236}">
              <a16:creationId xmlns:a16="http://schemas.microsoft.com/office/drawing/2014/main" id="{C7B69F1A-656C-494A-B065-3503DB3ED74B}"/>
            </a:ext>
          </a:extLst>
        </xdr:cNvPr>
        <xdr:cNvCxnSpPr/>
      </xdr:nvCxnSpPr>
      <xdr:spPr>
        <a:xfrm flipH="1">
          <a:off x="6101255" y="1283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68580</xdr:colOff>
      <xdr:row>12</xdr:row>
      <xdr:rowOff>4210</xdr:rowOff>
    </xdr:from>
    <xdr:to>
      <xdr:col>2</xdr:col>
      <xdr:colOff>602022</xdr:colOff>
      <xdr:row>12</xdr:row>
      <xdr:rowOff>4736</xdr:rowOff>
    </xdr:to>
    <xdr:cxnSp macro="">
      <xdr:nvCxnSpPr>
        <xdr:cNvPr id="4" name="Straight Connector 3">
          <a:extLst>
            <a:ext uri="{FF2B5EF4-FFF2-40B4-BE49-F238E27FC236}">
              <a16:creationId xmlns:a16="http://schemas.microsoft.com/office/drawing/2014/main" id="{91EAA1E8-9354-465E-A80B-6155C9472E41}"/>
            </a:ext>
          </a:extLst>
        </xdr:cNvPr>
        <xdr:cNvCxnSpPr/>
      </xdr:nvCxnSpPr>
      <xdr:spPr>
        <a:xfrm flipV="1">
          <a:off x="6164580" y="183301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14</xdr:row>
      <xdr:rowOff>179470</xdr:rowOff>
    </xdr:from>
    <xdr:to>
      <xdr:col>2</xdr:col>
      <xdr:colOff>533442</xdr:colOff>
      <xdr:row>14</xdr:row>
      <xdr:rowOff>179996</xdr:rowOff>
    </xdr:to>
    <xdr:cxnSp macro="">
      <xdr:nvCxnSpPr>
        <xdr:cNvPr id="5" name="Straight Connector 4">
          <a:extLst>
            <a:ext uri="{FF2B5EF4-FFF2-40B4-BE49-F238E27FC236}">
              <a16:creationId xmlns:a16="http://schemas.microsoft.com/office/drawing/2014/main" id="{88C99E9D-F334-4075-90DA-64CA361F1557}"/>
            </a:ext>
          </a:extLst>
        </xdr:cNvPr>
        <xdr:cNvCxnSpPr/>
      </xdr:nvCxnSpPr>
      <xdr:spPr>
        <a:xfrm flipV="1">
          <a:off x="6096000" y="237403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xdr:colOff>
      <xdr:row>8</xdr:row>
      <xdr:rowOff>179470</xdr:rowOff>
    </xdr:from>
    <xdr:to>
      <xdr:col>2</xdr:col>
      <xdr:colOff>541062</xdr:colOff>
      <xdr:row>8</xdr:row>
      <xdr:rowOff>179996</xdr:rowOff>
    </xdr:to>
    <xdr:cxnSp macro="">
      <xdr:nvCxnSpPr>
        <xdr:cNvPr id="6" name="Straight Connector 5">
          <a:extLst>
            <a:ext uri="{FF2B5EF4-FFF2-40B4-BE49-F238E27FC236}">
              <a16:creationId xmlns:a16="http://schemas.microsoft.com/office/drawing/2014/main" id="{9354E3E1-5C0F-48A3-AA0C-6F4E85DA8A10}"/>
            </a:ext>
          </a:extLst>
        </xdr:cNvPr>
        <xdr:cNvCxnSpPr/>
      </xdr:nvCxnSpPr>
      <xdr:spPr>
        <a:xfrm flipV="1">
          <a:off x="6103620" y="1276750"/>
          <a:ext cx="1143042" cy="52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601980</xdr:colOff>
      <xdr:row>7</xdr:row>
      <xdr:rowOff>152400</xdr:rowOff>
    </xdr:from>
    <xdr:to>
      <xdr:col>5</xdr:col>
      <xdr:colOff>7622</xdr:colOff>
      <xdr:row>26</xdr:row>
      <xdr:rowOff>30480</xdr:rowOff>
    </xdr:to>
    <xdr:cxnSp macro="">
      <xdr:nvCxnSpPr>
        <xdr:cNvPr id="12" name="Straight Connector 11">
          <a:extLst>
            <a:ext uri="{FF2B5EF4-FFF2-40B4-BE49-F238E27FC236}">
              <a16:creationId xmlns:a16="http://schemas.microsoft.com/office/drawing/2014/main" id="{EC45CDA1-0008-44D2-9685-BDDEFA9813FD}"/>
            </a:ext>
          </a:extLst>
        </xdr:cNvPr>
        <xdr:cNvCxnSpPr/>
      </xdr:nvCxnSpPr>
      <xdr:spPr>
        <a:xfrm flipH="1">
          <a:off x="4259580" y="1432560"/>
          <a:ext cx="15242" cy="33528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554946</xdr:colOff>
      <xdr:row>15</xdr:row>
      <xdr:rowOff>30481</xdr:rowOff>
    </xdr:from>
    <xdr:to>
      <xdr:col>5</xdr:col>
      <xdr:colOff>74886</xdr:colOff>
      <xdr:row>15</xdr:row>
      <xdr:rowOff>160020</xdr:rowOff>
    </xdr:to>
    <xdr:sp macro="" textlink="">
      <xdr:nvSpPr>
        <xdr:cNvPr id="13" name="Flowchart: Connector 12">
          <a:extLst>
            <a:ext uri="{FF2B5EF4-FFF2-40B4-BE49-F238E27FC236}">
              <a16:creationId xmlns:a16="http://schemas.microsoft.com/office/drawing/2014/main" id="{AAF1DE38-EAFF-4C2F-A597-D2B5E483AAEE}"/>
            </a:ext>
          </a:extLst>
        </xdr:cNvPr>
        <xdr:cNvSpPr/>
      </xdr:nvSpPr>
      <xdr:spPr>
        <a:xfrm>
          <a:off x="2993346" y="277368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5</xdr:col>
      <xdr:colOff>0</xdr:colOff>
      <xdr:row>13</xdr:row>
      <xdr:rowOff>171674</xdr:rowOff>
    </xdr:from>
    <xdr:to>
      <xdr:col>7</xdr:col>
      <xdr:colOff>6403</xdr:colOff>
      <xdr:row>13</xdr:row>
      <xdr:rowOff>175260</xdr:rowOff>
    </xdr:to>
    <xdr:cxnSp macro="">
      <xdr:nvCxnSpPr>
        <xdr:cNvPr id="15" name="Straight Connector 14">
          <a:extLst>
            <a:ext uri="{FF2B5EF4-FFF2-40B4-BE49-F238E27FC236}">
              <a16:creationId xmlns:a16="http://schemas.microsoft.com/office/drawing/2014/main" id="{3AE1D42E-60CD-4EAD-89A0-1DD81569E773}"/>
            </a:ext>
          </a:extLst>
        </xdr:cNvPr>
        <xdr:cNvCxnSpPr/>
      </xdr:nvCxnSpPr>
      <xdr:spPr>
        <a:xfrm flipV="1">
          <a:off x="7924800" y="16347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xdr:colOff>
      <xdr:row>8</xdr:row>
      <xdr:rowOff>4034</xdr:rowOff>
    </xdr:from>
    <xdr:to>
      <xdr:col>7</xdr:col>
      <xdr:colOff>21643</xdr:colOff>
      <xdr:row>8</xdr:row>
      <xdr:rowOff>7620</xdr:rowOff>
    </xdr:to>
    <xdr:cxnSp macro="">
      <xdr:nvCxnSpPr>
        <xdr:cNvPr id="16" name="Straight Connector 15">
          <a:extLst>
            <a:ext uri="{FF2B5EF4-FFF2-40B4-BE49-F238E27FC236}">
              <a16:creationId xmlns:a16="http://schemas.microsoft.com/office/drawing/2014/main" id="{A7E7FB82-8493-468E-B859-7B22650FE125}"/>
            </a:ext>
          </a:extLst>
        </xdr:cNvPr>
        <xdr:cNvCxnSpPr/>
      </xdr:nvCxnSpPr>
      <xdr:spPr>
        <a:xfrm flipV="1">
          <a:off x="7940040" y="5526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5255</xdr:colOff>
      <xdr:row>4</xdr:row>
      <xdr:rowOff>171269</xdr:rowOff>
    </xdr:from>
    <xdr:to>
      <xdr:col>7</xdr:col>
      <xdr:colOff>7257</xdr:colOff>
      <xdr:row>10</xdr:row>
      <xdr:rowOff>170143</xdr:rowOff>
    </xdr:to>
    <xdr:cxnSp macro="">
      <xdr:nvCxnSpPr>
        <xdr:cNvPr id="21" name="Straight Connector 20">
          <a:extLst>
            <a:ext uri="{FF2B5EF4-FFF2-40B4-BE49-F238E27FC236}">
              <a16:creationId xmlns:a16="http://schemas.microsoft.com/office/drawing/2014/main" id="{756ADB47-22BF-48AE-9346-9B36DDA48CAC}"/>
            </a:ext>
          </a:extLst>
        </xdr:cNvPr>
        <xdr:cNvCxnSpPr/>
      </xdr:nvCxnSpPr>
      <xdr:spPr>
        <a:xfrm flipH="1">
          <a:off x="4272455" y="145142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554946</xdr:colOff>
      <xdr:row>7</xdr:row>
      <xdr:rowOff>121921</xdr:rowOff>
    </xdr:from>
    <xdr:to>
      <xdr:col>7</xdr:col>
      <xdr:colOff>74886</xdr:colOff>
      <xdr:row>8</xdr:row>
      <xdr:rowOff>68580</xdr:rowOff>
    </xdr:to>
    <xdr:sp macro="" textlink="">
      <xdr:nvSpPr>
        <xdr:cNvPr id="22" name="Flowchart: Connector 21">
          <a:extLst>
            <a:ext uri="{FF2B5EF4-FFF2-40B4-BE49-F238E27FC236}">
              <a16:creationId xmlns:a16="http://schemas.microsoft.com/office/drawing/2014/main" id="{940CFCAA-D0D0-45C5-AEB1-E4EFFA2B8AEA}"/>
            </a:ext>
          </a:extLst>
        </xdr:cNvPr>
        <xdr:cNvSpPr/>
      </xdr:nvSpPr>
      <xdr:spPr>
        <a:xfrm>
          <a:off x="4212546" y="195072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0</xdr:colOff>
      <xdr:row>10</xdr:row>
      <xdr:rowOff>171674</xdr:rowOff>
    </xdr:from>
    <xdr:to>
      <xdr:col>9</xdr:col>
      <xdr:colOff>6403</xdr:colOff>
      <xdr:row>10</xdr:row>
      <xdr:rowOff>175260</xdr:rowOff>
    </xdr:to>
    <xdr:cxnSp macro="">
      <xdr:nvCxnSpPr>
        <xdr:cNvPr id="23" name="Straight Connector 22">
          <a:extLst>
            <a:ext uri="{FF2B5EF4-FFF2-40B4-BE49-F238E27FC236}">
              <a16:creationId xmlns:a16="http://schemas.microsoft.com/office/drawing/2014/main" id="{1EBB3C8F-3E42-43F3-BC6C-0468495BD691}"/>
            </a:ext>
          </a:extLst>
        </xdr:cNvPr>
        <xdr:cNvCxnSpPr/>
      </xdr:nvCxnSpPr>
      <xdr:spPr>
        <a:xfrm flipV="1">
          <a:off x="4267200" y="254911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601980</xdr:colOff>
      <xdr:row>5</xdr:row>
      <xdr:rowOff>4034</xdr:rowOff>
    </xdr:from>
    <xdr:to>
      <xdr:col>8</xdr:col>
      <xdr:colOff>608383</xdr:colOff>
      <xdr:row>5</xdr:row>
      <xdr:rowOff>7620</xdr:rowOff>
    </xdr:to>
    <xdr:cxnSp macro="">
      <xdr:nvCxnSpPr>
        <xdr:cNvPr id="24" name="Straight Connector 23">
          <a:extLst>
            <a:ext uri="{FF2B5EF4-FFF2-40B4-BE49-F238E27FC236}">
              <a16:creationId xmlns:a16="http://schemas.microsoft.com/office/drawing/2014/main" id="{08479986-AFE9-4CA0-B4D8-1F70F76469F3}"/>
            </a:ext>
          </a:extLst>
        </xdr:cNvPr>
        <xdr:cNvCxnSpPr/>
      </xdr:nvCxnSpPr>
      <xdr:spPr>
        <a:xfrm flipV="1">
          <a:off x="5478780" y="9184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22861</xdr:colOff>
      <xdr:row>4</xdr:row>
      <xdr:rowOff>144780</xdr:rowOff>
    </xdr:from>
    <xdr:to>
      <xdr:col>9</xdr:col>
      <xdr:colOff>104923</xdr:colOff>
      <xdr:row>5</xdr:row>
      <xdr:rowOff>86165</xdr:rowOff>
    </xdr:to>
    <xdr:sp macro="" textlink="">
      <xdr:nvSpPr>
        <xdr:cNvPr id="25" name="Isosceles Triangle 24">
          <a:extLst>
            <a:ext uri="{FF2B5EF4-FFF2-40B4-BE49-F238E27FC236}">
              <a16:creationId xmlns:a16="http://schemas.microsoft.com/office/drawing/2014/main" id="{6CEE4824-1E9D-4A08-9D0A-58206D7358EE}"/>
            </a:ext>
          </a:extLst>
        </xdr:cNvPr>
        <xdr:cNvSpPr/>
      </xdr:nvSpPr>
      <xdr:spPr>
        <a:xfrm rot="16200000">
          <a:off x="6707359" y="89740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22861</xdr:colOff>
      <xdr:row>10</xdr:row>
      <xdr:rowOff>99060</xdr:rowOff>
    </xdr:from>
    <xdr:to>
      <xdr:col>9</xdr:col>
      <xdr:colOff>104923</xdr:colOff>
      <xdr:row>11</xdr:row>
      <xdr:rowOff>40445</xdr:rowOff>
    </xdr:to>
    <xdr:sp macro="" textlink="">
      <xdr:nvSpPr>
        <xdr:cNvPr id="26" name="Isosceles Triangle 25">
          <a:extLst>
            <a:ext uri="{FF2B5EF4-FFF2-40B4-BE49-F238E27FC236}">
              <a16:creationId xmlns:a16="http://schemas.microsoft.com/office/drawing/2014/main" id="{86C6606F-D88B-4DBF-85FE-111A83C13B88}"/>
            </a:ext>
          </a:extLst>
        </xdr:cNvPr>
        <xdr:cNvSpPr/>
      </xdr:nvSpPr>
      <xdr:spPr>
        <a:xfrm rot="16200000">
          <a:off x="6707359" y="194896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22860</xdr:colOff>
      <xdr:row>13</xdr:row>
      <xdr:rowOff>114300</xdr:rowOff>
    </xdr:from>
    <xdr:to>
      <xdr:col>7</xdr:col>
      <xdr:colOff>104922</xdr:colOff>
      <xdr:row>14</xdr:row>
      <xdr:rowOff>55685</xdr:rowOff>
    </xdr:to>
    <xdr:sp macro="" textlink="">
      <xdr:nvSpPr>
        <xdr:cNvPr id="27" name="Isosceles Triangle 26">
          <a:extLst>
            <a:ext uri="{FF2B5EF4-FFF2-40B4-BE49-F238E27FC236}">
              <a16:creationId xmlns:a16="http://schemas.microsoft.com/office/drawing/2014/main" id="{08F4DEF7-4E59-4287-80F2-6FBA63F8BC21}"/>
            </a:ext>
          </a:extLst>
        </xdr:cNvPr>
        <xdr:cNvSpPr/>
      </xdr:nvSpPr>
      <xdr:spPr>
        <a:xfrm rot="16200000">
          <a:off x="5488158" y="251284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601980</xdr:colOff>
      <xdr:row>19</xdr:row>
      <xdr:rowOff>4210</xdr:rowOff>
    </xdr:from>
    <xdr:to>
      <xdr:col>6</xdr:col>
      <xdr:colOff>579162</xdr:colOff>
      <xdr:row>19</xdr:row>
      <xdr:rowOff>7620</xdr:rowOff>
    </xdr:to>
    <xdr:cxnSp macro="">
      <xdr:nvCxnSpPr>
        <xdr:cNvPr id="32" name="Straight Connector 31">
          <a:extLst>
            <a:ext uri="{FF2B5EF4-FFF2-40B4-BE49-F238E27FC236}">
              <a16:creationId xmlns:a16="http://schemas.microsoft.com/office/drawing/2014/main" id="{645A88E1-E445-4D7A-A4B7-24A3F55F37C9}"/>
            </a:ext>
          </a:extLst>
        </xdr:cNvPr>
        <xdr:cNvCxnSpPr/>
      </xdr:nvCxnSpPr>
      <xdr:spPr>
        <a:xfrm flipV="1">
          <a:off x="4259580" y="3478930"/>
          <a:ext cx="1196382" cy="341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5255</xdr:colOff>
      <xdr:row>15</xdr:row>
      <xdr:rowOff>171269</xdr:rowOff>
    </xdr:from>
    <xdr:to>
      <xdr:col>7</xdr:col>
      <xdr:colOff>7257</xdr:colOff>
      <xdr:row>21</xdr:row>
      <xdr:rowOff>170143</xdr:rowOff>
    </xdr:to>
    <xdr:cxnSp macro="">
      <xdr:nvCxnSpPr>
        <xdr:cNvPr id="33" name="Straight Connector 32">
          <a:extLst>
            <a:ext uri="{FF2B5EF4-FFF2-40B4-BE49-F238E27FC236}">
              <a16:creationId xmlns:a16="http://schemas.microsoft.com/office/drawing/2014/main" id="{3C2A5DA6-C03B-45C7-90DF-B5B9B2760510}"/>
            </a:ext>
          </a:extLst>
        </xdr:cNvPr>
        <xdr:cNvCxnSpPr/>
      </xdr:nvCxnSpPr>
      <xdr:spPr>
        <a:xfrm flipH="1">
          <a:off x="5491655" y="902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554946</xdr:colOff>
      <xdr:row>18</xdr:row>
      <xdr:rowOff>121921</xdr:rowOff>
    </xdr:from>
    <xdr:to>
      <xdr:col>7</xdr:col>
      <xdr:colOff>74886</xdr:colOff>
      <xdr:row>19</xdr:row>
      <xdr:rowOff>68580</xdr:rowOff>
    </xdr:to>
    <xdr:sp macro="" textlink="">
      <xdr:nvSpPr>
        <xdr:cNvPr id="34" name="Flowchart: Connector 33">
          <a:extLst>
            <a:ext uri="{FF2B5EF4-FFF2-40B4-BE49-F238E27FC236}">
              <a16:creationId xmlns:a16="http://schemas.microsoft.com/office/drawing/2014/main" id="{D81F93D3-FB46-4830-BBD7-677F1BF64503}"/>
            </a:ext>
          </a:extLst>
        </xdr:cNvPr>
        <xdr:cNvSpPr/>
      </xdr:nvSpPr>
      <xdr:spPr>
        <a:xfrm>
          <a:off x="5431746" y="140208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0</xdr:colOff>
      <xdr:row>21</xdr:row>
      <xdr:rowOff>171674</xdr:rowOff>
    </xdr:from>
    <xdr:to>
      <xdr:col>9</xdr:col>
      <xdr:colOff>6403</xdr:colOff>
      <xdr:row>21</xdr:row>
      <xdr:rowOff>175260</xdr:rowOff>
    </xdr:to>
    <xdr:cxnSp macro="">
      <xdr:nvCxnSpPr>
        <xdr:cNvPr id="35" name="Straight Connector 34">
          <a:extLst>
            <a:ext uri="{FF2B5EF4-FFF2-40B4-BE49-F238E27FC236}">
              <a16:creationId xmlns:a16="http://schemas.microsoft.com/office/drawing/2014/main" id="{B3F32150-F955-4281-AE28-BC2CA9FAFE29}"/>
            </a:ext>
          </a:extLst>
        </xdr:cNvPr>
        <xdr:cNvCxnSpPr/>
      </xdr:nvCxnSpPr>
      <xdr:spPr>
        <a:xfrm flipV="1">
          <a:off x="5486400" y="20004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601980</xdr:colOff>
      <xdr:row>16</xdr:row>
      <xdr:rowOff>4034</xdr:rowOff>
    </xdr:from>
    <xdr:to>
      <xdr:col>8</xdr:col>
      <xdr:colOff>608383</xdr:colOff>
      <xdr:row>16</xdr:row>
      <xdr:rowOff>7620</xdr:rowOff>
    </xdr:to>
    <xdr:cxnSp macro="">
      <xdr:nvCxnSpPr>
        <xdr:cNvPr id="36" name="Straight Connector 35">
          <a:extLst>
            <a:ext uri="{FF2B5EF4-FFF2-40B4-BE49-F238E27FC236}">
              <a16:creationId xmlns:a16="http://schemas.microsoft.com/office/drawing/2014/main" id="{3A757837-12AF-4534-B216-11F6802E55DE}"/>
            </a:ext>
          </a:extLst>
        </xdr:cNvPr>
        <xdr:cNvCxnSpPr/>
      </xdr:nvCxnSpPr>
      <xdr:spPr>
        <a:xfrm flipV="1">
          <a:off x="5478780" y="9184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22861</xdr:colOff>
      <xdr:row>15</xdr:row>
      <xdr:rowOff>144780</xdr:rowOff>
    </xdr:from>
    <xdr:to>
      <xdr:col>9</xdr:col>
      <xdr:colOff>104923</xdr:colOff>
      <xdr:row>16</xdr:row>
      <xdr:rowOff>86165</xdr:rowOff>
    </xdr:to>
    <xdr:sp macro="" textlink="">
      <xdr:nvSpPr>
        <xdr:cNvPr id="37" name="Isosceles Triangle 36">
          <a:extLst>
            <a:ext uri="{FF2B5EF4-FFF2-40B4-BE49-F238E27FC236}">
              <a16:creationId xmlns:a16="http://schemas.microsoft.com/office/drawing/2014/main" id="{6741871B-AA0A-47C0-809F-7EE70AFBC160}"/>
            </a:ext>
          </a:extLst>
        </xdr:cNvPr>
        <xdr:cNvSpPr/>
      </xdr:nvSpPr>
      <xdr:spPr>
        <a:xfrm rot="16200000">
          <a:off x="6707359" y="89740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22861</xdr:colOff>
      <xdr:row>21</xdr:row>
      <xdr:rowOff>99060</xdr:rowOff>
    </xdr:from>
    <xdr:to>
      <xdr:col>9</xdr:col>
      <xdr:colOff>104923</xdr:colOff>
      <xdr:row>22</xdr:row>
      <xdr:rowOff>40445</xdr:rowOff>
    </xdr:to>
    <xdr:sp macro="" textlink="">
      <xdr:nvSpPr>
        <xdr:cNvPr id="38" name="Isosceles Triangle 37">
          <a:extLst>
            <a:ext uri="{FF2B5EF4-FFF2-40B4-BE49-F238E27FC236}">
              <a16:creationId xmlns:a16="http://schemas.microsoft.com/office/drawing/2014/main" id="{5B75DB66-85B0-4B72-A438-3C1A1BB99B04}"/>
            </a:ext>
          </a:extLst>
        </xdr:cNvPr>
        <xdr:cNvSpPr/>
      </xdr:nvSpPr>
      <xdr:spPr>
        <a:xfrm rot="16200000">
          <a:off x="6707359" y="194896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5255</xdr:colOff>
      <xdr:row>22</xdr:row>
      <xdr:rowOff>171269</xdr:rowOff>
    </xdr:from>
    <xdr:to>
      <xdr:col>7</xdr:col>
      <xdr:colOff>7257</xdr:colOff>
      <xdr:row>28</xdr:row>
      <xdr:rowOff>170143</xdr:rowOff>
    </xdr:to>
    <xdr:cxnSp macro="">
      <xdr:nvCxnSpPr>
        <xdr:cNvPr id="39" name="Straight Connector 38">
          <a:extLst>
            <a:ext uri="{FF2B5EF4-FFF2-40B4-BE49-F238E27FC236}">
              <a16:creationId xmlns:a16="http://schemas.microsoft.com/office/drawing/2014/main" id="{82BFA664-4817-4570-9B41-7DA70D411EF1}"/>
            </a:ext>
          </a:extLst>
        </xdr:cNvPr>
        <xdr:cNvCxnSpPr/>
      </xdr:nvCxnSpPr>
      <xdr:spPr>
        <a:xfrm flipH="1">
          <a:off x="5491655" y="902789"/>
          <a:ext cx="2002" cy="10961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554946</xdr:colOff>
      <xdr:row>25</xdr:row>
      <xdr:rowOff>121921</xdr:rowOff>
    </xdr:from>
    <xdr:to>
      <xdr:col>7</xdr:col>
      <xdr:colOff>74886</xdr:colOff>
      <xdr:row>26</xdr:row>
      <xdr:rowOff>68580</xdr:rowOff>
    </xdr:to>
    <xdr:sp macro="" textlink="">
      <xdr:nvSpPr>
        <xdr:cNvPr id="40" name="Flowchart: Connector 39">
          <a:extLst>
            <a:ext uri="{FF2B5EF4-FFF2-40B4-BE49-F238E27FC236}">
              <a16:creationId xmlns:a16="http://schemas.microsoft.com/office/drawing/2014/main" id="{5EE32C8F-3CD9-4927-BC09-E285E2CB64F9}"/>
            </a:ext>
          </a:extLst>
        </xdr:cNvPr>
        <xdr:cNvSpPr/>
      </xdr:nvSpPr>
      <xdr:spPr>
        <a:xfrm>
          <a:off x="5431746" y="1402081"/>
          <a:ext cx="129540" cy="129539"/>
        </a:xfrm>
        <a:prstGeom prst="flowChartConnector">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0</xdr:colOff>
      <xdr:row>28</xdr:row>
      <xdr:rowOff>171674</xdr:rowOff>
    </xdr:from>
    <xdr:to>
      <xdr:col>9</xdr:col>
      <xdr:colOff>6403</xdr:colOff>
      <xdr:row>28</xdr:row>
      <xdr:rowOff>175260</xdr:rowOff>
    </xdr:to>
    <xdr:cxnSp macro="">
      <xdr:nvCxnSpPr>
        <xdr:cNvPr id="41" name="Straight Connector 40">
          <a:extLst>
            <a:ext uri="{FF2B5EF4-FFF2-40B4-BE49-F238E27FC236}">
              <a16:creationId xmlns:a16="http://schemas.microsoft.com/office/drawing/2014/main" id="{2214F070-76B5-4900-A10E-943941336F47}"/>
            </a:ext>
          </a:extLst>
        </xdr:cNvPr>
        <xdr:cNvCxnSpPr/>
      </xdr:nvCxnSpPr>
      <xdr:spPr>
        <a:xfrm flipV="1">
          <a:off x="5486400" y="200047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601980</xdr:colOff>
      <xdr:row>23</xdr:row>
      <xdr:rowOff>4034</xdr:rowOff>
    </xdr:from>
    <xdr:to>
      <xdr:col>8</xdr:col>
      <xdr:colOff>608383</xdr:colOff>
      <xdr:row>23</xdr:row>
      <xdr:rowOff>7620</xdr:rowOff>
    </xdr:to>
    <xdr:cxnSp macro="">
      <xdr:nvCxnSpPr>
        <xdr:cNvPr id="42" name="Straight Connector 41">
          <a:extLst>
            <a:ext uri="{FF2B5EF4-FFF2-40B4-BE49-F238E27FC236}">
              <a16:creationId xmlns:a16="http://schemas.microsoft.com/office/drawing/2014/main" id="{2167D4CD-8AEA-4F1A-BD84-520294F7852F}"/>
            </a:ext>
          </a:extLst>
        </xdr:cNvPr>
        <xdr:cNvCxnSpPr/>
      </xdr:nvCxnSpPr>
      <xdr:spPr>
        <a:xfrm flipV="1">
          <a:off x="5478780" y="918434"/>
          <a:ext cx="1225603" cy="358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22861</xdr:colOff>
      <xdr:row>22</xdr:row>
      <xdr:rowOff>144780</xdr:rowOff>
    </xdr:from>
    <xdr:to>
      <xdr:col>9</xdr:col>
      <xdr:colOff>104923</xdr:colOff>
      <xdr:row>23</xdr:row>
      <xdr:rowOff>86165</xdr:rowOff>
    </xdr:to>
    <xdr:sp macro="" textlink="">
      <xdr:nvSpPr>
        <xdr:cNvPr id="43" name="Isosceles Triangle 42">
          <a:extLst>
            <a:ext uri="{FF2B5EF4-FFF2-40B4-BE49-F238E27FC236}">
              <a16:creationId xmlns:a16="http://schemas.microsoft.com/office/drawing/2014/main" id="{FF9C3B1B-78F4-46CA-9F5D-1A403050F19F}"/>
            </a:ext>
          </a:extLst>
        </xdr:cNvPr>
        <xdr:cNvSpPr/>
      </xdr:nvSpPr>
      <xdr:spPr>
        <a:xfrm rot="16200000">
          <a:off x="6707359" y="89740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22861</xdr:colOff>
      <xdr:row>28</xdr:row>
      <xdr:rowOff>99060</xdr:rowOff>
    </xdr:from>
    <xdr:to>
      <xdr:col>9</xdr:col>
      <xdr:colOff>104923</xdr:colOff>
      <xdr:row>29</xdr:row>
      <xdr:rowOff>40445</xdr:rowOff>
    </xdr:to>
    <xdr:sp macro="" textlink="">
      <xdr:nvSpPr>
        <xdr:cNvPr id="44" name="Isosceles Triangle 43">
          <a:extLst>
            <a:ext uri="{FF2B5EF4-FFF2-40B4-BE49-F238E27FC236}">
              <a16:creationId xmlns:a16="http://schemas.microsoft.com/office/drawing/2014/main" id="{7D84F1A2-54AE-4579-A7CF-94851C73DD1D}"/>
            </a:ext>
          </a:extLst>
        </xdr:cNvPr>
        <xdr:cNvSpPr/>
      </xdr:nvSpPr>
      <xdr:spPr>
        <a:xfrm rot="16200000">
          <a:off x="6707359" y="1948962"/>
          <a:ext cx="124265" cy="82062"/>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4</xdr:col>
      <xdr:colOff>601980</xdr:colOff>
      <xdr:row>25</xdr:row>
      <xdr:rowOff>179470</xdr:rowOff>
    </xdr:from>
    <xdr:to>
      <xdr:col>6</xdr:col>
      <xdr:colOff>579162</xdr:colOff>
      <xdr:row>26</xdr:row>
      <xdr:rowOff>0</xdr:rowOff>
    </xdr:to>
    <xdr:cxnSp macro="">
      <xdr:nvCxnSpPr>
        <xdr:cNvPr id="45" name="Straight Connector 44">
          <a:extLst>
            <a:ext uri="{FF2B5EF4-FFF2-40B4-BE49-F238E27FC236}">
              <a16:creationId xmlns:a16="http://schemas.microsoft.com/office/drawing/2014/main" id="{0C57434E-E243-4395-91A6-50B4B3CE4209}"/>
            </a:ext>
          </a:extLst>
        </xdr:cNvPr>
        <xdr:cNvCxnSpPr/>
      </xdr:nvCxnSpPr>
      <xdr:spPr>
        <a:xfrm flipV="1">
          <a:off x="4259580" y="4751470"/>
          <a:ext cx="1196382" cy="341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264885</xdr:colOff>
      <xdr:row>65</xdr:row>
      <xdr:rowOff>72571</xdr:rowOff>
    </xdr:from>
    <xdr:to>
      <xdr:col>2</xdr:col>
      <xdr:colOff>286656</xdr:colOff>
      <xdr:row>66</xdr:row>
      <xdr:rowOff>76200</xdr:rowOff>
    </xdr:to>
    <xdr:sp macro="" textlink="">
      <xdr:nvSpPr>
        <xdr:cNvPr id="2" name="Rectangle 1">
          <a:extLst>
            <a:ext uri="{FF2B5EF4-FFF2-40B4-BE49-F238E27FC236}">
              <a16:creationId xmlns:a16="http://schemas.microsoft.com/office/drawing/2014/main" id="{751C0949-80C7-428F-89E1-D8332BE87406}"/>
            </a:ext>
          </a:extLst>
        </xdr:cNvPr>
        <xdr:cNvSpPr/>
      </xdr:nvSpPr>
      <xdr:spPr>
        <a:xfrm>
          <a:off x="874485" y="10562771"/>
          <a:ext cx="631371" cy="1814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97971</xdr:colOff>
      <xdr:row>61</xdr:row>
      <xdr:rowOff>65313</xdr:rowOff>
    </xdr:from>
    <xdr:to>
      <xdr:col>8</xdr:col>
      <xdr:colOff>261257</xdr:colOff>
      <xdr:row>63</xdr:row>
      <xdr:rowOff>32656</xdr:rowOff>
    </xdr:to>
    <xdr:sp macro="" textlink="">
      <xdr:nvSpPr>
        <xdr:cNvPr id="3" name="Rectangle: Rounded Corners 2">
          <a:extLst>
            <a:ext uri="{FF2B5EF4-FFF2-40B4-BE49-F238E27FC236}">
              <a16:creationId xmlns:a16="http://schemas.microsoft.com/office/drawing/2014/main" id="{A4C0330D-9CC0-4831-8F5D-C7B80600EA17}"/>
            </a:ext>
          </a:extLst>
        </xdr:cNvPr>
        <xdr:cNvSpPr/>
      </xdr:nvSpPr>
      <xdr:spPr>
        <a:xfrm>
          <a:off x="4365171" y="8577942"/>
          <a:ext cx="772886" cy="3374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grant</a:t>
          </a:r>
        </a:p>
      </xdr:txBody>
    </xdr:sp>
    <xdr:clientData/>
  </xdr:twoCellAnchor>
  <xdr:twoCellAnchor>
    <xdr:from>
      <xdr:col>6</xdr:col>
      <xdr:colOff>326571</xdr:colOff>
      <xdr:row>34</xdr:row>
      <xdr:rowOff>43542</xdr:rowOff>
    </xdr:from>
    <xdr:to>
      <xdr:col>7</xdr:col>
      <xdr:colOff>566057</xdr:colOff>
      <xdr:row>37</xdr:row>
      <xdr:rowOff>0</xdr:rowOff>
    </xdr:to>
    <xdr:sp macro="" textlink="">
      <xdr:nvSpPr>
        <xdr:cNvPr id="4" name="Rectangle: Rounded Corners 3">
          <a:extLst>
            <a:ext uri="{FF2B5EF4-FFF2-40B4-BE49-F238E27FC236}">
              <a16:creationId xmlns:a16="http://schemas.microsoft.com/office/drawing/2014/main" id="{AE93BB7D-0282-46B1-B178-37BBE592E263}"/>
            </a:ext>
          </a:extLst>
        </xdr:cNvPr>
        <xdr:cNvSpPr/>
      </xdr:nvSpPr>
      <xdr:spPr>
        <a:xfrm>
          <a:off x="3984171" y="3559628"/>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Received grant</a:t>
          </a:r>
        </a:p>
      </xdr:txBody>
    </xdr:sp>
    <xdr:clientData/>
  </xdr:twoCellAnchor>
  <xdr:twoCellAnchor>
    <xdr:from>
      <xdr:col>4</xdr:col>
      <xdr:colOff>468086</xdr:colOff>
      <xdr:row>43</xdr:row>
      <xdr:rowOff>0</xdr:rowOff>
    </xdr:from>
    <xdr:to>
      <xdr:col>5</xdr:col>
      <xdr:colOff>174171</xdr:colOff>
      <xdr:row>44</xdr:row>
      <xdr:rowOff>76200</xdr:rowOff>
    </xdr:to>
    <xdr:sp macro="" textlink="">
      <xdr:nvSpPr>
        <xdr:cNvPr id="5" name="Oval 4">
          <a:extLst>
            <a:ext uri="{FF2B5EF4-FFF2-40B4-BE49-F238E27FC236}">
              <a16:creationId xmlns:a16="http://schemas.microsoft.com/office/drawing/2014/main" id="{2FEEA29C-5FD0-4178-9850-AB8FD7DF8362}"/>
            </a:ext>
          </a:extLst>
        </xdr:cNvPr>
        <xdr:cNvSpPr/>
      </xdr:nvSpPr>
      <xdr:spPr>
        <a:xfrm>
          <a:off x="2906486" y="5181600"/>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xdr:col>
      <xdr:colOff>613461</xdr:colOff>
      <xdr:row>43</xdr:row>
      <xdr:rowOff>130279</xdr:rowOff>
    </xdr:from>
    <xdr:to>
      <xdr:col>4</xdr:col>
      <xdr:colOff>468085</xdr:colOff>
      <xdr:row>46</xdr:row>
      <xdr:rowOff>7726</xdr:rowOff>
    </xdr:to>
    <xdr:cxnSp macro="">
      <xdr:nvCxnSpPr>
        <xdr:cNvPr id="7" name="Connector: Elbow 6">
          <a:extLst>
            <a:ext uri="{FF2B5EF4-FFF2-40B4-BE49-F238E27FC236}">
              <a16:creationId xmlns:a16="http://schemas.microsoft.com/office/drawing/2014/main" id="{B76D52A7-A4E0-41FB-9602-887975D9F0D7}"/>
            </a:ext>
          </a:extLst>
        </xdr:cNvPr>
        <xdr:cNvCxnSpPr>
          <a:stCxn id="832" idx="0"/>
          <a:endCxn id="5" idx="2"/>
        </xdr:cNvCxnSpPr>
      </xdr:nvCxnSpPr>
      <xdr:spPr>
        <a:xfrm rot="5400000" flipH="1" flipV="1">
          <a:off x="1861808" y="7423706"/>
          <a:ext cx="430512" cy="169817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16330</xdr:colOff>
      <xdr:row>35</xdr:row>
      <xdr:rowOff>114300</xdr:rowOff>
    </xdr:from>
    <xdr:to>
      <xdr:col>6</xdr:col>
      <xdr:colOff>326572</xdr:colOff>
      <xdr:row>43</xdr:row>
      <xdr:rowOff>0</xdr:rowOff>
    </xdr:to>
    <xdr:cxnSp macro="">
      <xdr:nvCxnSpPr>
        <xdr:cNvPr id="9" name="Connector: Elbow 8">
          <a:extLst>
            <a:ext uri="{FF2B5EF4-FFF2-40B4-BE49-F238E27FC236}">
              <a16:creationId xmlns:a16="http://schemas.microsoft.com/office/drawing/2014/main" id="{F5B8C704-6039-4E8A-A522-6D984A42FD17}"/>
            </a:ext>
          </a:extLst>
        </xdr:cNvPr>
        <xdr:cNvCxnSpPr>
          <a:stCxn id="5" idx="0"/>
          <a:endCxn id="4" idx="1"/>
        </xdr:cNvCxnSpPr>
      </xdr:nvCxnSpPr>
      <xdr:spPr>
        <a:xfrm rot="5400000" flipH="1" flipV="1">
          <a:off x="2841172" y="4038601"/>
          <a:ext cx="1366157" cy="91984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16329</xdr:colOff>
      <xdr:row>44</xdr:row>
      <xdr:rowOff>76200</xdr:rowOff>
    </xdr:from>
    <xdr:to>
      <xdr:col>7</xdr:col>
      <xdr:colOff>97971</xdr:colOff>
      <xdr:row>62</xdr:row>
      <xdr:rowOff>48985</xdr:rowOff>
    </xdr:to>
    <xdr:cxnSp macro="">
      <xdr:nvCxnSpPr>
        <xdr:cNvPr id="11" name="Connector: Elbow 10">
          <a:extLst>
            <a:ext uri="{FF2B5EF4-FFF2-40B4-BE49-F238E27FC236}">
              <a16:creationId xmlns:a16="http://schemas.microsoft.com/office/drawing/2014/main" id="{12DB770F-FB15-4481-A35D-AC3EFD9D58D9}"/>
            </a:ext>
          </a:extLst>
        </xdr:cNvPr>
        <xdr:cNvCxnSpPr>
          <a:stCxn id="5" idx="4"/>
          <a:endCxn id="3" idx="1"/>
        </xdr:cNvCxnSpPr>
      </xdr:nvCxnSpPr>
      <xdr:spPr>
        <a:xfrm rot="16200000" flipH="1">
          <a:off x="2062843" y="6444343"/>
          <a:ext cx="3303814" cy="130084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21772</xdr:colOff>
      <xdr:row>42</xdr:row>
      <xdr:rowOff>130629</xdr:rowOff>
    </xdr:from>
    <xdr:to>
      <xdr:col>12</xdr:col>
      <xdr:colOff>261258</xdr:colOff>
      <xdr:row>44</xdr:row>
      <xdr:rowOff>152401</xdr:rowOff>
    </xdr:to>
    <xdr:sp macro="" textlink="">
      <xdr:nvSpPr>
        <xdr:cNvPr id="13" name="Rectangle: Rounded Corners 12">
          <a:extLst>
            <a:ext uri="{FF2B5EF4-FFF2-40B4-BE49-F238E27FC236}">
              <a16:creationId xmlns:a16="http://schemas.microsoft.com/office/drawing/2014/main" id="{1585DFC7-1402-4B47-909F-4925868DDA6B}"/>
            </a:ext>
          </a:extLst>
        </xdr:cNvPr>
        <xdr:cNvSpPr/>
      </xdr:nvSpPr>
      <xdr:spPr>
        <a:xfrm>
          <a:off x="6727372" y="5127172"/>
          <a:ext cx="849086" cy="391886"/>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10</xdr:col>
      <xdr:colOff>587827</xdr:colOff>
      <xdr:row>27</xdr:row>
      <xdr:rowOff>108857</xdr:rowOff>
    </xdr:from>
    <xdr:to>
      <xdr:col>12</xdr:col>
      <xdr:colOff>217713</xdr:colOff>
      <xdr:row>30</xdr:row>
      <xdr:rowOff>65315</xdr:rowOff>
    </xdr:to>
    <xdr:sp macro="" textlink="">
      <xdr:nvSpPr>
        <xdr:cNvPr id="14" name="Rectangle: Rounded Corners 13">
          <a:extLst>
            <a:ext uri="{FF2B5EF4-FFF2-40B4-BE49-F238E27FC236}">
              <a16:creationId xmlns:a16="http://schemas.microsoft.com/office/drawing/2014/main" id="{88C86C55-4379-4EA1-A87C-3227BBE98DE9}"/>
            </a:ext>
          </a:extLst>
        </xdr:cNvPr>
        <xdr:cNvSpPr/>
      </xdr:nvSpPr>
      <xdr:spPr>
        <a:xfrm>
          <a:off x="6683827" y="4109357"/>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10</xdr:col>
      <xdr:colOff>595995</xdr:colOff>
      <xdr:row>67</xdr:row>
      <xdr:rowOff>89809</xdr:rowOff>
    </xdr:from>
    <xdr:to>
      <xdr:col>12</xdr:col>
      <xdr:colOff>225881</xdr:colOff>
      <xdr:row>69</xdr:row>
      <xdr:rowOff>111580</xdr:rowOff>
    </xdr:to>
    <xdr:sp macro="" textlink="">
      <xdr:nvSpPr>
        <xdr:cNvPr id="15" name="Rectangle: Rounded Corners 14">
          <a:extLst>
            <a:ext uri="{FF2B5EF4-FFF2-40B4-BE49-F238E27FC236}">
              <a16:creationId xmlns:a16="http://schemas.microsoft.com/office/drawing/2014/main" id="{864B78CA-522E-48A2-8AE5-63B2DEB747D0}"/>
            </a:ext>
          </a:extLst>
        </xdr:cNvPr>
        <xdr:cNvSpPr/>
      </xdr:nvSpPr>
      <xdr:spPr>
        <a:xfrm>
          <a:off x="6691995" y="11710309"/>
          <a:ext cx="849086" cy="40277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11</xdr:col>
      <xdr:colOff>16328</xdr:colOff>
      <xdr:row>54</xdr:row>
      <xdr:rowOff>152399</xdr:rowOff>
    </xdr:from>
    <xdr:to>
      <xdr:col>12</xdr:col>
      <xdr:colOff>255814</xdr:colOff>
      <xdr:row>57</xdr:row>
      <xdr:rowOff>108857</xdr:rowOff>
    </xdr:to>
    <xdr:sp macro="" textlink="">
      <xdr:nvSpPr>
        <xdr:cNvPr id="16" name="Rectangle: Rounded Corners 15">
          <a:extLst>
            <a:ext uri="{FF2B5EF4-FFF2-40B4-BE49-F238E27FC236}">
              <a16:creationId xmlns:a16="http://schemas.microsoft.com/office/drawing/2014/main" id="{F0555905-E163-4463-A0B1-6D0835AE26D6}"/>
            </a:ext>
          </a:extLst>
        </xdr:cNvPr>
        <xdr:cNvSpPr/>
      </xdr:nvSpPr>
      <xdr:spPr>
        <a:xfrm>
          <a:off x="6721928" y="9296399"/>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10</xdr:col>
      <xdr:colOff>5444</xdr:colOff>
      <xdr:row>28</xdr:row>
      <xdr:rowOff>182336</xdr:rowOff>
    </xdr:from>
    <xdr:to>
      <xdr:col>10</xdr:col>
      <xdr:colOff>587828</xdr:colOff>
      <xdr:row>34</xdr:row>
      <xdr:rowOff>168727</xdr:rowOff>
    </xdr:to>
    <xdr:cxnSp macro="">
      <xdr:nvCxnSpPr>
        <xdr:cNvPr id="18" name="Connector: Elbow 17">
          <a:extLst>
            <a:ext uri="{FF2B5EF4-FFF2-40B4-BE49-F238E27FC236}">
              <a16:creationId xmlns:a16="http://schemas.microsoft.com/office/drawing/2014/main" id="{04843D1C-B5E2-4F61-9335-39CADD69A08B}"/>
            </a:ext>
          </a:extLst>
        </xdr:cNvPr>
        <xdr:cNvCxnSpPr>
          <a:stCxn id="30" idx="0"/>
          <a:endCxn id="14" idx="1"/>
        </xdr:cNvCxnSpPr>
      </xdr:nvCxnSpPr>
      <xdr:spPr>
        <a:xfrm rot="5400000" flipH="1" flipV="1">
          <a:off x="5827940" y="4646840"/>
          <a:ext cx="1129391" cy="58238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5443</xdr:colOff>
      <xdr:row>36</xdr:row>
      <xdr:rowOff>59869</xdr:rowOff>
    </xdr:from>
    <xdr:to>
      <xdr:col>11</xdr:col>
      <xdr:colOff>21772</xdr:colOff>
      <xdr:row>43</xdr:row>
      <xdr:rowOff>141514</xdr:rowOff>
    </xdr:to>
    <xdr:cxnSp macro="">
      <xdr:nvCxnSpPr>
        <xdr:cNvPr id="20" name="Connector: Elbow 19">
          <a:extLst>
            <a:ext uri="{FF2B5EF4-FFF2-40B4-BE49-F238E27FC236}">
              <a16:creationId xmlns:a16="http://schemas.microsoft.com/office/drawing/2014/main" id="{27444949-BBB0-4530-8F87-E62BDFEF7604}"/>
            </a:ext>
          </a:extLst>
        </xdr:cNvPr>
        <xdr:cNvCxnSpPr>
          <a:stCxn id="30" idx="4"/>
          <a:endCxn id="13" idx="1"/>
        </xdr:cNvCxnSpPr>
      </xdr:nvCxnSpPr>
      <xdr:spPr>
        <a:xfrm rot="16200000" flipH="1">
          <a:off x="5706835" y="6169477"/>
          <a:ext cx="1415145" cy="62592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62595</xdr:colOff>
      <xdr:row>56</xdr:row>
      <xdr:rowOff>35378</xdr:rowOff>
    </xdr:from>
    <xdr:to>
      <xdr:col>11</xdr:col>
      <xdr:colOff>16329</xdr:colOff>
      <xdr:row>61</xdr:row>
      <xdr:rowOff>92529</xdr:rowOff>
    </xdr:to>
    <xdr:cxnSp macro="">
      <xdr:nvCxnSpPr>
        <xdr:cNvPr id="24" name="Connector: Elbow 23">
          <a:extLst>
            <a:ext uri="{FF2B5EF4-FFF2-40B4-BE49-F238E27FC236}">
              <a16:creationId xmlns:a16="http://schemas.microsoft.com/office/drawing/2014/main" id="{ED546A66-5E0C-450B-B117-D2581A981B24}"/>
            </a:ext>
          </a:extLst>
        </xdr:cNvPr>
        <xdr:cNvCxnSpPr>
          <a:stCxn id="31" idx="0"/>
          <a:endCxn id="16" idx="1"/>
        </xdr:cNvCxnSpPr>
      </xdr:nvCxnSpPr>
      <xdr:spPr>
        <a:xfrm rot="5400000" flipH="1" flipV="1">
          <a:off x="5935436" y="9783537"/>
          <a:ext cx="1009651" cy="56333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62594</xdr:colOff>
      <xdr:row>62</xdr:row>
      <xdr:rowOff>174171</xdr:rowOff>
    </xdr:from>
    <xdr:to>
      <xdr:col>10</xdr:col>
      <xdr:colOff>595995</xdr:colOff>
      <xdr:row>68</xdr:row>
      <xdr:rowOff>100694</xdr:rowOff>
    </xdr:to>
    <xdr:cxnSp macro="">
      <xdr:nvCxnSpPr>
        <xdr:cNvPr id="26" name="Connector: Elbow 25">
          <a:extLst>
            <a:ext uri="{FF2B5EF4-FFF2-40B4-BE49-F238E27FC236}">
              <a16:creationId xmlns:a16="http://schemas.microsoft.com/office/drawing/2014/main" id="{173CB30B-A2C2-423A-89F0-161EF8CCD17D}"/>
            </a:ext>
          </a:extLst>
        </xdr:cNvPr>
        <xdr:cNvCxnSpPr>
          <a:stCxn id="31" idx="4"/>
          <a:endCxn id="15" idx="1"/>
        </xdr:cNvCxnSpPr>
      </xdr:nvCxnSpPr>
      <xdr:spPr>
        <a:xfrm rot="16200000" flipH="1">
          <a:off x="5890533" y="11110232"/>
          <a:ext cx="1069523" cy="53340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593798</xdr:colOff>
      <xdr:row>83</xdr:row>
      <xdr:rowOff>55130</xdr:rowOff>
    </xdr:from>
    <xdr:to>
      <xdr:col>9</xdr:col>
      <xdr:colOff>326573</xdr:colOff>
      <xdr:row>90</xdr:row>
      <xdr:rowOff>11236</xdr:rowOff>
    </xdr:to>
    <xdr:cxnSp macro="">
      <xdr:nvCxnSpPr>
        <xdr:cNvPr id="29" name="Connector: Elbow 28">
          <a:extLst>
            <a:ext uri="{FF2B5EF4-FFF2-40B4-BE49-F238E27FC236}">
              <a16:creationId xmlns:a16="http://schemas.microsoft.com/office/drawing/2014/main" id="{FC44B14F-52A0-46C6-A42C-22D0D277FB8A}"/>
            </a:ext>
          </a:extLst>
        </xdr:cNvPr>
        <xdr:cNvCxnSpPr>
          <a:cxnSpLocks/>
          <a:stCxn id="837" idx="2"/>
          <a:endCxn id="44" idx="2"/>
        </xdr:cNvCxnSpPr>
      </xdr:nvCxnSpPr>
      <xdr:spPr>
        <a:xfrm rot="16200000" flipH="1">
          <a:off x="2909471" y="13655425"/>
          <a:ext cx="1246589" cy="464890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34</xdr:row>
      <xdr:rowOff>168727</xdr:rowOff>
    </xdr:from>
    <xdr:to>
      <xdr:col>10</xdr:col>
      <xdr:colOff>163285</xdr:colOff>
      <xdr:row>36</xdr:row>
      <xdr:rowOff>59870</xdr:rowOff>
    </xdr:to>
    <xdr:sp macro="" textlink="">
      <xdr:nvSpPr>
        <xdr:cNvPr id="30" name="Oval 29">
          <a:extLst>
            <a:ext uri="{FF2B5EF4-FFF2-40B4-BE49-F238E27FC236}">
              <a16:creationId xmlns:a16="http://schemas.microsoft.com/office/drawing/2014/main" id="{339E9380-9690-4B20-B7AB-928CFEC790F5}"/>
            </a:ext>
          </a:extLst>
        </xdr:cNvPr>
        <xdr:cNvSpPr/>
      </xdr:nvSpPr>
      <xdr:spPr>
        <a:xfrm>
          <a:off x="5943600" y="5502727"/>
          <a:ext cx="315685" cy="27214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514351</xdr:colOff>
      <xdr:row>61</xdr:row>
      <xdr:rowOff>92529</xdr:rowOff>
    </xdr:from>
    <xdr:to>
      <xdr:col>10</xdr:col>
      <xdr:colOff>220436</xdr:colOff>
      <xdr:row>62</xdr:row>
      <xdr:rowOff>174172</xdr:rowOff>
    </xdr:to>
    <xdr:sp macro="" textlink="">
      <xdr:nvSpPr>
        <xdr:cNvPr id="31" name="Oval 30">
          <a:extLst>
            <a:ext uri="{FF2B5EF4-FFF2-40B4-BE49-F238E27FC236}">
              <a16:creationId xmlns:a16="http://schemas.microsoft.com/office/drawing/2014/main" id="{797FE5DA-44CD-4BF2-BDDC-318542FB3153}"/>
            </a:ext>
          </a:extLst>
        </xdr:cNvPr>
        <xdr:cNvSpPr/>
      </xdr:nvSpPr>
      <xdr:spPr>
        <a:xfrm>
          <a:off x="6000751" y="10570029"/>
          <a:ext cx="315685" cy="27214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11</xdr:col>
      <xdr:colOff>160565</xdr:colOff>
      <xdr:row>102</xdr:row>
      <xdr:rowOff>125187</xdr:rowOff>
    </xdr:from>
    <xdr:to>
      <xdr:col>12</xdr:col>
      <xdr:colOff>400051</xdr:colOff>
      <xdr:row>104</xdr:row>
      <xdr:rowOff>146958</xdr:rowOff>
    </xdr:to>
    <xdr:sp macro="" textlink="">
      <xdr:nvSpPr>
        <xdr:cNvPr id="36" name="Rectangle: Rounded Corners 35">
          <a:extLst>
            <a:ext uri="{FF2B5EF4-FFF2-40B4-BE49-F238E27FC236}">
              <a16:creationId xmlns:a16="http://schemas.microsoft.com/office/drawing/2014/main" id="{70839D87-EB4E-4D55-A28D-D0ADA3F7D4DC}"/>
            </a:ext>
          </a:extLst>
        </xdr:cNvPr>
        <xdr:cNvSpPr/>
      </xdr:nvSpPr>
      <xdr:spPr>
        <a:xfrm>
          <a:off x="6866165" y="18413187"/>
          <a:ext cx="849086" cy="402771"/>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ANC</a:t>
          </a:r>
        </a:p>
      </xdr:txBody>
    </xdr:sp>
    <xdr:clientData/>
  </xdr:twoCellAnchor>
  <xdr:twoCellAnchor>
    <xdr:from>
      <xdr:col>11</xdr:col>
      <xdr:colOff>21771</xdr:colOff>
      <xdr:row>80</xdr:row>
      <xdr:rowOff>95250</xdr:rowOff>
    </xdr:from>
    <xdr:to>
      <xdr:col>12</xdr:col>
      <xdr:colOff>261257</xdr:colOff>
      <xdr:row>83</xdr:row>
      <xdr:rowOff>46264</xdr:rowOff>
    </xdr:to>
    <xdr:sp macro="" textlink="">
      <xdr:nvSpPr>
        <xdr:cNvPr id="37" name="Rectangle: Rounded Corners 36">
          <a:extLst>
            <a:ext uri="{FF2B5EF4-FFF2-40B4-BE49-F238E27FC236}">
              <a16:creationId xmlns:a16="http://schemas.microsoft.com/office/drawing/2014/main" id="{2AD19400-A648-4258-B69F-41BE1986EB39}"/>
            </a:ext>
          </a:extLst>
        </xdr:cNvPr>
        <xdr:cNvSpPr/>
      </xdr:nvSpPr>
      <xdr:spPr>
        <a:xfrm>
          <a:off x="6727371" y="15335250"/>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ANC visit</a:t>
          </a:r>
        </a:p>
      </xdr:txBody>
    </xdr:sp>
    <xdr:clientData/>
  </xdr:twoCellAnchor>
  <xdr:twoCellAnchor>
    <xdr:from>
      <xdr:col>9</xdr:col>
      <xdr:colOff>484415</xdr:colOff>
      <xdr:row>81</xdr:row>
      <xdr:rowOff>166007</xdr:rowOff>
    </xdr:from>
    <xdr:to>
      <xdr:col>11</xdr:col>
      <xdr:colOff>21771</xdr:colOff>
      <xdr:row>89</xdr:row>
      <xdr:rowOff>65313</xdr:rowOff>
    </xdr:to>
    <xdr:cxnSp macro="">
      <xdr:nvCxnSpPr>
        <xdr:cNvPr id="40" name="Connector: Elbow 39">
          <a:extLst>
            <a:ext uri="{FF2B5EF4-FFF2-40B4-BE49-F238E27FC236}">
              <a16:creationId xmlns:a16="http://schemas.microsoft.com/office/drawing/2014/main" id="{DF557E6A-740F-4560-BF36-917A55D74059}"/>
            </a:ext>
          </a:extLst>
        </xdr:cNvPr>
        <xdr:cNvCxnSpPr>
          <a:stCxn id="44" idx="0"/>
          <a:endCxn id="37" idx="1"/>
        </xdr:cNvCxnSpPr>
      </xdr:nvCxnSpPr>
      <xdr:spPr>
        <a:xfrm rot="5400000" flipH="1" flipV="1">
          <a:off x="5637440" y="15929882"/>
          <a:ext cx="1423306" cy="75655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484416</xdr:colOff>
      <xdr:row>90</xdr:row>
      <xdr:rowOff>141513</xdr:rowOff>
    </xdr:from>
    <xdr:to>
      <xdr:col>11</xdr:col>
      <xdr:colOff>160566</xdr:colOff>
      <xdr:row>103</xdr:row>
      <xdr:rowOff>136072</xdr:rowOff>
    </xdr:to>
    <xdr:cxnSp macro="">
      <xdr:nvCxnSpPr>
        <xdr:cNvPr id="41" name="Connector: Elbow 40">
          <a:extLst>
            <a:ext uri="{FF2B5EF4-FFF2-40B4-BE49-F238E27FC236}">
              <a16:creationId xmlns:a16="http://schemas.microsoft.com/office/drawing/2014/main" id="{6A66DE5C-64E3-4737-9D57-5030AA42D16D}"/>
            </a:ext>
          </a:extLst>
        </xdr:cNvPr>
        <xdr:cNvCxnSpPr>
          <a:stCxn id="44" idx="4"/>
          <a:endCxn id="36" idx="1"/>
        </xdr:cNvCxnSpPr>
      </xdr:nvCxnSpPr>
      <xdr:spPr>
        <a:xfrm rot="16200000" flipH="1">
          <a:off x="5182961" y="16931368"/>
          <a:ext cx="2471059" cy="89535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566057</xdr:colOff>
      <xdr:row>35</xdr:row>
      <xdr:rowOff>114299</xdr:rowOff>
    </xdr:from>
    <xdr:to>
      <xdr:col>9</xdr:col>
      <xdr:colOff>457200</xdr:colOff>
      <xdr:row>35</xdr:row>
      <xdr:rowOff>117021</xdr:rowOff>
    </xdr:to>
    <xdr:cxnSp macro="">
      <xdr:nvCxnSpPr>
        <xdr:cNvPr id="43" name="Connector: Elbow 42">
          <a:extLst>
            <a:ext uri="{FF2B5EF4-FFF2-40B4-BE49-F238E27FC236}">
              <a16:creationId xmlns:a16="http://schemas.microsoft.com/office/drawing/2014/main" id="{AB008762-527E-4ABC-8E68-A8685A84C61B}"/>
            </a:ext>
          </a:extLst>
        </xdr:cNvPr>
        <xdr:cNvCxnSpPr>
          <a:cxnSpLocks/>
          <a:stCxn id="4" idx="3"/>
          <a:endCxn id="30" idx="2"/>
        </xdr:cNvCxnSpPr>
      </xdr:nvCxnSpPr>
      <xdr:spPr>
        <a:xfrm flipV="1">
          <a:off x="4833257" y="5638799"/>
          <a:ext cx="1110343" cy="27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326572</xdr:colOff>
      <xdr:row>89</xdr:row>
      <xdr:rowOff>65313</xdr:rowOff>
    </xdr:from>
    <xdr:to>
      <xdr:col>10</xdr:col>
      <xdr:colOff>32657</xdr:colOff>
      <xdr:row>90</xdr:row>
      <xdr:rowOff>141514</xdr:rowOff>
    </xdr:to>
    <xdr:sp macro="" textlink="">
      <xdr:nvSpPr>
        <xdr:cNvPr id="44" name="Oval 43">
          <a:extLst>
            <a:ext uri="{FF2B5EF4-FFF2-40B4-BE49-F238E27FC236}">
              <a16:creationId xmlns:a16="http://schemas.microsoft.com/office/drawing/2014/main" id="{9B773B02-2F85-4D5D-A9FE-223C4CAF6CA3}"/>
            </a:ext>
          </a:extLst>
        </xdr:cNvPr>
        <xdr:cNvSpPr/>
      </xdr:nvSpPr>
      <xdr:spPr>
        <a:xfrm>
          <a:off x="5812972" y="13759542"/>
          <a:ext cx="315685" cy="261258"/>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261257</xdr:colOff>
      <xdr:row>62</xdr:row>
      <xdr:rowOff>38101</xdr:rowOff>
    </xdr:from>
    <xdr:to>
      <xdr:col>9</xdr:col>
      <xdr:colOff>514351</xdr:colOff>
      <xdr:row>62</xdr:row>
      <xdr:rowOff>48985</xdr:rowOff>
    </xdr:to>
    <xdr:cxnSp macro="">
      <xdr:nvCxnSpPr>
        <xdr:cNvPr id="48" name="Connector: Elbow 47">
          <a:extLst>
            <a:ext uri="{FF2B5EF4-FFF2-40B4-BE49-F238E27FC236}">
              <a16:creationId xmlns:a16="http://schemas.microsoft.com/office/drawing/2014/main" id="{E1CE6EC5-F6C7-4829-A872-6FFB1782B74D}"/>
            </a:ext>
          </a:extLst>
        </xdr:cNvPr>
        <xdr:cNvCxnSpPr>
          <a:cxnSpLocks/>
          <a:stCxn id="3" idx="3"/>
          <a:endCxn id="31" idx="2"/>
        </xdr:cNvCxnSpPr>
      </xdr:nvCxnSpPr>
      <xdr:spPr>
        <a:xfrm flipV="1">
          <a:off x="5138057" y="10706101"/>
          <a:ext cx="862694" cy="1088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560614</xdr:colOff>
      <xdr:row>22</xdr:row>
      <xdr:rowOff>100693</xdr:rowOff>
    </xdr:from>
    <xdr:to>
      <xdr:col>15</xdr:col>
      <xdr:colOff>190500</xdr:colOff>
      <xdr:row>25</xdr:row>
      <xdr:rowOff>57150</xdr:rowOff>
    </xdr:to>
    <xdr:sp macro="" textlink="">
      <xdr:nvSpPr>
        <xdr:cNvPr id="59" name="Rectangle: Rounded Corners 58">
          <a:extLst>
            <a:ext uri="{FF2B5EF4-FFF2-40B4-BE49-F238E27FC236}">
              <a16:creationId xmlns:a16="http://schemas.microsoft.com/office/drawing/2014/main" id="{96B79E41-C127-4565-8363-5DB19216448C}"/>
            </a:ext>
          </a:extLst>
        </xdr:cNvPr>
        <xdr:cNvSpPr/>
      </xdr:nvSpPr>
      <xdr:spPr>
        <a:xfrm>
          <a:off x="8485414" y="4291693"/>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13</xdr:col>
      <xdr:colOff>519793</xdr:colOff>
      <xdr:row>30</xdr:row>
      <xdr:rowOff>54429</xdr:rowOff>
    </xdr:from>
    <xdr:to>
      <xdr:col>15</xdr:col>
      <xdr:colOff>149679</xdr:colOff>
      <xdr:row>33</xdr:row>
      <xdr:rowOff>10886</xdr:rowOff>
    </xdr:to>
    <xdr:sp macro="" textlink="">
      <xdr:nvSpPr>
        <xdr:cNvPr id="60" name="Rectangle: Rounded Corners 59">
          <a:extLst>
            <a:ext uri="{FF2B5EF4-FFF2-40B4-BE49-F238E27FC236}">
              <a16:creationId xmlns:a16="http://schemas.microsoft.com/office/drawing/2014/main" id="{2075D201-A250-4457-8B64-16996E0C6D84}"/>
            </a:ext>
          </a:extLst>
        </xdr:cNvPr>
        <xdr:cNvSpPr/>
      </xdr:nvSpPr>
      <xdr:spPr>
        <a:xfrm>
          <a:off x="8444593" y="4626429"/>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12</xdr:col>
      <xdr:colOff>571501</xdr:colOff>
      <xdr:row>23</xdr:row>
      <xdr:rowOff>174173</xdr:rowOff>
    </xdr:from>
    <xdr:to>
      <xdr:col>13</xdr:col>
      <xdr:colOff>560614</xdr:colOff>
      <xdr:row>28</xdr:row>
      <xdr:rowOff>54428</xdr:rowOff>
    </xdr:to>
    <xdr:cxnSp macro="">
      <xdr:nvCxnSpPr>
        <xdr:cNvPr id="61" name="Connector: Elbow 60">
          <a:extLst>
            <a:ext uri="{FF2B5EF4-FFF2-40B4-BE49-F238E27FC236}">
              <a16:creationId xmlns:a16="http://schemas.microsoft.com/office/drawing/2014/main" id="{08C93B58-2A07-4B98-91C7-772BC1BEA8C0}"/>
            </a:ext>
          </a:extLst>
        </xdr:cNvPr>
        <xdr:cNvCxnSpPr>
          <a:stCxn id="63" idx="0"/>
          <a:endCxn id="59" idx="1"/>
        </xdr:cNvCxnSpPr>
      </xdr:nvCxnSpPr>
      <xdr:spPr>
        <a:xfrm rot="5400000" flipH="1" flipV="1">
          <a:off x="7769680" y="4672694"/>
          <a:ext cx="832755" cy="59871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571502</xdr:colOff>
      <xdr:row>29</xdr:row>
      <xdr:rowOff>130626</xdr:rowOff>
    </xdr:from>
    <xdr:to>
      <xdr:col>13</xdr:col>
      <xdr:colOff>519794</xdr:colOff>
      <xdr:row>31</xdr:row>
      <xdr:rowOff>127907</xdr:rowOff>
    </xdr:to>
    <xdr:cxnSp macro="">
      <xdr:nvCxnSpPr>
        <xdr:cNvPr id="62" name="Connector: Elbow 61">
          <a:extLst>
            <a:ext uri="{FF2B5EF4-FFF2-40B4-BE49-F238E27FC236}">
              <a16:creationId xmlns:a16="http://schemas.microsoft.com/office/drawing/2014/main" id="{A328CEC4-D65C-414E-9764-6FDF6707C9C8}"/>
            </a:ext>
          </a:extLst>
        </xdr:cNvPr>
        <xdr:cNvCxnSpPr>
          <a:stCxn id="63" idx="4"/>
          <a:endCxn id="60" idx="1"/>
        </xdr:cNvCxnSpPr>
      </xdr:nvCxnSpPr>
      <xdr:spPr>
        <a:xfrm rot="16200000" flipH="1">
          <a:off x="7976507" y="4422321"/>
          <a:ext cx="378281" cy="55789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413658</xdr:colOff>
      <xdr:row>28</xdr:row>
      <xdr:rowOff>54427</xdr:rowOff>
    </xdr:from>
    <xdr:to>
      <xdr:col>13</xdr:col>
      <xdr:colOff>119743</xdr:colOff>
      <xdr:row>29</xdr:row>
      <xdr:rowOff>130627</xdr:rowOff>
    </xdr:to>
    <xdr:sp macro="" textlink="">
      <xdr:nvSpPr>
        <xdr:cNvPr id="63" name="Oval 62">
          <a:extLst>
            <a:ext uri="{FF2B5EF4-FFF2-40B4-BE49-F238E27FC236}">
              <a16:creationId xmlns:a16="http://schemas.microsoft.com/office/drawing/2014/main" id="{6CC457A3-02D7-467E-92FD-2BA8FCB91B1E}"/>
            </a:ext>
          </a:extLst>
        </xdr:cNvPr>
        <xdr:cNvSpPr/>
      </xdr:nvSpPr>
      <xdr:spPr>
        <a:xfrm>
          <a:off x="7728858" y="2460170"/>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217713</xdr:colOff>
      <xdr:row>28</xdr:row>
      <xdr:rowOff>182336</xdr:rowOff>
    </xdr:from>
    <xdr:to>
      <xdr:col>12</xdr:col>
      <xdr:colOff>413658</xdr:colOff>
      <xdr:row>28</xdr:row>
      <xdr:rowOff>187777</xdr:rowOff>
    </xdr:to>
    <xdr:cxnSp macro="">
      <xdr:nvCxnSpPr>
        <xdr:cNvPr id="64" name="Connector: Elbow 42">
          <a:extLst>
            <a:ext uri="{FF2B5EF4-FFF2-40B4-BE49-F238E27FC236}">
              <a16:creationId xmlns:a16="http://schemas.microsoft.com/office/drawing/2014/main" id="{03652EBF-BECE-42AE-931B-E7EDDC38D5F8}"/>
            </a:ext>
          </a:extLst>
        </xdr:cNvPr>
        <xdr:cNvCxnSpPr>
          <a:cxnSpLocks/>
          <a:stCxn id="14" idx="3"/>
          <a:endCxn id="63" idx="2"/>
        </xdr:cNvCxnSpPr>
      </xdr:nvCxnSpPr>
      <xdr:spPr>
        <a:xfrm>
          <a:off x="7532913" y="4373336"/>
          <a:ext cx="195945" cy="544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21771</xdr:colOff>
      <xdr:row>36</xdr:row>
      <xdr:rowOff>108857</xdr:rowOff>
    </xdr:from>
    <xdr:to>
      <xdr:col>15</xdr:col>
      <xdr:colOff>261257</xdr:colOff>
      <xdr:row>39</xdr:row>
      <xdr:rowOff>65315</xdr:rowOff>
    </xdr:to>
    <xdr:sp macro="" textlink="">
      <xdr:nvSpPr>
        <xdr:cNvPr id="208" name="Rectangle: Rounded Corners 207">
          <a:extLst>
            <a:ext uri="{FF2B5EF4-FFF2-40B4-BE49-F238E27FC236}">
              <a16:creationId xmlns:a16="http://schemas.microsoft.com/office/drawing/2014/main" id="{A75C3E3A-30E8-4F87-A32E-86CFF2605316}"/>
            </a:ext>
          </a:extLst>
        </xdr:cNvPr>
        <xdr:cNvSpPr/>
      </xdr:nvSpPr>
      <xdr:spPr>
        <a:xfrm>
          <a:off x="8556171" y="39950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16327</xdr:colOff>
      <xdr:row>44</xdr:row>
      <xdr:rowOff>149678</xdr:rowOff>
    </xdr:from>
    <xdr:to>
      <xdr:col>15</xdr:col>
      <xdr:colOff>255813</xdr:colOff>
      <xdr:row>47</xdr:row>
      <xdr:rowOff>106135</xdr:rowOff>
    </xdr:to>
    <xdr:sp macro="" textlink="">
      <xdr:nvSpPr>
        <xdr:cNvPr id="209" name="Rectangle: Rounded Corners 208">
          <a:extLst>
            <a:ext uri="{FF2B5EF4-FFF2-40B4-BE49-F238E27FC236}">
              <a16:creationId xmlns:a16="http://schemas.microsoft.com/office/drawing/2014/main" id="{72A425D1-431E-47C6-8DA4-03A18CFC19CC}"/>
            </a:ext>
          </a:extLst>
        </xdr:cNvPr>
        <xdr:cNvSpPr/>
      </xdr:nvSpPr>
      <xdr:spPr>
        <a:xfrm>
          <a:off x="8550727" y="8531678"/>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24494</xdr:colOff>
      <xdr:row>43</xdr:row>
      <xdr:rowOff>2721</xdr:rowOff>
    </xdr:from>
    <xdr:to>
      <xdr:col>13</xdr:col>
      <xdr:colOff>340179</xdr:colOff>
      <xdr:row>44</xdr:row>
      <xdr:rowOff>84364</xdr:rowOff>
    </xdr:to>
    <xdr:sp macro="" textlink="">
      <xdr:nvSpPr>
        <xdr:cNvPr id="210" name="Oval 209">
          <a:extLst>
            <a:ext uri="{FF2B5EF4-FFF2-40B4-BE49-F238E27FC236}">
              <a16:creationId xmlns:a16="http://schemas.microsoft.com/office/drawing/2014/main" id="{811751D8-AFF5-4123-B187-7015EEAFC4B7}"/>
            </a:ext>
          </a:extLst>
        </xdr:cNvPr>
        <xdr:cNvSpPr/>
      </xdr:nvSpPr>
      <xdr:spPr>
        <a:xfrm>
          <a:off x="7949294" y="7051221"/>
          <a:ext cx="315685" cy="27214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261258</xdr:colOff>
      <xdr:row>43</xdr:row>
      <xdr:rowOff>138793</xdr:rowOff>
    </xdr:from>
    <xdr:to>
      <xdr:col>13</xdr:col>
      <xdr:colOff>24494</xdr:colOff>
      <xdr:row>43</xdr:row>
      <xdr:rowOff>141515</xdr:rowOff>
    </xdr:to>
    <xdr:cxnSp macro="">
      <xdr:nvCxnSpPr>
        <xdr:cNvPr id="211" name="Connector: Elbow 42">
          <a:extLst>
            <a:ext uri="{FF2B5EF4-FFF2-40B4-BE49-F238E27FC236}">
              <a16:creationId xmlns:a16="http://schemas.microsoft.com/office/drawing/2014/main" id="{E56CF272-5999-47E9-A09F-0AEC3BBD7C56}"/>
            </a:ext>
          </a:extLst>
        </xdr:cNvPr>
        <xdr:cNvCxnSpPr>
          <a:cxnSpLocks/>
          <a:stCxn id="13" idx="3"/>
          <a:endCxn id="210" idx="2"/>
        </xdr:cNvCxnSpPr>
      </xdr:nvCxnSpPr>
      <xdr:spPr>
        <a:xfrm flipV="1">
          <a:off x="7576458" y="7187293"/>
          <a:ext cx="372836" cy="27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182338</xdr:colOff>
      <xdr:row>37</xdr:row>
      <xdr:rowOff>182336</xdr:rowOff>
    </xdr:from>
    <xdr:to>
      <xdr:col>14</xdr:col>
      <xdr:colOff>21772</xdr:colOff>
      <xdr:row>43</xdr:row>
      <xdr:rowOff>2721</xdr:rowOff>
    </xdr:to>
    <xdr:cxnSp macro="">
      <xdr:nvCxnSpPr>
        <xdr:cNvPr id="214" name="Connector: Elbow 213">
          <a:extLst>
            <a:ext uri="{FF2B5EF4-FFF2-40B4-BE49-F238E27FC236}">
              <a16:creationId xmlns:a16="http://schemas.microsoft.com/office/drawing/2014/main" id="{1CF7C177-3F8C-4AE0-A398-E99381DC464A}"/>
            </a:ext>
          </a:extLst>
        </xdr:cNvPr>
        <xdr:cNvCxnSpPr>
          <a:stCxn id="210" idx="0"/>
          <a:endCxn id="208" idx="1"/>
        </xdr:cNvCxnSpPr>
      </xdr:nvCxnSpPr>
      <xdr:spPr>
        <a:xfrm rot="5400000" flipH="1" flipV="1">
          <a:off x="7849962" y="6345012"/>
          <a:ext cx="963385" cy="44903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182338</xdr:colOff>
      <xdr:row>44</xdr:row>
      <xdr:rowOff>84363</xdr:rowOff>
    </xdr:from>
    <xdr:to>
      <xdr:col>14</xdr:col>
      <xdr:colOff>16328</xdr:colOff>
      <xdr:row>46</xdr:row>
      <xdr:rowOff>32656</xdr:rowOff>
    </xdr:to>
    <xdr:cxnSp macro="">
      <xdr:nvCxnSpPr>
        <xdr:cNvPr id="217" name="Connector: Elbow 216">
          <a:extLst>
            <a:ext uri="{FF2B5EF4-FFF2-40B4-BE49-F238E27FC236}">
              <a16:creationId xmlns:a16="http://schemas.microsoft.com/office/drawing/2014/main" id="{92B4B54F-BC49-4F78-BAE8-6737C4E48AA5}"/>
            </a:ext>
          </a:extLst>
        </xdr:cNvPr>
        <xdr:cNvCxnSpPr>
          <a:stCxn id="210" idx="4"/>
          <a:endCxn id="209" idx="1"/>
        </xdr:cNvCxnSpPr>
      </xdr:nvCxnSpPr>
      <xdr:spPr>
        <a:xfrm rot="16200000" flipH="1">
          <a:off x="8164286" y="8409215"/>
          <a:ext cx="329293" cy="44359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5442</xdr:colOff>
      <xdr:row>51</xdr:row>
      <xdr:rowOff>29935</xdr:rowOff>
    </xdr:from>
    <xdr:to>
      <xdr:col>15</xdr:col>
      <xdr:colOff>244928</xdr:colOff>
      <xdr:row>53</xdr:row>
      <xdr:rowOff>187778</xdr:rowOff>
    </xdr:to>
    <xdr:sp macro="" textlink="">
      <xdr:nvSpPr>
        <xdr:cNvPr id="220" name="Rectangle: Rounded Corners 219">
          <a:extLst>
            <a:ext uri="{FF2B5EF4-FFF2-40B4-BE49-F238E27FC236}">
              <a16:creationId xmlns:a16="http://schemas.microsoft.com/office/drawing/2014/main" id="{987C28A5-F8A7-4935-9265-0D0E190F8968}"/>
            </a:ext>
          </a:extLst>
        </xdr:cNvPr>
        <xdr:cNvSpPr/>
      </xdr:nvSpPr>
      <xdr:spPr>
        <a:xfrm>
          <a:off x="8539842" y="8602435"/>
          <a:ext cx="849086" cy="53884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10886</xdr:colOff>
      <xdr:row>58</xdr:row>
      <xdr:rowOff>163285</xdr:rowOff>
    </xdr:from>
    <xdr:to>
      <xdr:col>15</xdr:col>
      <xdr:colOff>250372</xdr:colOff>
      <xdr:row>61</xdr:row>
      <xdr:rowOff>119742</xdr:rowOff>
    </xdr:to>
    <xdr:sp macro="" textlink="">
      <xdr:nvSpPr>
        <xdr:cNvPr id="221" name="Rectangle: Rounded Corners 220">
          <a:extLst>
            <a:ext uri="{FF2B5EF4-FFF2-40B4-BE49-F238E27FC236}">
              <a16:creationId xmlns:a16="http://schemas.microsoft.com/office/drawing/2014/main" id="{DE011630-5E0B-4C37-872A-7C25A5AB1C18}"/>
            </a:ext>
          </a:extLst>
        </xdr:cNvPr>
        <xdr:cNvSpPr/>
      </xdr:nvSpPr>
      <xdr:spPr>
        <a:xfrm>
          <a:off x="8545286" y="10069285"/>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97972</xdr:colOff>
      <xdr:row>55</xdr:row>
      <xdr:rowOff>97971</xdr:rowOff>
    </xdr:from>
    <xdr:to>
      <xdr:col>13</xdr:col>
      <xdr:colOff>413657</xdr:colOff>
      <xdr:row>56</xdr:row>
      <xdr:rowOff>174171</xdr:rowOff>
    </xdr:to>
    <xdr:sp macro="" textlink="">
      <xdr:nvSpPr>
        <xdr:cNvPr id="222" name="Oval 221">
          <a:extLst>
            <a:ext uri="{FF2B5EF4-FFF2-40B4-BE49-F238E27FC236}">
              <a16:creationId xmlns:a16="http://schemas.microsoft.com/office/drawing/2014/main" id="{1AB640B6-3F4D-4853-9A20-81F6715FE1A5}"/>
            </a:ext>
          </a:extLst>
        </xdr:cNvPr>
        <xdr:cNvSpPr/>
      </xdr:nvSpPr>
      <xdr:spPr>
        <a:xfrm>
          <a:off x="8022772" y="7500257"/>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255814</xdr:colOff>
      <xdr:row>56</xdr:row>
      <xdr:rowOff>35378</xdr:rowOff>
    </xdr:from>
    <xdr:to>
      <xdr:col>13</xdr:col>
      <xdr:colOff>97972</xdr:colOff>
      <xdr:row>56</xdr:row>
      <xdr:rowOff>40821</xdr:rowOff>
    </xdr:to>
    <xdr:cxnSp macro="">
      <xdr:nvCxnSpPr>
        <xdr:cNvPr id="223" name="Connector: Elbow 42">
          <a:extLst>
            <a:ext uri="{FF2B5EF4-FFF2-40B4-BE49-F238E27FC236}">
              <a16:creationId xmlns:a16="http://schemas.microsoft.com/office/drawing/2014/main" id="{69DA4BBF-A292-4260-9889-8E611BBD1092}"/>
            </a:ext>
          </a:extLst>
        </xdr:cNvPr>
        <xdr:cNvCxnSpPr>
          <a:cxnSpLocks/>
          <a:stCxn id="16" idx="3"/>
          <a:endCxn id="222" idx="2"/>
        </xdr:cNvCxnSpPr>
      </xdr:nvCxnSpPr>
      <xdr:spPr>
        <a:xfrm>
          <a:off x="7571014" y="9560378"/>
          <a:ext cx="451758" cy="544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255814</xdr:colOff>
      <xdr:row>52</xdr:row>
      <xdr:rowOff>105048</xdr:rowOff>
    </xdr:from>
    <xdr:to>
      <xdr:col>14</xdr:col>
      <xdr:colOff>5441</xdr:colOff>
      <xdr:row>55</xdr:row>
      <xdr:rowOff>97972</xdr:rowOff>
    </xdr:to>
    <xdr:cxnSp macro="">
      <xdr:nvCxnSpPr>
        <xdr:cNvPr id="227" name="Connector: Elbow 226">
          <a:extLst>
            <a:ext uri="{FF2B5EF4-FFF2-40B4-BE49-F238E27FC236}">
              <a16:creationId xmlns:a16="http://schemas.microsoft.com/office/drawing/2014/main" id="{CFEA5340-8753-4ED5-B61E-87429FCE85C4}"/>
            </a:ext>
          </a:extLst>
        </xdr:cNvPr>
        <xdr:cNvCxnSpPr>
          <a:stCxn id="222" idx="0"/>
          <a:endCxn id="220" idx="1"/>
        </xdr:cNvCxnSpPr>
      </xdr:nvCxnSpPr>
      <xdr:spPr>
        <a:xfrm rot="5400000" flipH="1" flipV="1">
          <a:off x="8078016" y="8970646"/>
          <a:ext cx="564424" cy="35922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255815</xdr:colOff>
      <xdr:row>56</xdr:row>
      <xdr:rowOff>174170</xdr:rowOff>
    </xdr:from>
    <xdr:to>
      <xdr:col>14</xdr:col>
      <xdr:colOff>10886</xdr:colOff>
      <xdr:row>60</xdr:row>
      <xdr:rowOff>46263</xdr:rowOff>
    </xdr:to>
    <xdr:cxnSp macro="">
      <xdr:nvCxnSpPr>
        <xdr:cNvPr id="230" name="Connector: Elbow 229">
          <a:extLst>
            <a:ext uri="{FF2B5EF4-FFF2-40B4-BE49-F238E27FC236}">
              <a16:creationId xmlns:a16="http://schemas.microsoft.com/office/drawing/2014/main" id="{B32057F0-5DB5-4736-B872-C52ED70FD52B}"/>
            </a:ext>
          </a:extLst>
        </xdr:cNvPr>
        <xdr:cNvCxnSpPr>
          <a:stCxn id="222" idx="4"/>
          <a:endCxn id="221" idx="1"/>
        </xdr:cNvCxnSpPr>
      </xdr:nvCxnSpPr>
      <xdr:spPr>
        <a:xfrm rot="16200000" flipH="1">
          <a:off x="8045904" y="9833881"/>
          <a:ext cx="634093" cy="36467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568778</xdr:colOff>
      <xdr:row>63</xdr:row>
      <xdr:rowOff>166007</xdr:rowOff>
    </xdr:from>
    <xdr:to>
      <xdr:col>15</xdr:col>
      <xdr:colOff>198664</xdr:colOff>
      <xdr:row>66</xdr:row>
      <xdr:rowOff>117022</xdr:rowOff>
    </xdr:to>
    <xdr:sp macro="" textlink="">
      <xdr:nvSpPr>
        <xdr:cNvPr id="233" name="Rectangle: Rounded Corners 232">
          <a:extLst>
            <a:ext uri="{FF2B5EF4-FFF2-40B4-BE49-F238E27FC236}">
              <a16:creationId xmlns:a16="http://schemas.microsoft.com/office/drawing/2014/main" id="{41828BCD-C13D-40BC-BD13-3D0D6C6A057A}"/>
            </a:ext>
          </a:extLst>
        </xdr:cNvPr>
        <xdr:cNvSpPr/>
      </xdr:nvSpPr>
      <xdr:spPr>
        <a:xfrm>
          <a:off x="8493578" y="11024507"/>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13606</xdr:colOff>
      <xdr:row>71</xdr:row>
      <xdr:rowOff>97970</xdr:rowOff>
    </xdr:from>
    <xdr:to>
      <xdr:col>15</xdr:col>
      <xdr:colOff>253092</xdr:colOff>
      <xdr:row>74</xdr:row>
      <xdr:rowOff>54428</xdr:rowOff>
    </xdr:to>
    <xdr:sp macro="" textlink="">
      <xdr:nvSpPr>
        <xdr:cNvPr id="234" name="Rectangle: Rounded Corners 233">
          <a:extLst>
            <a:ext uri="{FF2B5EF4-FFF2-40B4-BE49-F238E27FC236}">
              <a16:creationId xmlns:a16="http://schemas.microsoft.com/office/drawing/2014/main" id="{1364D24F-F3C2-47CE-843F-C0AF086285CA}"/>
            </a:ext>
          </a:extLst>
        </xdr:cNvPr>
        <xdr:cNvSpPr/>
      </xdr:nvSpPr>
      <xdr:spPr>
        <a:xfrm>
          <a:off x="8548006" y="13623470"/>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12</xdr:col>
      <xdr:colOff>576944</xdr:colOff>
      <xdr:row>67</xdr:row>
      <xdr:rowOff>174172</xdr:rowOff>
    </xdr:from>
    <xdr:to>
      <xdr:col>13</xdr:col>
      <xdr:colOff>283029</xdr:colOff>
      <xdr:row>69</xdr:row>
      <xdr:rowOff>65314</xdr:rowOff>
    </xdr:to>
    <xdr:sp macro="" textlink="">
      <xdr:nvSpPr>
        <xdr:cNvPr id="235" name="Oval 234">
          <a:extLst>
            <a:ext uri="{FF2B5EF4-FFF2-40B4-BE49-F238E27FC236}">
              <a16:creationId xmlns:a16="http://schemas.microsoft.com/office/drawing/2014/main" id="{300C8AAA-CD9A-4711-8D6D-736493F72A40}"/>
            </a:ext>
          </a:extLst>
        </xdr:cNvPr>
        <xdr:cNvSpPr/>
      </xdr:nvSpPr>
      <xdr:spPr>
        <a:xfrm>
          <a:off x="7892144" y="9797143"/>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225881</xdr:colOff>
      <xdr:row>68</xdr:row>
      <xdr:rowOff>100695</xdr:rowOff>
    </xdr:from>
    <xdr:to>
      <xdr:col>12</xdr:col>
      <xdr:colOff>576944</xdr:colOff>
      <xdr:row>68</xdr:row>
      <xdr:rowOff>119743</xdr:rowOff>
    </xdr:to>
    <xdr:cxnSp macro="">
      <xdr:nvCxnSpPr>
        <xdr:cNvPr id="236" name="Connector: Elbow 42">
          <a:extLst>
            <a:ext uri="{FF2B5EF4-FFF2-40B4-BE49-F238E27FC236}">
              <a16:creationId xmlns:a16="http://schemas.microsoft.com/office/drawing/2014/main" id="{28F569C3-6D5E-4667-AF4B-95501D36905B}"/>
            </a:ext>
          </a:extLst>
        </xdr:cNvPr>
        <xdr:cNvCxnSpPr>
          <a:cxnSpLocks/>
          <a:stCxn id="15" idx="3"/>
          <a:endCxn id="235" idx="2"/>
        </xdr:cNvCxnSpPr>
      </xdr:nvCxnSpPr>
      <xdr:spPr>
        <a:xfrm>
          <a:off x="7541081" y="11911695"/>
          <a:ext cx="351063" cy="1904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125187</xdr:colOff>
      <xdr:row>65</xdr:row>
      <xdr:rowOff>46266</xdr:rowOff>
    </xdr:from>
    <xdr:to>
      <xdr:col>13</xdr:col>
      <xdr:colOff>568778</xdr:colOff>
      <xdr:row>67</xdr:row>
      <xdr:rowOff>174173</xdr:rowOff>
    </xdr:to>
    <xdr:cxnSp macro="">
      <xdr:nvCxnSpPr>
        <xdr:cNvPr id="240" name="Connector: Elbow 239">
          <a:extLst>
            <a:ext uri="{FF2B5EF4-FFF2-40B4-BE49-F238E27FC236}">
              <a16:creationId xmlns:a16="http://schemas.microsoft.com/office/drawing/2014/main" id="{7E77945B-A5EE-42D7-B3A9-7D01616AFFA1}"/>
            </a:ext>
          </a:extLst>
        </xdr:cNvPr>
        <xdr:cNvCxnSpPr>
          <a:stCxn id="235" idx="0"/>
          <a:endCxn id="233" idx="1"/>
        </xdr:cNvCxnSpPr>
      </xdr:nvCxnSpPr>
      <xdr:spPr>
        <a:xfrm rot="5400000" flipH="1" flipV="1">
          <a:off x="8017329" y="11318424"/>
          <a:ext cx="508907" cy="44359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125187</xdr:colOff>
      <xdr:row>69</xdr:row>
      <xdr:rowOff>65313</xdr:rowOff>
    </xdr:from>
    <xdr:to>
      <xdr:col>14</xdr:col>
      <xdr:colOff>13606</xdr:colOff>
      <xdr:row>72</xdr:row>
      <xdr:rowOff>171448</xdr:rowOff>
    </xdr:to>
    <xdr:cxnSp macro="">
      <xdr:nvCxnSpPr>
        <xdr:cNvPr id="243" name="Connector: Elbow 242">
          <a:extLst>
            <a:ext uri="{FF2B5EF4-FFF2-40B4-BE49-F238E27FC236}">
              <a16:creationId xmlns:a16="http://schemas.microsoft.com/office/drawing/2014/main" id="{9D5BF29C-15AD-47F0-9DDB-6B8F31E0448F}"/>
            </a:ext>
          </a:extLst>
        </xdr:cNvPr>
        <xdr:cNvCxnSpPr>
          <a:stCxn id="235" idx="4"/>
          <a:endCxn id="234" idx="1"/>
        </xdr:cNvCxnSpPr>
      </xdr:nvCxnSpPr>
      <xdr:spPr>
        <a:xfrm rot="16200000" flipH="1">
          <a:off x="7960179" y="13299621"/>
          <a:ext cx="677635" cy="49801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48984</xdr:colOff>
      <xdr:row>77</xdr:row>
      <xdr:rowOff>46262</xdr:rowOff>
    </xdr:from>
    <xdr:to>
      <xdr:col>15</xdr:col>
      <xdr:colOff>288470</xdr:colOff>
      <xdr:row>80</xdr:row>
      <xdr:rowOff>2720</xdr:rowOff>
    </xdr:to>
    <xdr:sp macro="" textlink="">
      <xdr:nvSpPr>
        <xdr:cNvPr id="246" name="Rectangle: Rounded Corners 245">
          <a:extLst>
            <a:ext uri="{FF2B5EF4-FFF2-40B4-BE49-F238E27FC236}">
              <a16:creationId xmlns:a16="http://schemas.microsoft.com/office/drawing/2014/main" id="{1A1CE8A3-2305-41F2-ACA7-B09EFE0B82F0}"/>
            </a:ext>
          </a:extLst>
        </xdr:cNvPr>
        <xdr:cNvSpPr/>
      </xdr:nvSpPr>
      <xdr:spPr>
        <a:xfrm>
          <a:off x="8583384" y="14714762"/>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Preterm</a:t>
          </a:r>
        </a:p>
      </xdr:txBody>
    </xdr:sp>
    <xdr:clientData/>
  </xdr:twoCellAnchor>
  <xdr:twoCellAnchor>
    <xdr:from>
      <xdr:col>14</xdr:col>
      <xdr:colOff>62592</xdr:colOff>
      <xdr:row>98</xdr:row>
      <xdr:rowOff>130627</xdr:rowOff>
    </xdr:from>
    <xdr:to>
      <xdr:col>15</xdr:col>
      <xdr:colOff>302078</xdr:colOff>
      <xdr:row>101</xdr:row>
      <xdr:rowOff>87084</xdr:rowOff>
    </xdr:to>
    <xdr:sp macro="" textlink="">
      <xdr:nvSpPr>
        <xdr:cNvPr id="252" name="Rectangle: Rounded Corners 251">
          <a:extLst>
            <a:ext uri="{FF2B5EF4-FFF2-40B4-BE49-F238E27FC236}">
              <a16:creationId xmlns:a16="http://schemas.microsoft.com/office/drawing/2014/main" id="{2B578E6C-655E-4F9F-A19B-7653DE7425A2}"/>
            </a:ext>
          </a:extLst>
        </xdr:cNvPr>
        <xdr:cNvSpPr/>
      </xdr:nvSpPr>
      <xdr:spPr>
        <a:xfrm>
          <a:off x="8596992" y="17656627"/>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b="1">
              <a:solidFill>
                <a:sysClr val="windowText" lastClr="000000"/>
              </a:solidFill>
            </a:rPr>
            <a:t>Preterm</a:t>
          </a:r>
        </a:p>
      </xdr:txBody>
    </xdr:sp>
    <xdr:clientData/>
  </xdr:twoCellAnchor>
  <xdr:twoCellAnchor>
    <xdr:from>
      <xdr:col>14</xdr:col>
      <xdr:colOff>76198</xdr:colOff>
      <xdr:row>87</xdr:row>
      <xdr:rowOff>43543</xdr:rowOff>
    </xdr:from>
    <xdr:to>
      <xdr:col>15</xdr:col>
      <xdr:colOff>315684</xdr:colOff>
      <xdr:row>90</xdr:row>
      <xdr:rowOff>0</xdr:rowOff>
    </xdr:to>
    <xdr:sp macro="" textlink="">
      <xdr:nvSpPr>
        <xdr:cNvPr id="254" name="Rectangle: Rounded Corners 253">
          <a:extLst>
            <a:ext uri="{FF2B5EF4-FFF2-40B4-BE49-F238E27FC236}">
              <a16:creationId xmlns:a16="http://schemas.microsoft.com/office/drawing/2014/main" id="{9278F6C8-1264-43FB-B652-70A54284156F}"/>
            </a:ext>
          </a:extLst>
        </xdr:cNvPr>
        <xdr:cNvSpPr/>
      </xdr:nvSpPr>
      <xdr:spPr>
        <a:xfrm>
          <a:off x="8610598" y="16617043"/>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14</xdr:col>
      <xdr:colOff>43542</xdr:colOff>
      <xdr:row>109</xdr:row>
      <xdr:rowOff>163284</xdr:rowOff>
    </xdr:from>
    <xdr:to>
      <xdr:col>15</xdr:col>
      <xdr:colOff>283028</xdr:colOff>
      <xdr:row>112</xdr:row>
      <xdr:rowOff>119741</xdr:rowOff>
    </xdr:to>
    <xdr:sp macro="" textlink="">
      <xdr:nvSpPr>
        <xdr:cNvPr id="255" name="Rectangle: Rounded Corners 254">
          <a:extLst>
            <a:ext uri="{FF2B5EF4-FFF2-40B4-BE49-F238E27FC236}">
              <a16:creationId xmlns:a16="http://schemas.microsoft.com/office/drawing/2014/main" id="{44560A3B-87B5-45E3-BFBC-3587BF90650A}"/>
            </a:ext>
          </a:extLst>
        </xdr:cNvPr>
        <xdr:cNvSpPr/>
      </xdr:nvSpPr>
      <xdr:spPr>
        <a:xfrm>
          <a:off x="8577942" y="17558655"/>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Term</a:t>
          </a:r>
        </a:p>
      </xdr:txBody>
    </xdr:sp>
    <xdr:clientData/>
  </xdr:twoCellAnchor>
  <xdr:twoCellAnchor>
    <xdr:from>
      <xdr:col>13</xdr:col>
      <xdr:colOff>144236</xdr:colOff>
      <xdr:row>81</xdr:row>
      <xdr:rowOff>40822</xdr:rowOff>
    </xdr:from>
    <xdr:to>
      <xdr:col>13</xdr:col>
      <xdr:colOff>459921</xdr:colOff>
      <xdr:row>82</xdr:row>
      <xdr:rowOff>117022</xdr:rowOff>
    </xdr:to>
    <xdr:sp macro="" textlink="">
      <xdr:nvSpPr>
        <xdr:cNvPr id="256" name="Oval 255">
          <a:extLst>
            <a:ext uri="{FF2B5EF4-FFF2-40B4-BE49-F238E27FC236}">
              <a16:creationId xmlns:a16="http://schemas.microsoft.com/office/drawing/2014/main" id="{F6F42AC4-2221-4B7B-9320-294F8CFA0D03}"/>
            </a:ext>
          </a:extLst>
        </xdr:cNvPr>
        <xdr:cNvSpPr/>
      </xdr:nvSpPr>
      <xdr:spPr>
        <a:xfrm>
          <a:off x="8069036" y="15471322"/>
          <a:ext cx="315685" cy="2667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13</xdr:col>
      <xdr:colOff>119744</xdr:colOff>
      <xdr:row>103</xdr:row>
      <xdr:rowOff>0</xdr:rowOff>
    </xdr:from>
    <xdr:to>
      <xdr:col>13</xdr:col>
      <xdr:colOff>435429</xdr:colOff>
      <xdr:row>104</xdr:row>
      <xdr:rowOff>76200</xdr:rowOff>
    </xdr:to>
    <xdr:sp macro="" textlink="">
      <xdr:nvSpPr>
        <xdr:cNvPr id="257" name="Oval 256">
          <a:extLst>
            <a:ext uri="{FF2B5EF4-FFF2-40B4-BE49-F238E27FC236}">
              <a16:creationId xmlns:a16="http://schemas.microsoft.com/office/drawing/2014/main" id="{65E9ADF0-782C-4D44-8EB1-28E4008BF0FF}"/>
            </a:ext>
          </a:extLst>
        </xdr:cNvPr>
        <xdr:cNvSpPr/>
      </xdr:nvSpPr>
      <xdr:spPr>
        <a:xfrm>
          <a:off x="8044544" y="16285029"/>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12</xdr:col>
      <xdr:colOff>261257</xdr:colOff>
      <xdr:row>81</xdr:row>
      <xdr:rowOff>166007</xdr:rowOff>
    </xdr:from>
    <xdr:to>
      <xdr:col>13</xdr:col>
      <xdr:colOff>144236</xdr:colOff>
      <xdr:row>81</xdr:row>
      <xdr:rowOff>174172</xdr:rowOff>
    </xdr:to>
    <xdr:cxnSp macro="">
      <xdr:nvCxnSpPr>
        <xdr:cNvPr id="258" name="Connector: Elbow 42">
          <a:extLst>
            <a:ext uri="{FF2B5EF4-FFF2-40B4-BE49-F238E27FC236}">
              <a16:creationId xmlns:a16="http://schemas.microsoft.com/office/drawing/2014/main" id="{3706993F-22F0-4DF8-9216-773CBED8E712}"/>
            </a:ext>
          </a:extLst>
        </xdr:cNvPr>
        <xdr:cNvCxnSpPr>
          <a:cxnSpLocks/>
          <a:stCxn id="37" idx="3"/>
          <a:endCxn id="256" idx="2"/>
        </xdr:cNvCxnSpPr>
      </xdr:nvCxnSpPr>
      <xdr:spPr>
        <a:xfrm>
          <a:off x="7576457" y="15596507"/>
          <a:ext cx="492579" cy="816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400051</xdr:colOff>
      <xdr:row>103</xdr:row>
      <xdr:rowOff>133350</xdr:rowOff>
    </xdr:from>
    <xdr:to>
      <xdr:col>13</xdr:col>
      <xdr:colOff>119744</xdr:colOff>
      <xdr:row>103</xdr:row>
      <xdr:rowOff>136073</xdr:rowOff>
    </xdr:to>
    <xdr:cxnSp macro="">
      <xdr:nvCxnSpPr>
        <xdr:cNvPr id="259" name="Connector: Elbow 42">
          <a:extLst>
            <a:ext uri="{FF2B5EF4-FFF2-40B4-BE49-F238E27FC236}">
              <a16:creationId xmlns:a16="http://schemas.microsoft.com/office/drawing/2014/main" id="{3638858D-A0A4-45F1-8BE0-62A679045647}"/>
            </a:ext>
          </a:extLst>
        </xdr:cNvPr>
        <xdr:cNvCxnSpPr>
          <a:cxnSpLocks/>
          <a:stCxn id="36" idx="3"/>
          <a:endCxn id="257" idx="2"/>
        </xdr:cNvCxnSpPr>
      </xdr:nvCxnSpPr>
      <xdr:spPr>
        <a:xfrm flipV="1">
          <a:off x="7715251" y="18611850"/>
          <a:ext cx="329293" cy="272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302080</xdr:colOff>
      <xdr:row>78</xdr:row>
      <xdr:rowOff>119740</xdr:rowOff>
    </xdr:from>
    <xdr:to>
      <xdr:col>14</xdr:col>
      <xdr:colOff>48985</xdr:colOff>
      <xdr:row>81</xdr:row>
      <xdr:rowOff>40821</xdr:rowOff>
    </xdr:to>
    <xdr:cxnSp macro="">
      <xdr:nvCxnSpPr>
        <xdr:cNvPr id="264" name="Connector: Elbow 263">
          <a:extLst>
            <a:ext uri="{FF2B5EF4-FFF2-40B4-BE49-F238E27FC236}">
              <a16:creationId xmlns:a16="http://schemas.microsoft.com/office/drawing/2014/main" id="{351A8B47-FCFE-463E-A2B8-8215FB571260}"/>
            </a:ext>
          </a:extLst>
        </xdr:cNvPr>
        <xdr:cNvCxnSpPr>
          <a:stCxn id="246" idx="1"/>
          <a:endCxn id="256" idx="0"/>
        </xdr:cNvCxnSpPr>
      </xdr:nvCxnSpPr>
      <xdr:spPr>
        <a:xfrm rot="10800000" flipV="1">
          <a:off x="8226880" y="14978740"/>
          <a:ext cx="356505" cy="49258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277588</xdr:colOff>
      <xdr:row>100</xdr:row>
      <xdr:rowOff>13606</xdr:rowOff>
    </xdr:from>
    <xdr:to>
      <xdr:col>14</xdr:col>
      <xdr:colOff>62593</xdr:colOff>
      <xdr:row>103</xdr:row>
      <xdr:rowOff>0</xdr:rowOff>
    </xdr:to>
    <xdr:cxnSp macro="">
      <xdr:nvCxnSpPr>
        <xdr:cNvPr id="267" name="Connector: Elbow 266">
          <a:extLst>
            <a:ext uri="{FF2B5EF4-FFF2-40B4-BE49-F238E27FC236}">
              <a16:creationId xmlns:a16="http://schemas.microsoft.com/office/drawing/2014/main" id="{9EB8DAC0-BBDF-47A9-AA45-933A19A18595}"/>
            </a:ext>
          </a:extLst>
        </xdr:cNvPr>
        <xdr:cNvCxnSpPr>
          <a:stCxn id="252" idx="1"/>
          <a:endCxn id="257" idx="0"/>
        </xdr:cNvCxnSpPr>
      </xdr:nvCxnSpPr>
      <xdr:spPr>
        <a:xfrm rot="10800000" flipV="1">
          <a:off x="8202388" y="17920606"/>
          <a:ext cx="394605" cy="55789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277588</xdr:colOff>
      <xdr:row>104</xdr:row>
      <xdr:rowOff>76200</xdr:rowOff>
    </xdr:from>
    <xdr:to>
      <xdr:col>14</xdr:col>
      <xdr:colOff>43543</xdr:colOff>
      <xdr:row>111</xdr:row>
      <xdr:rowOff>48984</xdr:rowOff>
    </xdr:to>
    <xdr:cxnSp macro="">
      <xdr:nvCxnSpPr>
        <xdr:cNvPr id="270" name="Connector: Elbow 269">
          <a:extLst>
            <a:ext uri="{FF2B5EF4-FFF2-40B4-BE49-F238E27FC236}">
              <a16:creationId xmlns:a16="http://schemas.microsoft.com/office/drawing/2014/main" id="{303DB102-6988-41F2-95B5-6152E0D2C688}"/>
            </a:ext>
          </a:extLst>
        </xdr:cNvPr>
        <xdr:cNvCxnSpPr>
          <a:stCxn id="255" idx="1"/>
          <a:endCxn id="257" idx="4"/>
        </xdr:cNvCxnSpPr>
      </xdr:nvCxnSpPr>
      <xdr:spPr>
        <a:xfrm rot="10800000">
          <a:off x="8202388" y="16546286"/>
          <a:ext cx="375555" cy="126818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302080</xdr:colOff>
      <xdr:row>82</xdr:row>
      <xdr:rowOff>117022</xdr:rowOff>
    </xdr:from>
    <xdr:to>
      <xdr:col>14</xdr:col>
      <xdr:colOff>76199</xdr:colOff>
      <xdr:row>88</xdr:row>
      <xdr:rowOff>117022</xdr:rowOff>
    </xdr:to>
    <xdr:cxnSp macro="">
      <xdr:nvCxnSpPr>
        <xdr:cNvPr id="273" name="Connector: Elbow 272">
          <a:extLst>
            <a:ext uri="{FF2B5EF4-FFF2-40B4-BE49-F238E27FC236}">
              <a16:creationId xmlns:a16="http://schemas.microsoft.com/office/drawing/2014/main" id="{D3481714-5BA7-4ABE-9C6E-1552C3BF6474}"/>
            </a:ext>
          </a:extLst>
        </xdr:cNvPr>
        <xdr:cNvCxnSpPr>
          <a:stCxn id="254" idx="1"/>
          <a:endCxn id="256" idx="4"/>
        </xdr:cNvCxnSpPr>
      </xdr:nvCxnSpPr>
      <xdr:spPr>
        <a:xfrm rot="10800000">
          <a:off x="8226880" y="15738022"/>
          <a:ext cx="383719" cy="114300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487136</xdr:colOff>
      <xdr:row>31</xdr:row>
      <xdr:rowOff>8712</xdr:rowOff>
    </xdr:from>
    <xdr:to>
      <xdr:col>16</xdr:col>
      <xdr:colOff>84365</xdr:colOff>
      <xdr:row>32</xdr:row>
      <xdr:rowOff>70760</xdr:rowOff>
    </xdr:to>
    <xdr:sp macro="" textlink="">
      <xdr:nvSpPr>
        <xdr:cNvPr id="350" name="Isosceles Triangle 349">
          <a:extLst>
            <a:ext uri="{FF2B5EF4-FFF2-40B4-BE49-F238E27FC236}">
              <a16:creationId xmlns:a16="http://schemas.microsoft.com/office/drawing/2014/main" id="{072348B1-EB3E-48B4-9F36-53DC081248F7}"/>
            </a:ext>
          </a:extLst>
        </xdr:cNvPr>
        <xdr:cNvSpPr/>
      </xdr:nvSpPr>
      <xdr:spPr>
        <a:xfrm rot="5400000">
          <a:off x="9608277" y="4794071"/>
          <a:ext cx="25254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149679</xdr:colOff>
      <xdr:row>31</xdr:row>
      <xdr:rowOff>127908</xdr:rowOff>
    </xdr:from>
    <xdr:to>
      <xdr:col>15</xdr:col>
      <xdr:colOff>487137</xdr:colOff>
      <xdr:row>31</xdr:row>
      <xdr:rowOff>134986</xdr:rowOff>
    </xdr:to>
    <xdr:cxnSp macro="">
      <xdr:nvCxnSpPr>
        <xdr:cNvPr id="352" name="Connector: Elbow 351">
          <a:extLst>
            <a:ext uri="{FF2B5EF4-FFF2-40B4-BE49-F238E27FC236}">
              <a16:creationId xmlns:a16="http://schemas.microsoft.com/office/drawing/2014/main" id="{7FD5B8E0-CE75-4A4D-932E-A48923B324C2}"/>
            </a:ext>
          </a:extLst>
        </xdr:cNvPr>
        <xdr:cNvCxnSpPr>
          <a:stCxn id="60" idx="3"/>
          <a:endCxn id="350" idx="3"/>
        </xdr:cNvCxnSpPr>
      </xdr:nvCxnSpPr>
      <xdr:spPr>
        <a:xfrm>
          <a:off x="9293679" y="4890408"/>
          <a:ext cx="337458" cy="707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484503</xdr:colOff>
      <xdr:row>45</xdr:row>
      <xdr:rowOff>99553</xdr:rowOff>
    </xdr:from>
    <xdr:to>
      <xdr:col>16</xdr:col>
      <xdr:colOff>81732</xdr:colOff>
      <xdr:row>46</xdr:row>
      <xdr:rowOff>153980</xdr:rowOff>
    </xdr:to>
    <xdr:sp macro="" textlink="">
      <xdr:nvSpPr>
        <xdr:cNvPr id="356" name="Isosceles Triangle 355">
          <a:extLst>
            <a:ext uri="{FF2B5EF4-FFF2-40B4-BE49-F238E27FC236}">
              <a16:creationId xmlns:a16="http://schemas.microsoft.com/office/drawing/2014/main" id="{88D0E559-1422-47CF-B9F6-DE3DD0605FD4}"/>
            </a:ext>
          </a:extLst>
        </xdr:cNvPr>
        <xdr:cNvSpPr/>
      </xdr:nvSpPr>
      <xdr:spPr>
        <a:xfrm rot="5400000">
          <a:off x="9688727" y="8409039"/>
          <a:ext cx="238782" cy="211745"/>
        </a:xfrm>
        <a:prstGeom prst="triangle">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ZA"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15</xdr:col>
      <xdr:colOff>255813</xdr:colOff>
      <xdr:row>46</xdr:row>
      <xdr:rowOff>34589</xdr:rowOff>
    </xdr:from>
    <xdr:to>
      <xdr:col>15</xdr:col>
      <xdr:colOff>484504</xdr:colOff>
      <xdr:row>46</xdr:row>
      <xdr:rowOff>35729</xdr:rowOff>
    </xdr:to>
    <xdr:cxnSp macro="">
      <xdr:nvCxnSpPr>
        <xdr:cNvPr id="357" name="Connector: Elbow 351">
          <a:extLst>
            <a:ext uri="{FF2B5EF4-FFF2-40B4-BE49-F238E27FC236}">
              <a16:creationId xmlns:a16="http://schemas.microsoft.com/office/drawing/2014/main" id="{AC17E49B-1A25-4360-83E0-B4D670396D2B}"/>
            </a:ext>
          </a:extLst>
        </xdr:cNvPr>
        <xdr:cNvCxnSpPr>
          <a:stCxn id="209" idx="3"/>
          <a:endCxn id="356" idx="3"/>
        </xdr:cNvCxnSpPr>
      </xdr:nvCxnSpPr>
      <xdr:spPr>
        <a:xfrm flipV="1">
          <a:off x="9473555" y="8514912"/>
          <a:ext cx="228691" cy="1140"/>
        </a:xfrm>
        <a:prstGeom prst="straightConnector1">
          <a:avLst/>
        </a:prstGeom>
        <a:noFill/>
        <a:ln w="6350" cap="flat" cmpd="sng" algn="ctr">
          <a:solidFill>
            <a:srgbClr val="4472C4"/>
          </a:solidFill>
          <a:prstDash val="solid"/>
          <a:miter lim="800000"/>
        </a:ln>
        <a:effectLst/>
      </xdr:spPr>
    </xdr:cxnSp>
    <xdr:clientData/>
  </xdr:twoCellAnchor>
  <xdr:twoCellAnchor>
    <xdr:from>
      <xdr:col>15</xdr:col>
      <xdr:colOff>538843</xdr:colOff>
      <xdr:row>59</xdr:row>
      <xdr:rowOff>108857</xdr:rowOff>
    </xdr:from>
    <xdr:to>
      <xdr:col>16</xdr:col>
      <xdr:colOff>136072</xdr:colOff>
      <xdr:row>60</xdr:row>
      <xdr:rowOff>163285</xdr:rowOff>
    </xdr:to>
    <xdr:sp macro="" textlink="">
      <xdr:nvSpPr>
        <xdr:cNvPr id="360" name="Isosceles Triangle 359">
          <a:extLst>
            <a:ext uri="{FF2B5EF4-FFF2-40B4-BE49-F238E27FC236}">
              <a16:creationId xmlns:a16="http://schemas.microsoft.com/office/drawing/2014/main" id="{67A04F5B-EAC3-4BEC-8544-C6AEE5DAB2FE}"/>
            </a:ext>
          </a:extLst>
        </xdr:cNvPr>
        <xdr:cNvSpPr/>
      </xdr:nvSpPr>
      <xdr:spPr>
        <a:xfrm rot="5400000">
          <a:off x="9666515" y="82676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250372</xdr:colOff>
      <xdr:row>60</xdr:row>
      <xdr:rowOff>40821</xdr:rowOff>
    </xdr:from>
    <xdr:to>
      <xdr:col>15</xdr:col>
      <xdr:colOff>538844</xdr:colOff>
      <xdr:row>60</xdr:row>
      <xdr:rowOff>46264</xdr:rowOff>
    </xdr:to>
    <xdr:cxnSp macro="">
      <xdr:nvCxnSpPr>
        <xdr:cNvPr id="361" name="Connector: Elbow 351">
          <a:extLst>
            <a:ext uri="{FF2B5EF4-FFF2-40B4-BE49-F238E27FC236}">
              <a16:creationId xmlns:a16="http://schemas.microsoft.com/office/drawing/2014/main" id="{741245D7-DAEA-4D55-B7BA-5F29CEB46245}"/>
            </a:ext>
          </a:extLst>
        </xdr:cNvPr>
        <xdr:cNvCxnSpPr>
          <a:stCxn id="221" idx="3"/>
          <a:endCxn id="360" idx="3"/>
        </xdr:cNvCxnSpPr>
      </xdr:nvCxnSpPr>
      <xdr:spPr>
        <a:xfrm flipV="1">
          <a:off x="9394372" y="10327821"/>
          <a:ext cx="288472" cy="544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508906</xdr:colOff>
      <xdr:row>72</xdr:row>
      <xdr:rowOff>73479</xdr:rowOff>
    </xdr:from>
    <xdr:to>
      <xdr:col>16</xdr:col>
      <xdr:colOff>106135</xdr:colOff>
      <xdr:row>73</xdr:row>
      <xdr:rowOff>127907</xdr:rowOff>
    </xdr:to>
    <xdr:sp macro="" textlink="">
      <xdr:nvSpPr>
        <xdr:cNvPr id="375" name="Isosceles Triangle 374">
          <a:extLst>
            <a:ext uri="{FF2B5EF4-FFF2-40B4-BE49-F238E27FC236}">
              <a16:creationId xmlns:a16="http://schemas.microsoft.com/office/drawing/2014/main" id="{7BACD836-B3CE-4947-AAC7-89728032BE7C}"/>
            </a:ext>
          </a:extLst>
        </xdr:cNvPr>
        <xdr:cNvSpPr/>
      </xdr:nvSpPr>
      <xdr:spPr>
        <a:xfrm rot="5400000">
          <a:off x="9633857" y="13808528"/>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253092</xdr:colOff>
      <xdr:row>72</xdr:row>
      <xdr:rowOff>171449</xdr:rowOff>
    </xdr:from>
    <xdr:to>
      <xdr:col>15</xdr:col>
      <xdr:colOff>508907</xdr:colOff>
      <xdr:row>73</xdr:row>
      <xdr:rowOff>5443</xdr:rowOff>
    </xdr:to>
    <xdr:cxnSp macro="">
      <xdr:nvCxnSpPr>
        <xdr:cNvPr id="376" name="Connector: Elbow 351">
          <a:extLst>
            <a:ext uri="{FF2B5EF4-FFF2-40B4-BE49-F238E27FC236}">
              <a16:creationId xmlns:a16="http://schemas.microsoft.com/office/drawing/2014/main" id="{397FC12C-ADAD-4964-8466-554FA56BF6EC}"/>
            </a:ext>
          </a:extLst>
        </xdr:cNvPr>
        <xdr:cNvCxnSpPr>
          <a:stCxn id="234" idx="3"/>
          <a:endCxn id="375" idx="3"/>
        </xdr:cNvCxnSpPr>
      </xdr:nvCxnSpPr>
      <xdr:spPr>
        <a:xfrm>
          <a:off x="9397092" y="13887449"/>
          <a:ext cx="255815" cy="2449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593271</xdr:colOff>
      <xdr:row>87</xdr:row>
      <xdr:rowOff>174524</xdr:rowOff>
    </xdr:from>
    <xdr:to>
      <xdr:col>16</xdr:col>
      <xdr:colOff>190500</xdr:colOff>
      <xdr:row>89</xdr:row>
      <xdr:rowOff>44597</xdr:rowOff>
    </xdr:to>
    <xdr:sp macro="" textlink="">
      <xdr:nvSpPr>
        <xdr:cNvPr id="379" name="Isosceles Triangle 378">
          <a:extLst>
            <a:ext uri="{FF2B5EF4-FFF2-40B4-BE49-F238E27FC236}">
              <a16:creationId xmlns:a16="http://schemas.microsoft.com/office/drawing/2014/main" id="{B4E8683A-652F-4FD3-89E0-DA1066B20946}"/>
            </a:ext>
          </a:extLst>
        </xdr:cNvPr>
        <xdr:cNvSpPr/>
      </xdr:nvSpPr>
      <xdr:spPr>
        <a:xfrm rot="5400000">
          <a:off x="9797494" y="16226914"/>
          <a:ext cx="238783"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315684</xdr:colOff>
      <xdr:row>88</xdr:row>
      <xdr:rowOff>109561</xdr:rowOff>
    </xdr:from>
    <xdr:to>
      <xdr:col>15</xdr:col>
      <xdr:colOff>593271</xdr:colOff>
      <xdr:row>88</xdr:row>
      <xdr:rowOff>113949</xdr:rowOff>
    </xdr:to>
    <xdr:cxnSp macro="">
      <xdr:nvCxnSpPr>
        <xdr:cNvPr id="380" name="Connector: Elbow 351">
          <a:extLst>
            <a:ext uri="{FF2B5EF4-FFF2-40B4-BE49-F238E27FC236}">
              <a16:creationId xmlns:a16="http://schemas.microsoft.com/office/drawing/2014/main" id="{E4C9249E-C4B6-47D2-8F04-007F78692730}"/>
            </a:ext>
          </a:extLst>
        </xdr:cNvPr>
        <xdr:cNvCxnSpPr>
          <a:stCxn id="254" idx="3"/>
          <a:endCxn id="379" idx="3"/>
        </xdr:cNvCxnSpPr>
      </xdr:nvCxnSpPr>
      <xdr:spPr>
        <a:xfrm flipV="1">
          <a:off x="9533426" y="16332787"/>
          <a:ext cx="277587" cy="438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81643</xdr:colOff>
      <xdr:row>110</xdr:row>
      <xdr:rowOff>108857</xdr:rowOff>
    </xdr:from>
    <xdr:to>
      <xdr:col>16</xdr:col>
      <xdr:colOff>288472</xdr:colOff>
      <xdr:row>111</xdr:row>
      <xdr:rowOff>163285</xdr:rowOff>
    </xdr:to>
    <xdr:sp macro="" textlink="">
      <xdr:nvSpPr>
        <xdr:cNvPr id="383" name="Isosceles Triangle 382">
          <a:extLst>
            <a:ext uri="{FF2B5EF4-FFF2-40B4-BE49-F238E27FC236}">
              <a16:creationId xmlns:a16="http://schemas.microsoft.com/office/drawing/2014/main" id="{177657FA-4085-431F-8982-8424B4F1C937}"/>
            </a:ext>
          </a:extLst>
        </xdr:cNvPr>
        <xdr:cNvSpPr/>
      </xdr:nvSpPr>
      <xdr:spPr>
        <a:xfrm rot="5400000">
          <a:off x="9818915" y="17705614"/>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283028</xdr:colOff>
      <xdr:row>111</xdr:row>
      <xdr:rowOff>43543</xdr:rowOff>
    </xdr:from>
    <xdr:to>
      <xdr:col>16</xdr:col>
      <xdr:colOff>81643</xdr:colOff>
      <xdr:row>111</xdr:row>
      <xdr:rowOff>48984</xdr:rowOff>
    </xdr:to>
    <xdr:cxnSp macro="">
      <xdr:nvCxnSpPr>
        <xdr:cNvPr id="384" name="Connector: Elbow 351">
          <a:extLst>
            <a:ext uri="{FF2B5EF4-FFF2-40B4-BE49-F238E27FC236}">
              <a16:creationId xmlns:a16="http://schemas.microsoft.com/office/drawing/2014/main" id="{A01CC076-19B2-46C7-AF8E-DCF7038B054E}"/>
            </a:ext>
          </a:extLst>
        </xdr:cNvPr>
        <xdr:cNvCxnSpPr>
          <a:stCxn id="255" idx="3"/>
          <a:endCxn id="383" idx="3"/>
        </xdr:cNvCxnSpPr>
      </xdr:nvCxnSpPr>
      <xdr:spPr>
        <a:xfrm flipV="1">
          <a:off x="9427028" y="17809029"/>
          <a:ext cx="408215" cy="544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370114</xdr:colOff>
      <xdr:row>9</xdr:row>
      <xdr:rowOff>19050</xdr:rowOff>
    </xdr:from>
    <xdr:to>
      <xdr:col>19</xdr:col>
      <xdr:colOff>0</xdr:colOff>
      <xdr:row>11</xdr:row>
      <xdr:rowOff>160564</xdr:rowOff>
    </xdr:to>
    <xdr:sp macro="" textlink="">
      <xdr:nvSpPr>
        <xdr:cNvPr id="387" name="Rectangle: Rounded Corners 386">
          <a:extLst>
            <a:ext uri="{FF2B5EF4-FFF2-40B4-BE49-F238E27FC236}">
              <a16:creationId xmlns:a16="http://schemas.microsoft.com/office/drawing/2014/main" id="{5983F843-F266-4930-A98B-2045F13146A0}"/>
            </a:ext>
          </a:extLst>
        </xdr:cNvPr>
        <xdr:cNvSpPr/>
      </xdr:nvSpPr>
      <xdr:spPr>
        <a:xfrm>
          <a:off x="10733314" y="1733550"/>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467032</xdr:colOff>
      <xdr:row>18</xdr:row>
      <xdr:rowOff>26687</xdr:rowOff>
    </xdr:from>
    <xdr:to>
      <xdr:col>19</xdr:col>
      <xdr:colOff>96918</xdr:colOff>
      <xdr:row>20</xdr:row>
      <xdr:rowOff>167500</xdr:rowOff>
    </xdr:to>
    <xdr:sp macro="" textlink="">
      <xdr:nvSpPr>
        <xdr:cNvPr id="388" name="Rectangle: Rounded Corners 387">
          <a:extLst>
            <a:ext uri="{FF2B5EF4-FFF2-40B4-BE49-F238E27FC236}">
              <a16:creationId xmlns:a16="http://schemas.microsoft.com/office/drawing/2014/main" id="{E570C361-B679-44D9-9027-E9A2A32A9235}"/>
            </a:ext>
          </a:extLst>
        </xdr:cNvPr>
        <xdr:cNvSpPr/>
      </xdr:nvSpPr>
      <xdr:spPr>
        <a:xfrm>
          <a:off x="10913806" y="3345074"/>
          <a:ext cx="858918" cy="50952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334736</xdr:colOff>
      <xdr:row>23</xdr:row>
      <xdr:rowOff>185057</xdr:rowOff>
    </xdr:from>
    <xdr:to>
      <xdr:col>18</xdr:col>
      <xdr:colOff>574222</xdr:colOff>
      <xdr:row>26</xdr:row>
      <xdr:rowOff>136072</xdr:rowOff>
    </xdr:to>
    <xdr:sp macro="" textlink="">
      <xdr:nvSpPr>
        <xdr:cNvPr id="389" name="Rectangle: Rounded Corners 388">
          <a:extLst>
            <a:ext uri="{FF2B5EF4-FFF2-40B4-BE49-F238E27FC236}">
              <a16:creationId xmlns:a16="http://schemas.microsoft.com/office/drawing/2014/main" id="{F5BF78E5-26E0-4C0F-A4D0-9AA508D5EF33}"/>
            </a:ext>
          </a:extLst>
        </xdr:cNvPr>
        <xdr:cNvSpPr/>
      </xdr:nvSpPr>
      <xdr:spPr>
        <a:xfrm>
          <a:off x="10697936" y="4566557"/>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32658</xdr:colOff>
      <xdr:row>23</xdr:row>
      <xdr:rowOff>21771</xdr:rowOff>
    </xdr:from>
    <xdr:to>
      <xdr:col>16</xdr:col>
      <xdr:colOff>348343</xdr:colOff>
      <xdr:row>24</xdr:row>
      <xdr:rowOff>97970</xdr:rowOff>
    </xdr:to>
    <xdr:sp macro="" textlink="">
      <xdr:nvSpPr>
        <xdr:cNvPr id="390" name="Oval 389">
          <a:extLst>
            <a:ext uri="{FF2B5EF4-FFF2-40B4-BE49-F238E27FC236}">
              <a16:creationId xmlns:a16="http://schemas.microsoft.com/office/drawing/2014/main" id="{8625EC4C-77BA-4F5E-9849-D65AF8A1FBB3}"/>
            </a:ext>
          </a:extLst>
        </xdr:cNvPr>
        <xdr:cNvSpPr/>
      </xdr:nvSpPr>
      <xdr:spPr>
        <a:xfrm>
          <a:off x="9786258" y="4403271"/>
          <a:ext cx="315685" cy="266699"/>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190500</xdr:colOff>
      <xdr:row>23</xdr:row>
      <xdr:rowOff>155121</xdr:rowOff>
    </xdr:from>
    <xdr:to>
      <xdr:col>16</xdr:col>
      <xdr:colOff>32658</xdr:colOff>
      <xdr:row>23</xdr:row>
      <xdr:rowOff>174172</xdr:rowOff>
    </xdr:to>
    <xdr:cxnSp macro="">
      <xdr:nvCxnSpPr>
        <xdr:cNvPr id="391" name="Connector: Elbow 42">
          <a:extLst>
            <a:ext uri="{FF2B5EF4-FFF2-40B4-BE49-F238E27FC236}">
              <a16:creationId xmlns:a16="http://schemas.microsoft.com/office/drawing/2014/main" id="{37D1953A-6EE8-4E90-BA23-BD8F154E1493}"/>
            </a:ext>
          </a:extLst>
        </xdr:cNvPr>
        <xdr:cNvCxnSpPr>
          <a:cxnSpLocks/>
          <a:stCxn id="59" idx="3"/>
          <a:endCxn id="390" idx="2"/>
        </xdr:cNvCxnSpPr>
      </xdr:nvCxnSpPr>
      <xdr:spPr>
        <a:xfrm flipV="1">
          <a:off x="9334500" y="4536621"/>
          <a:ext cx="451758" cy="1905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190500</xdr:colOff>
      <xdr:row>10</xdr:row>
      <xdr:rowOff>89808</xdr:rowOff>
    </xdr:from>
    <xdr:to>
      <xdr:col>17</xdr:col>
      <xdr:colOff>370113</xdr:colOff>
      <xdr:row>23</xdr:row>
      <xdr:rowOff>21772</xdr:rowOff>
    </xdr:to>
    <xdr:cxnSp macro="">
      <xdr:nvCxnSpPr>
        <xdr:cNvPr id="394" name="Connector: Elbow 393">
          <a:extLst>
            <a:ext uri="{FF2B5EF4-FFF2-40B4-BE49-F238E27FC236}">
              <a16:creationId xmlns:a16="http://schemas.microsoft.com/office/drawing/2014/main" id="{FD83D120-34CF-48AE-BEAD-CBEDD2156786}"/>
            </a:ext>
          </a:extLst>
        </xdr:cNvPr>
        <xdr:cNvCxnSpPr>
          <a:stCxn id="390" idx="0"/>
          <a:endCxn id="387" idx="1"/>
        </xdr:cNvCxnSpPr>
      </xdr:nvCxnSpPr>
      <xdr:spPr>
        <a:xfrm rot="5400000" flipH="1" flipV="1">
          <a:off x="9134475" y="2804433"/>
          <a:ext cx="2408464" cy="78921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348343</xdr:colOff>
      <xdr:row>19</xdr:row>
      <xdr:rowOff>97094</xdr:rowOff>
    </xdr:from>
    <xdr:to>
      <xdr:col>17</xdr:col>
      <xdr:colOff>467032</xdr:colOff>
      <xdr:row>23</xdr:row>
      <xdr:rowOff>152048</xdr:rowOff>
    </xdr:to>
    <xdr:cxnSp macro="">
      <xdr:nvCxnSpPr>
        <xdr:cNvPr id="397" name="Connector: Elbow 396">
          <a:extLst>
            <a:ext uri="{FF2B5EF4-FFF2-40B4-BE49-F238E27FC236}">
              <a16:creationId xmlns:a16="http://schemas.microsoft.com/office/drawing/2014/main" id="{F5DE8FD3-9270-43F9-9C07-7CCE0B3E721D}"/>
            </a:ext>
          </a:extLst>
        </xdr:cNvPr>
        <xdr:cNvCxnSpPr>
          <a:stCxn id="390" idx="6"/>
          <a:endCxn id="388" idx="1"/>
        </xdr:cNvCxnSpPr>
      </xdr:nvCxnSpPr>
      <xdr:spPr>
        <a:xfrm flipV="1">
          <a:off x="10180601" y="3599836"/>
          <a:ext cx="733205" cy="79237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190501</xdr:colOff>
      <xdr:row>24</xdr:row>
      <xdr:rowOff>97969</xdr:rowOff>
    </xdr:from>
    <xdr:to>
      <xdr:col>17</xdr:col>
      <xdr:colOff>334736</xdr:colOff>
      <xdr:row>25</xdr:row>
      <xdr:rowOff>65314</xdr:rowOff>
    </xdr:to>
    <xdr:cxnSp macro="">
      <xdr:nvCxnSpPr>
        <xdr:cNvPr id="400" name="Connector: Elbow 399">
          <a:extLst>
            <a:ext uri="{FF2B5EF4-FFF2-40B4-BE49-F238E27FC236}">
              <a16:creationId xmlns:a16="http://schemas.microsoft.com/office/drawing/2014/main" id="{8AF9D9B7-751E-4AF5-9331-0C1F93C2A45F}"/>
            </a:ext>
          </a:extLst>
        </xdr:cNvPr>
        <xdr:cNvCxnSpPr>
          <a:stCxn id="390" idx="4"/>
          <a:endCxn id="389" idx="1"/>
        </xdr:cNvCxnSpPr>
      </xdr:nvCxnSpPr>
      <xdr:spPr>
        <a:xfrm rot="16200000" flipH="1">
          <a:off x="10242096" y="4371974"/>
          <a:ext cx="157845" cy="75383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332014</xdr:colOff>
      <xdr:row>28</xdr:row>
      <xdr:rowOff>182335</xdr:rowOff>
    </xdr:from>
    <xdr:to>
      <xdr:col>18</xdr:col>
      <xdr:colOff>571500</xdr:colOff>
      <xdr:row>31</xdr:row>
      <xdr:rowOff>138792</xdr:rowOff>
    </xdr:to>
    <xdr:sp macro="" textlink="">
      <xdr:nvSpPr>
        <xdr:cNvPr id="404" name="Rectangle: Rounded Corners 403">
          <a:extLst>
            <a:ext uri="{FF2B5EF4-FFF2-40B4-BE49-F238E27FC236}">
              <a16:creationId xmlns:a16="http://schemas.microsoft.com/office/drawing/2014/main" id="{D343F2BC-DCAA-479C-853F-FDE19F2D6926}"/>
            </a:ext>
          </a:extLst>
        </xdr:cNvPr>
        <xdr:cNvSpPr/>
      </xdr:nvSpPr>
      <xdr:spPr>
        <a:xfrm>
          <a:off x="10695214" y="5516335"/>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310243</xdr:colOff>
      <xdr:row>34</xdr:row>
      <xdr:rowOff>57149</xdr:rowOff>
    </xdr:from>
    <xdr:to>
      <xdr:col>18</xdr:col>
      <xdr:colOff>549729</xdr:colOff>
      <xdr:row>37</xdr:row>
      <xdr:rowOff>13607</xdr:rowOff>
    </xdr:to>
    <xdr:sp macro="" textlink="">
      <xdr:nvSpPr>
        <xdr:cNvPr id="405" name="Rectangle: Rounded Corners 404">
          <a:extLst>
            <a:ext uri="{FF2B5EF4-FFF2-40B4-BE49-F238E27FC236}">
              <a16:creationId xmlns:a16="http://schemas.microsoft.com/office/drawing/2014/main" id="{473902E6-9352-4346-87F0-B6FB04DCEAC3}"/>
            </a:ext>
          </a:extLst>
        </xdr:cNvPr>
        <xdr:cNvSpPr/>
      </xdr:nvSpPr>
      <xdr:spPr>
        <a:xfrm>
          <a:off x="10673443" y="6534149"/>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367393</xdr:colOff>
      <xdr:row>40</xdr:row>
      <xdr:rowOff>73479</xdr:rowOff>
    </xdr:from>
    <xdr:to>
      <xdr:col>18</xdr:col>
      <xdr:colOff>606879</xdr:colOff>
      <xdr:row>43</xdr:row>
      <xdr:rowOff>29937</xdr:rowOff>
    </xdr:to>
    <xdr:sp macro="" textlink="">
      <xdr:nvSpPr>
        <xdr:cNvPr id="406" name="Rectangle: Rounded Corners 405">
          <a:extLst>
            <a:ext uri="{FF2B5EF4-FFF2-40B4-BE49-F238E27FC236}">
              <a16:creationId xmlns:a16="http://schemas.microsoft.com/office/drawing/2014/main" id="{87C1D9BF-BA44-4507-8CD2-121AFF7E3B9B}"/>
            </a:ext>
          </a:extLst>
        </xdr:cNvPr>
        <xdr:cNvSpPr/>
      </xdr:nvSpPr>
      <xdr:spPr>
        <a:xfrm>
          <a:off x="10730593" y="6550479"/>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65315</xdr:colOff>
      <xdr:row>37</xdr:row>
      <xdr:rowOff>32657</xdr:rowOff>
    </xdr:from>
    <xdr:to>
      <xdr:col>16</xdr:col>
      <xdr:colOff>381000</xdr:colOff>
      <xdr:row>38</xdr:row>
      <xdr:rowOff>108857</xdr:rowOff>
    </xdr:to>
    <xdr:sp macro="" textlink="">
      <xdr:nvSpPr>
        <xdr:cNvPr id="407" name="Oval 406">
          <a:extLst>
            <a:ext uri="{FF2B5EF4-FFF2-40B4-BE49-F238E27FC236}">
              <a16:creationId xmlns:a16="http://schemas.microsoft.com/office/drawing/2014/main" id="{C77595A5-9B2A-4CCC-956E-7BF73057B6AE}"/>
            </a:ext>
          </a:extLst>
        </xdr:cNvPr>
        <xdr:cNvSpPr/>
      </xdr:nvSpPr>
      <xdr:spPr>
        <a:xfrm>
          <a:off x="9818915" y="4103914"/>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261257</xdr:colOff>
      <xdr:row>37</xdr:row>
      <xdr:rowOff>163286</xdr:rowOff>
    </xdr:from>
    <xdr:to>
      <xdr:col>16</xdr:col>
      <xdr:colOff>65315</xdr:colOff>
      <xdr:row>37</xdr:row>
      <xdr:rowOff>179615</xdr:rowOff>
    </xdr:to>
    <xdr:cxnSp macro="">
      <xdr:nvCxnSpPr>
        <xdr:cNvPr id="408" name="Connector: Elbow 42">
          <a:extLst>
            <a:ext uri="{FF2B5EF4-FFF2-40B4-BE49-F238E27FC236}">
              <a16:creationId xmlns:a16="http://schemas.microsoft.com/office/drawing/2014/main" id="{F1F77022-3261-4339-9491-7FC7BFED1DB9}"/>
            </a:ext>
          </a:extLst>
        </xdr:cNvPr>
        <xdr:cNvCxnSpPr>
          <a:cxnSpLocks/>
          <a:stCxn id="208" idx="3"/>
          <a:endCxn id="407" idx="2"/>
        </xdr:cNvCxnSpPr>
      </xdr:nvCxnSpPr>
      <xdr:spPr>
        <a:xfrm flipV="1">
          <a:off x="9405257" y="4234543"/>
          <a:ext cx="413658" cy="1632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223159</xdr:colOff>
      <xdr:row>30</xdr:row>
      <xdr:rowOff>65314</xdr:rowOff>
    </xdr:from>
    <xdr:to>
      <xdr:col>17</xdr:col>
      <xdr:colOff>332015</xdr:colOff>
      <xdr:row>37</xdr:row>
      <xdr:rowOff>32657</xdr:rowOff>
    </xdr:to>
    <xdr:cxnSp macro="">
      <xdr:nvCxnSpPr>
        <xdr:cNvPr id="411" name="Connector: Elbow 410">
          <a:extLst>
            <a:ext uri="{FF2B5EF4-FFF2-40B4-BE49-F238E27FC236}">
              <a16:creationId xmlns:a16="http://schemas.microsoft.com/office/drawing/2014/main" id="{FDD1A73E-2328-4609-9776-CDF09CF2327D}"/>
            </a:ext>
          </a:extLst>
        </xdr:cNvPr>
        <xdr:cNvCxnSpPr>
          <a:stCxn id="407" idx="0"/>
          <a:endCxn id="404" idx="1"/>
        </xdr:cNvCxnSpPr>
      </xdr:nvCxnSpPr>
      <xdr:spPr>
        <a:xfrm rot="5400000" flipH="1" flipV="1">
          <a:off x="9685565" y="6071508"/>
          <a:ext cx="1300843" cy="71845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381000</xdr:colOff>
      <xdr:row>35</xdr:row>
      <xdr:rowOff>130628</xdr:rowOff>
    </xdr:from>
    <xdr:to>
      <xdr:col>17</xdr:col>
      <xdr:colOff>310243</xdr:colOff>
      <xdr:row>37</xdr:row>
      <xdr:rowOff>166007</xdr:rowOff>
    </xdr:to>
    <xdr:cxnSp macro="">
      <xdr:nvCxnSpPr>
        <xdr:cNvPr id="414" name="Connector: Elbow 413">
          <a:extLst>
            <a:ext uri="{FF2B5EF4-FFF2-40B4-BE49-F238E27FC236}">
              <a16:creationId xmlns:a16="http://schemas.microsoft.com/office/drawing/2014/main" id="{C9337AA7-5524-4562-B051-37A6FCB2600B}"/>
            </a:ext>
          </a:extLst>
        </xdr:cNvPr>
        <xdr:cNvCxnSpPr>
          <a:stCxn id="407" idx="6"/>
          <a:endCxn id="405" idx="1"/>
        </xdr:cNvCxnSpPr>
      </xdr:nvCxnSpPr>
      <xdr:spPr>
        <a:xfrm flipV="1">
          <a:off x="10134600" y="6798128"/>
          <a:ext cx="538843" cy="416379"/>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223158</xdr:colOff>
      <xdr:row>38</xdr:row>
      <xdr:rowOff>108856</xdr:rowOff>
    </xdr:from>
    <xdr:to>
      <xdr:col>17</xdr:col>
      <xdr:colOff>367393</xdr:colOff>
      <xdr:row>41</xdr:row>
      <xdr:rowOff>146957</xdr:rowOff>
    </xdr:to>
    <xdr:cxnSp macro="">
      <xdr:nvCxnSpPr>
        <xdr:cNvPr id="417" name="Connector: Elbow 416">
          <a:extLst>
            <a:ext uri="{FF2B5EF4-FFF2-40B4-BE49-F238E27FC236}">
              <a16:creationId xmlns:a16="http://schemas.microsoft.com/office/drawing/2014/main" id="{3BF02E2B-CE81-4ED1-8E27-4794B174FEFF}"/>
            </a:ext>
          </a:extLst>
        </xdr:cNvPr>
        <xdr:cNvCxnSpPr>
          <a:stCxn id="407" idx="4"/>
          <a:endCxn id="406" idx="1"/>
        </xdr:cNvCxnSpPr>
      </xdr:nvCxnSpPr>
      <xdr:spPr>
        <a:xfrm rot="16200000" flipH="1">
          <a:off x="10048875" y="6132739"/>
          <a:ext cx="609601" cy="75383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342899</xdr:colOff>
      <xdr:row>46</xdr:row>
      <xdr:rowOff>43541</xdr:rowOff>
    </xdr:from>
    <xdr:to>
      <xdr:col>18</xdr:col>
      <xdr:colOff>582385</xdr:colOff>
      <xdr:row>49</xdr:row>
      <xdr:rowOff>-1</xdr:rowOff>
    </xdr:to>
    <xdr:sp macro="" textlink="">
      <xdr:nvSpPr>
        <xdr:cNvPr id="420" name="Rectangle: Rounded Corners 419">
          <a:extLst>
            <a:ext uri="{FF2B5EF4-FFF2-40B4-BE49-F238E27FC236}">
              <a16:creationId xmlns:a16="http://schemas.microsoft.com/office/drawing/2014/main" id="{8882868E-46A9-40B5-95EE-93D751E0555D}"/>
            </a:ext>
          </a:extLst>
        </xdr:cNvPr>
        <xdr:cNvSpPr/>
      </xdr:nvSpPr>
      <xdr:spPr>
        <a:xfrm>
          <a:off x="10706099" y="7663541"/>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432707</xdr:colOff>
      <xdr:row>51</xdr:row>
      <xdr:rowOff>38099</xdr:rowOff>
    </xdr:from>
    <xdr:to>
      <xdr:col>19</xdr:col>
      <xdr:colOff>62593</xdr:colOff>
      <xdr:row>53</xdr:row>
      <xdr:rowOff>185056</xdr:rowOff>
    </xdr:to>
    <xdr:sp macro="" textlink="">
      <xdr:nvSpPr>
        <xdr:cNvPr id="421" name="Rectangle: Rounded Corners 420">
          <a:extLst>
            <a:ext uri="{FF2B5EF4-FFF2-40B4-BE49-F238E27FC236}">
              <a16:creationId xmlns:a16="http://schemas.microsoft.com/office/drawing/2014/main" id="{3156327C-E0CD-4E82-929E-3AFB2D82711E}"/>
            </a:ext>
          </a:extLst>
        </xdr:cNvPr>
        <xdr:cNvSpPr/>
      </xdr:nvSpPr>
      <xdr:spPr>
        <a:xfrm>
          <a:off x="10795907" y="8610599"/>
          <a:ext cx="849086" cy="52795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465365</xdr:colOff>
      <xdr:row>55</xdr:row>
      <xdr:rowOff>185058</xdr:rowOff>
    </xdr:from>
    <xdr:to>
      <xdr:col>19</xdr:col>
      <xdr:colOff>95251</xdr:colOff>
      <xdr:row>58</xdr:row>
      <xdr:rowOff>141516</xdr:rowOff>
    </xdr:to>
    <xdr:sp macro="" textlink="">
      <xdr:nvSpPr>
        <xdr:cNvPr id="422" name="Rectangle: Rounded Corners 421">
          <a:extLst>
            <a:ext uri="{FF2B5EF4-FFF2-40B4-BE49-F238E27FC236}">
              <a16:creationId xmlns:a16="http://schemas.microsoft.com/office/drawing/2014/main" id="{436CADEE-F765-4BF7-9F0D-37036A75890D}"/>
            </a:ext>
          </a:extLst>
        </xdr:cNvPr>
        <xdr:cNvSpPr/>
      </xdr:nvSpPr>
      <xdr:spPr>
        <a:xfrm>
          <a:off x="10828565" y="9519558"/>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293915</xdr:colOff>
      <xdr:row>52</xdr:row>
      <xdr:rowOff>54429</xdr:rowOff>
    </xdr:from>
    <xdr:to>
      <xdr:col>17</xdr:col>
      <xdr:colOff>0</xdr:colOff>
      <xdr:row>53</xdr:row>
      <xdr:rowOff>130629</xdr:rowOff>
    </xdr:to>
    <xdr:sp macro="" textlink="">
      <xdr:nvSpPr>
        <xdr:cNvPr id="423" name="Oval 422">
          <a:extLst>
            <a:ext uri="{FF2B5EF4-FFF2-40B4-BE49-F238E27FC236}">
              <a16:creationId xmlns:a16="http://schemas.microsoft.com/office/drawing/2014/main" id="{FE1DBF1A-01F4-49FB-98C1-FEAEF9ACE928}"/>
            </a:ext>
          </a:extLst>
        </xdr:cNvPr>
        <xdr:cNvSpPr/>
      </xdr:nvSpPr>
      <xdr:spPr>
        <a:xfrm>
          <a:off x="10047515" y="6901543"/>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244928</xdr:colOff>
      <xdr:row>52</xdr:row>
      <xdr:rowOff>105047</xdr:rowOff>
    </xdr:from>
    <xdr:to>
      <xdr:col>16</xdr:col>
      <xdr:colOff>293915</xdr:colOff>
      <xdr:row>52</xdr:row>
      <xdr:rowOff>187779</xdr:rowOff>
    </xdr:to>
    <xdr:cxnSp macro="">
      <xdr:nvCxnSpPr>
        <xdr:cNvPr id="424" name="Connector: Elbow 42">
          <a:extLst>
            <a:ext uri="{FF2B5EF4-FFF2-40B4-BE49-F238E27FC236}">
              <a16:creationId xmlns:a16="http://schemas.microsoft.com/office/drawing/2014/main" id="{17AE9118-0DD0-4017-AE78-1372C66A3186}"/>
            </a:ext>
          </a:extLst>
        </xdr:cNvPr>
        <xdr:cNvCxnSpPr>
          <a:cxnSpLocks/>
          <a:stCxn id="220" idx="3"/>
          <a:endCxn id="423" idx="2"/>
        </xdr:cNvCxnSpPr>
      </xdr:nvCxnSpPr>
      <xdr:spPr>
        <a:xfrm>
          <a:off x="9388928" y="8868047"/>
          <a:ext cx="658587" cy="8273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451757</xdr:colOff>
      <xdr:row>53</xdr:row>
      <xdr:rowOff>130629</xdr:rowOff>
    </xdr:from>
    <xdr:to>
      <xdr:col>17</xdr:col>
      <xdr:colOff>465364</xdr:colOff>
      <xdr:row>57</xdr:row>
      <xdr:rowOff>68037</xdr:rowOff>
    </xdr:to>
    <xdr:cxnSp macro="">
      <xdr:nvCxnSpPr>
        <xdr:cNvPr id="427" name="Connector: Elbow 426">
          <a:extLst>
            <a:ext uri="{FF2B5EF4-FFF2-40B4-BE49-F238E27FC236}">
              <a16:creationId xmlns:a16="http://schemas.microsoft.com/office/drawing/2014/main" id="{3D13FAAC-959C-411B-B448-9AD32418B327}"/>
            </a:ext>
          </a:extLst>
        </xdr:cNvPr>
        <xdr:cNvCxnSpPr>
          <a:stCxn id="423" idx="4"/>
          <a:endCxn id="422" idx="1"/>
        </xdr:cNvCxnSpPr>
      </xdr:nvCxnSpPr>
      <xdr:spPr>
        <a:xfrm rot="16200000" flipH="1">
          <a:off x="10167257" y="9122229"/>
          <a:ext cx="699408" cy="62320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451758</xdr:colOff>
      <xdr:row>47</xdr:row>
      <xdr:rowOff>117021</xdr:rowOff>
    </xdr:from>
    <xdr:to>
      <xdr:col>17</xdr:col>
      <xdr:colOff>342899</xdr:colOff>
      <xdr:row>52</xdr:row>
      <xdr:rowOff>54430</xdr:rowOff>
    </xdr:to>
    <xdr:cxnSp macro="">
      <xdr:nvCxnSpPr>
        <xdr:cNvPr id="430" name="Connector: Elbow 429">
          <a:extLst>
            <a:ext uri="{FF2B5EF4-FFF2-40B4-BE49-F238E27FC236}">
              <a16:creationId xmlns:a16="http://schemas.microsoft.com/office/drawing/2014/main" id="{E5537A4A-D335-448D-9BB5-49EE0C85AF8C}"/>
            </a:ext>
          </a:extLst>
        </xdr:cNvPr>
        <xdr:cNvCxnSpPr>
          <a:stCxn id="423" idx="0"/>
          <a:endCxn id="420" idx="1"/>
        </xdr:cNvCxnSpPr>
      </xdr:nvCxnSpPr>
      <xdr:spPr>
        <a:xfrm rot="5400000" flipH="1" flipV="1">
          <a:off x="10010774" y="8122105"/>
          <a:ext cx="889909" cy="50074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52</xdr:row>
      <xdr:rowOff>111578</xdr:rowOff>
    </xdr:from>
    <xdr:to>
      <xdr:col>17</xdr:col>
      <xdr:colOff>432707</xdr:colOff>
      <xdr:row>52</xdr:row>
      <xdr:rowOff>187779</xdr:rowOff>
    </xdr:to>
    <xdr:cxnSp macro="">
      <xdr:nvCxnSpPr>
        <xdr:cNvPr id="433" name="Connector: Elbow 432">
          <a:extLst>
            <a:ext uri="{FF2B5EF4-FFF2-40B4-BE49-F238E27FC236}">
              <a16:creationId xmlns:a16="http://schemas.microsoft.com/office/drawing/2014/main" id="{DED57710-FBE4-4BC3-88AA-23956137CE58}"/>
            </a:ext>
          </a:extLst>
        </xdr:cNvPr>
        <xdr:cNvCxnSpPr>
          <a:stCxn id="423" idx="6"/>
          <a:endCxn id="421" idx="1"/>
        </xdr:cNvCxnSpPr>
      </xdr:nvCxnSpPr>
      <xdr:spPr>
        <a:xfrm flipV="1">
          <a:off x="10363200" y="8874578"/>
          <a:ext cx="432707" cy="76201"/>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293913</xdr:colOff>
      <xdr:row>61</xdr:row>
      <xdr:rowOff>32656</xdr:rowOff>
    </xdr:from>
    <xdr:to>
      <xdr:col>18</xdr:col>
      <xdr:colOff>533399</xdr:colOff>
      <xdr:row>63</xdr:row>
      <xdr:rowOff>174171</xdr:rowOff>
    </xdr:to>
    <xdr:sp macro="" textlink="">
      <xdr:nvSpPr>
        <xdr:cNvPr id="436" name="Rectangle: Rounded Corners 435">
          <a:extLst>
            <a:ext uri="{FF2B5EF4-FFF2-40B4-BE49-F238E27FC236}">
              <a16:creationId xmlns:a16="http://schemas.microsoft.com/office/drawing/2014/main" id="{7ED5C7E0-3DC7-4D99-8432-16D87048944C}"/>
            </a:ext>
          </a:extLst>
        </xdr:cNvPr>
        <xdr:cNvSpPr/>
      </xdr:nvSpPr>
      <xdr:spPr>
        <a:xfrm>
          <a:off x="10657113" y="8545285"/>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250371</xdr:colOff>
      <xdr:row>65</xdr:row>
      <xdr:rowOff>65313</xdr:rowOff>
    </xdr:from>
    <xdr:to>
      <xdr:col>18</xdr:col>
      <xdr:colOff>489857</xdr:colOff>
      <xdr:row>68</xdr:row>
      <xdr:rowOff>21770</xdr:rowOff>
    </xdr:to>
    <xdr:sp macro="" textlink="">
      <xdr:nvSpPr>
        <xdr:cNvPr id="437" name="Rectangle: Rounded Corners 436">
          <a:extLst>
            <a:ext uri="{FF2B5EF4-FFF2-40B4-BE49-F238E27FC236}">
              <a16:creationId xmlns:a16="http://schemas.microsoft.com/office/drawing/2014/main" id="{D65D01EA-2B66-489D-967B-6E43EBEDC69F}"/>
            </a:ext>
          </a:extLst>
        </xdr:cNvPr>
        <xdr:cNvSpPr/>
      </xdr:nvSpPr>
      <xdr:spPr>
        <a:xfrm>
          <a:off x="10613571" y="931817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206830</xdr:colOff>
      <xdr:row>69</xdr:row>
      <xdr:rowOff>108858</xdr:rowOff>
    </xdr:from>
    <xdr:to>
      <xdr:col>18</xdr:col>
      <xdr:colOff>446316</xdr:colOff>
      <xdr:row>72</xdr:row>
      <xdr:rowOff>65316</xdr:rowOff>
    </xdr:to>
    <xdr:sp macro="" textlink="">
      <xdr:nvSpPr>
        <xdr:cNvPr id="438" name="Rectangle: Rounded Corners 437">
          <a:extLst>
            <a:ext uri="{FF2B5EF4-FFF2-40B4-BE49-F238E27FC236}">
              <a16:creationId xmlns:a16="http://schemas.microsoft.com/office/drawing/2014/main" id="{26CBAB58-588C-4673-BAC7-1C72152CB556}"/>
            </a:ext>
          </a:extLst>
        </xdr:cNvPr>
        <xdr:cNvSpPr/>
      </xdr:nvSpPr>
      <xdr:spPr>
        <a:xfrm>
          <a:off x="10570030" y="10101944"/>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293916</xdr:colOff>
      <xdr:row>64</xdr:row>
      <xdr:rowOff>136072</xdr:rowOff>
    </xdr:from>
    <xdr:to>
      <xdr:col>17</xdr:col>
      <xdr:colOff>1</xdr:colOff>
      <xdr:row>66</xdr:row>
      <xdr:rowOff>27215</xdr:rowOff>
    </xdr:to>
    <xdr:sp macro="" textlink="">
      <xdr:nvSpPr>
        <xdr:cNvPr id="439" name="Oval 438">
          <a:extLst>
            <a:ext uri="{FF2B5EF4-FFF2-40B4-BE49-F238E27FC236}">
              <a16:creationId xmlns:a16="http://schemas.microsoft.com/office/drawing/2014/main" id="{875F3B55-1CEC-47E5-9211-4EA54BC1D1AE}"/>
            </a:ext>
          </a:extLst>
        </xdr:cNvPr>
        <xdr:cNvSpPr/>
      </xdr:nvSpPr>
      <xdr:spPr>
        <a:xfrm>
          <a:off x="10047516" y="9203872"/>
          <a:ext cx="315685" cy="2612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198664</xdr:colOff>
      <xdr:row>65</xdr:row>
      <xdr:rowOff>46265</xdr:rowOff>
    </xdr:from>
    <xdr:to>
      <xdr:col>16</xdr:col>
      <xdr:colOff>293916</xdr:colOff>
      <xdr:row>65</xdr:row>
      <xdr:rowOff>81644</xdr:rowOff>
    </xdr:to>
    <xdr:cxnSp macro="">
      <xdr:nvCxnSpPr>
        <xdr:cNvPr id="440" name="Connector: Elbow 42">
          <a:extLst>
            <a:ext uri="{FF2B5EF4-FFF2-40B4-BE49-F238E27FC236}">
              <a16:creationId xmlns:a16="http://schemas.microsoft.com/office/drawing/2014/main" id="{D992C25F-202E-4F04-859B-3E4E43EBD5D1}"/>
            </a:ext>
          </a:extLst>
        </xdr:cNvPr>
        <xdr:cNvCxnSpPr>
          <a:cxnSpLocks/>
          <a:stCxn id="233" idx="3"/>
          <a:endCxn id="439" idx="2"/>
        </xdr:cNvCxnSpPr>
      </xdr:nvCxnSpPr>
      <xdr:spPr>
        <a:xfrm>
          <a:off x="9342664" y="11285765"/>
          <a:ext cx="704852" cy="3537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451758</xdr:colOff>
      <xdr:row>66</xdr:row>
      <xdr:rowOff>27215</xdr:rowOff>
    </xdr:from>
    <xdr:to>
      <xdr:col>17</xdr:col>
      <xdr:colOff>206829</xdr:colOff>
      <xdr:row>70</xdr:row>
      <xdr:rowOff>179616</xdr:rowOff>
    </xdr:to>
    <xdr:cxnSp macro="">
      <xdr:nvCxnSpPr>
        <xdr:cNvPr id="441" name="Connector: Elbow 440">
          <a:extLst>
            <a:ext uri="{FF2B5EF4-FFF2-40B4-BE49-F238E27FC236}">
              <a16:creationId xmlns:a16="http://schemas.microsoft.com/office/drawing/2014/main" id="{7B4037A7-605A-4DE2-9E9C-2C3014F819DB}"/>
            </a:ext>
          </a:extLst>
        </xdr:cNvPr>
        <xdr:cNvCxnSpPr>
          <a:stCxn id="439" idx="4"/>
          <a:endCxn id="438" idx="1"/>
        </xdr:cNvCxnSpPr>
      </xdr:nvCxnSpPr>
      <xdr:spPr>
        <a:xfrm rot="16200000" flipH="1">
          <a:off x="9941379" y="9729108"/>
          <a:ext cx="892630" cy="36467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451759</xdr:colOff>
      <xdr:row>62</xdr:row>
      <xdr:rowOff>103414</xdr:rowOff>
    </xdr:from>
    <xdr:to>
      <xdr:col>17</xdr:col>
      <xdr:colOff>293913</xdr:colOff>
      <xdr:row>64</xdr:row>
      <xdr:rowOff>136072</xdr:rowOff>
    </xdr:to>
    <xdr:cxnSp macro="">
      <xdr:nvCxnSpPr>
        <xdr:cNvPr id="442" name="Connector: Elbow 441">
          <a:extLst>
            <a:ext uri="{FF2B5EF4-FFF2-40B4-BE49-F238E27FC236}">
              <a16:creationId xmlns:a16="http://schemas.microsoft.com/office/drawing/2014/main" id="{89608104-81A0-4740-BA6E-CC02CBA17D61}"/>
            </a:ext>
          </a:extLst>
        </xdr:cNvPr>
        <xdr:cNvCxnSpPr>
          <a:stCxn id="439" idx="0"/>
          <a:endCxn id="436" idx="1"/>
        </xdr:cNvCxnSpPr>
      </xdr:nvCxnSpPr>
      <xdr:spPr>
        <a:xfrm rot="5400000" flipH="1" flipV="1">
          <a:off x="10229850" y="8776609"/>
          <a:ext cx="402772" cy="45175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xdr:colOff>
      <xdr:row>65</xdr:row>
      <xdr:rowOff>81644</xdr:rowOff>
    </xdr:from>
    <xdr:to>
      <xdr:col>17</xdr:col>
      <xdr:colOff>250371</xdr:colOff>
      <xdr:row>66</xdr:row>
      <xdr:rowOff>136071</xdr:rowOff>
    </xdr:to>
    <xdr:cxnSp macro="">
      <xdr:nvCxnSpPr>
        <xdr:cNvPr id="443" name="Connector: Elbow 442">
          <a:extLst>
            <a:ext uri="{FF2B5EF4-FFF2-40B4-BE49-F238E27FC236}">
              <a16:creationId xmlns:a16="http://schemas.microsoft.com/office/drawing/2014/main" id="{CE22A702-19E6-4B1E-83A1-FD5F2662A15C}"/>
            </a:ext>
          </a:extLst>
        </xdr:cNvPr>
        <xdr:cNvCxnSpPr>
          <a:stCxn id="439" idx="6"/>
          <a:endCxn id="437" idx="1"/>
        </xdr:cNvCxnSpPr>
      </xdr:nvCxnSpPr>
      <xdr:spPr>
        <a:xfrm>
          <a:off x="10363201" y="9334501"/>
          <a:ext cx="250370" cy="239484"/>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285749</xdr:colOff>
      <xdr:row>75</xdr:row>
      <xdr:rowOff>114300</xdr:rowOff>
    </xdr:from>
    <xdr:to>
      <xdr:col>18</xdr:col>
      <xdr:colOff>525235</xdr:colOff>
      <xdr:row>78</xdr:row>
      <xdr:rowOff>65315</xdr:rowOff>
    </xdr:to>
    <xdr:sp macro="" textlink="">
      <xdr:nvSpPr>
        <xdr:cNvPr id="462" name="Rectangle: Rounded Corners 461">
          <a:extLst>
            <a:ext uri="{FF2B5EF4-FFF2-40B4-BE49-F238E27FC236}">
              <a16:creationId xmlns:a16="http://schemas.microsoft.com/office/drawing/2014/main" id="{6C4F98B6-22C8-4265-8038-5684E48B4830}"/>
            </a:ext>
          </a:extLst>
        </xdr:cNvPr>
        <xdr:cNvSpPr/>
      </xdr:nvSpPr>
      <xdr:spPr>
        <a:xfrm>
          <a:off x="10648949" y="14401800"/>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451757</xdr:colOff>
      <xdr:row>82</xdr:row>
      <xdr:rowOff>51707</xdr:rowOff>
    </xdr:from>
    <xdr:to>
      <xdr:col>19</xdr:col>
      <xdr:colOff>81643</xdr:colOff>
      <xdr:row>85</xdr:row>
      <xdr:rowOff>2722</xdr:rowOff>
    </xdr:to>
    <xdr:sp macro="" textlink="">
      <xdr:nvSpPr>
        <xdr:cNvPr id="463" name="Rectangle: Rounded Corners 462">
          <a:extLst>
            <a:ext uri="{FF2B5EF4-FFF2-40B4-BE49-F238E27FC236}">
              <a16:creationId xmlns:a16="http://schemas.microsoft.com/office/drawing/2014/main" id="{3CFD3ABB-24C0-4C95-A0D6-A1A74179EDDF}"/>
            </a:ext>
          </a:extLst>
        </xdr:cNvPr>
        <xdr:cNvSpPr/>
      </xdr:nvSpPr>
      <xdr:spPr>
        <a:xfrm>
          <a:off x="10814957" y="15672707"/>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408216</xdr:colOff>
      <xdr:row>88</xdr:row>
      <xdr:rowOff>95252</xdr:rowOff>
    </xdr:from>
    <xdr:to>
      <xdr:col>19</xdr:col>
      <xdr:colOff>38102</xdr:colOff>
      <xdr:row>91</xdr:row>
      <xdr:rowOff>51710</xdr:rowOff>
    </xdr:to>
    <xdr:sp macro="" textlink="">
      <xdr:nvSpPr>
        <xdr:cNvPr id="464" name="Rectangle: Rounded Corners 463">
          <a:extLst>
            <a:ext uri="{FF2B5EF4-FFF2-40B4-BE49-F238E27FC236}">
              <a16:creationId xmlns:a16="http://schemas.microsoft.com/office/drawing/2014/main" id="{780CB1A6-57E9-4E50-B8D0-D817FB738C5B}"/>
            </a:ext>
          </a:extLst>
        </xdr:cNvPr>
        <xdr:cNvSpPr/>
      </xdr:nvSpPr>
      <xdr:spPr>
        <a:xfrm>
          <a:off x="10771416" y="16859252"/>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251603</xdr:colOff>
      <xdr:row>77</xdr:row>
      <xdr:rowOff>166096</xdr:rowOff>
    </xdr:from>
    <xdr:to>
      <xdr:col>16</xdr:col>
      <xdr:colOff>567288</xdr:colOff>
      <xdr:row>79</xdr:row>
      <xdr:rowOff>51797</xdr:rowOff>
    </xdr:to>
    <xdr:sp macro="" textlink="">
      <xdr:nvSpPr>
        <xdr:cNvPr id="465" name="Oval 464">
          <a:extLst>
            <a:ext uri="{FF2B5EF4-FFF2-40B4-BE49-F238E27FC236}">
              <a16:creationId xmlns:a16="http://schemas.microsoft.com/office/drawing/2014/main" id="{C3E5885B-77C3-48A8-9C92-FB291A2F77DF}"/>
            </a:ext>
          </a:extLst>
        </xdr:cNvPr>
        <xdr:cNvSpPr/>
      </xdr:nvSpPr>
      <xdr:spPr>
        <a:xfrm>
          <a:off x="10083861" y="14361419"/>
          <a:ext cx="315685" cy="25441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288470</xdr:colOff>
      <xdr:row>78</xdr:row>
      <xdr:rowOff>108947</xdr:rowOff>
    </xdr:from>
    <xdr:to>
      <xdr:col>16</xdr:col>
      <xdr:colOff>251603</xdr:colOff>
      <xdr:row>78</xdr:row>
      <xdr:rowOff>116669</xdr:rowOff>
    </xdr:to>
    <xdr:cxnSp macro="">
      <xdr:nvCxnSpPr>
        <xdr:cNvPr id="466" name="Connector: Elbow 42">
          <a:extLst>
            <a:ext uri="{FF2B5EF4-FFF2-40B4-BE49-F238E27FC236}">
              <a16:creationId xmlns:a16="http://schemas.microsoft.com/office/drawing/2014/main" id="{F12D329B-5341-49B8-895E-188F22259511}"/>
            </a:ext>
          </a:extLst>
        </xdr:cNvPr>
        <xdr:cNvCxnSpPr>
          <a:cxnSpLocks/>
          <a:stCxn id="246" idx="3"/>
          <a:endCxn id="465" idx="2"/>
        </xdr:cNvCxnSpPr>
      </xdr:nvCxnSpPr>
      <xdr:spPr>
        <a:xfrm flipV="1">
          <a:off x="9506212" y="14488624"/>
          <a:ext cx="577649" cy="772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409446</xdr:colOff>
      <xdr:row>79</xdr:row>
      <xdr:rowOff>51797</xdr:rowOff>
    </xdr:from>
    <xdr:to>
      <xdr:col>17</xdr:col>
      <xdr:colOff>408216</xdr:colOff>
      <xdr:row>89</xdr:row>
      <xdr:rowOff>165658</xdr:rowOff>
    </xdr:to>
    <xdr:cxnSp macro="">
      <xdr:nvCxnSpPr>
        <xdr:cNvPr id="467" name="Connector: Elbow 466">
          <a:extLst>
            <a:ext uri="{FF2B5EF4-FFF2-40B4-BE49-F238E27FC236}">
              <a16:creationId xmlns:a16="http://schemas.microsoft.com/office/drawing/2014/main" id="{3A179944-29A8-4235-AA7E-B5F608369C57}"/>
            </a:ext>
          </a:extLst>
        </xdr:cNvPr>
        <xdr:cNvCxnSpPr>
          <a:stCxn id="465" idx="4"/>
          <a:endCxn id="464" idx="1"/>
        </xdr:cNvCxnSpPr>
      </xdr:nvCxnSpPr>
      <xdr:spPr>
        <a:xfrm rot="16200000" flipH="1">
          <a:off x="9569642" y="15287891"/>
          <a:ext cx="1957410" cy="61328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409445</xdr:colOff>
      <xdr:row>76</xdr:row>
      <xdr:rowOff>181986</xdr:rowOff>
    </xdr:from>
    <xdr:to>
      <xdr:col>17</xdr:col>
      <xdr:colOff>285748</xdr:colOff>
      <xdr:row>77</xdr:row>
      <xdr:rowOff>166097</xdr:rowOff>
    </xdr:to>
    <xdr:cxnSp macro="">
      <xdr:nvCxnSpPr>
        <xdr:cNvPr id="468" name="Connector: Elbow 467">
          <a:extLst>
            <a:ext uri="{FF2B5EF4-FFF2-40B4-BE49-F238E27FC236}">
              <a16:creationId xmlns:a16="http://schemas.microsoft.com/office/drawing/2014/main" id="{FC0E2CF4-4B9D-49B4-867E-1AB0D94F87F4}"/>
            </a:ext>
          </a:extLst>
        </xdr:cNvPr>
        <xdr:cNvCxnSpPr>
          <a:stCxn id="465" idx="0"/>
          <a:endCxn id="462" idx="1"/>
        </xdr:cNvCxnSpPr>
      </xdr:nvCxnSpPr>
      <xdr:spPr>
        <a:xfrm rot="5400000" flipH="1" flipV="1">
          <a:off x="10402880" y="14031777"/>
          <a:ext cx="168466" cy="49081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567288</xdr:colOff>
      <xdr:row>78</xdr:row>
      <xdr:rowOff>108947</xdr:rowOff>
    </xdr:from>
    <xdr:to>
      <xdr:col>17</xdr:col>
      <xdr:colOff>451757</xdr:colOff>
      <xdr:row>83</xdr:row>
      <xdr:rowOff>119392</xdr:rowOff>
    </xdr:to>
    <xdr:cxnSp macro="">
      <xdr:nvCxnSpPr>
        <xdr:cNvPr id="469" name="Connector: Elbow 468">
          <a:extLst>
            <a:ext uri="{FF2B5EF4-FFF2-40B4-BE49-F238E27FC236}">
              <a16:creationId xmlns:a16="http://schemas.microsoft.com/office/drawing/2014/main" id="{52BEAD08-884E-40FB-9188-F3F9BDBE7B66}"/>
            </a:ext>
          </a:extLst>
        </xdr:cNvPr>
        <xdr:cNvCxnSpPr>
          <a:stCxn id="465" idx="6"/>
          <a:endCxn id="463" idx="1"/>
        </xdr:cNvCxnSpPr>
      </xdr:nvCxnSpPr>
      <xdr:spPr>
        <a:xfrm>
          <a:off x="10399546" y="14488624"/>
          <a:ext cx="498985" cy="932220"/>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419099</xdr:colOff>
      <xdr:row>95</xdr:row>
      <xdr:rowOff>152400</xdr:rowOff>
    </xdr:from>
    <xdr:to>
      <xdr:col>19</xdr:col>
      <xdr:colOff>48985</xdr:colOff>
      <xdr:row>98</xdr:row>
      <xdr:rowOff>103415</xdr:rowOff>
    </xdr:to>
    <xdr:sp macro="" textlink="">
      <xdr:nvSpPr>
        <xdr:cNvPr id="475" name="Rectangle: Rounded Corners 474">
          <a:extLst>
            <a:ext uri="{FF2B5EF4-FFF2-40B4-BE49-F238E27FC236}">
              <a16:creationId xmlns:a16="http://schemas.microsoft.com/office/drawing/2014/main" id="{69E4C685-3D98-42E4-AD39-7B367DF75D9A}"/>
            </a:ext>
          </a:extLst>
        </xdr:cNvPr>
        <xdr:cNvSpPr/>
      </xdr:nvSpPr>
      <xdr:spPr>
        <a:xfrm>
          <a:off x="10782299" y="17106900"/>
          <a:ext cx="849086" cy="52251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LBW</a:t>
          </a:r>
        </a:p>
      </xdr:txBody>
    </xdr:sp>
    <xdr:clientData/>
  </xdr:twoCellAnchor>
  <xdr:twoCellAnchor>
    <xdr:from>
      <xdr:col>17</xdr:col>
      <xdr:colOff>375557</xdr:colOff>
      <xdr:row>103</xdr:row>
      <xdr:rowOff>51707</xdr:rowOff>
    </xdr:from>
    <xdr:to>
      <xdr:col>19</xdr:col>
      <xdr:colOff>5443</xdr:colOff>
      <xdr:row>106</xdr:row>
      <xdr:rowOff>2721</xdr:rowOff>
    </xdr:to>
    <xdr:sp macro="" textlink="">
      <xdr:nvSpPr>
        <xdr:cNvPr id="476" name="Rectangle: Rounded Corners 475">
          <a:extLst>
            <a:ext uri="{FF2B5EF4-FFF2-40B4-BE49-F238E27FC236}">
              <a16:creationId xmlns:a16="http://schemas.microsoft.com/office/drawing/2014/main" id="{4B1185C8-45CB-471D-A508-328FB1E7C289}"/>
            </a:ext>
          </a:extLst>
        </xdr:cNvPr>
        <xdr:cNvSpPr/>
      </xdr:nvSpPr>
      <xdr:spPr>
        <a:xfrm>
          <a:off x="10738757" y="19673207"/>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17</xdr:col>
      <xdr:colOff>255816</xdr:colOff>
      <xdr:row>110</xdr:row>
      <xdr:rowOff>2</xdr:rowOff>
    </xdr:from>
    <xdr:to>
      <xdr:col>18</xdr:col>
      <xdr:colOff>495302</xdr:colOff>
      <xdr:row>112</xdr:row>
      <xdr:rowOff>146960</xdr:rowOff>
    </xdr:to>
    <xdr:sp macro="" textlink="">
      <xdr:nvSpPr>
        <xdr:cNvPr id="477" name="Rectangle: Rounded Corners 476">
          <a:extLst>
            <a:ext uri="{FF2B5EF4-FFF2-40B4-BE49-F238E27FC236}">
              <a16:creationId xmlns:a16="http://schemas.microsoft.com/office/drawing/2014/main" id="{3985C9EE-6AA9-4758-981B-370357EB391D}"/>
            </a:ext>
          </a:extLst>
        </xdr:cNvPr>
        <xdr:cNvSpPr/>
      </xdr:nvSpPr>
      <xdr:spPr>
        <a:xfrm>
          <a:off x="10619016" y="20955002"/>
          <a:ext cx="849086" cy="527958"/>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Stillbirth</a:t>
          </a:r>
        </a:p>
      </xdr:txBody>
    </xdr:sp>
    <xdr:clientData/>
  </xdr:twoCellAnchor>
  <xdr:twoCellAnchor>
    <xdr:from>
      <xdr:col>16</xdr:col>
      <xdr:colOff>304802</xdr:colOff>
      <xdr:row>99</xdr:row>
      <xdr:rowOff>41965</xdr:rowOff>
    </xdr:from>
    <xdr:to>
      <xdr:col>17</xdr:col>
      <xdr:colOff>10887</xdr:colOff>
      <xdr:row>100</xdr:row>
      <xdr:rowOff>118165</xdr:rowOff>
    </xdr:to>
    <xdr:sp macro="" textlink="">
      <xdr:nvSpPr>
        <xdr:cNvPr id="478" name="Oval 477">
          <a:extLst>
            <a:ext uri="{FF2B5EF4-FFF2-40B4-BE49-F238E27FC236}">
              <a16:creationId xmlns:a16="http://schemas.microsoft.com/office/drawing/2014/main" id="{D2C5FE04-EFA3-4EE1-9273-F561B622FB5C}"/>
            </a:ext>
          </a:extLst>
        </xdr:cNvPr>
        <xdr:cNvSpPr/>
      </xdr:nvSpPr>
      <xdr:spPr>
        <a:xfrm>
          <a:off x="10137060" y="18293094"/>
          <a:ext cx="320601"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15</xdr:col>
      <xdr:colOff>302078</xdr:colOff>
      <xdr:row>99</xdr:row>
      <xdr:rowOff>172243</xdr:rowOff>
    </xdr:from>
    <xdr:to>
      <xdr:col>16</xdr:col>
      <xdr:colOff>304802</xdr:colOff>
      <xdr:row>100</xdr:row>
      <xdr:rowOff>16678</xdr:rowOff>
    </xdr:to>
    <xdr:cxnSp macro="">
      <xdr:nvCxnSpPr>
        <xdr:cNvPr id="479" name="Connector: Elbow 42">
          <a:extLst>
            <a:ext uri="{FF2B5EF4-FFF2-40B4-BE49-F238E27FC236}">
              <a16:creationId xmlns:a16="http://schemas.microsoft.com/office/drawing/2014/main" id="{73FA16F4-1F28-43AF-9D93-852A6D919EEB}"/>
            </a:ext>
          </a:extLst>
        </xdr:cNvPr>
        <xdr:cNvCxnSpPr>
          <a:cxnSpLocks/>
          <a:stCxn id="252" idx="3"/>
          <a:endCxn id="478" idx="2"/>
        </xdr:cNvCxnSpPr>
      </xdr:nvCxnSpPr>
      <xdr:spPr>
        <a:xfrm flipV="1">
          <a:off x="9519820" y="18423372"/>
          <a:ext cx="617240" cy="2879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465103</xdr:colOff>
      <xdr:row>100</xdr:row>
      <xdr:rowOff>118164</xdr:rowOff>
    </xdr:from>
    <xdr:to>
      <xdr:col>17</xdr:col>
      <xdr:colOff>255816</xdr:colOff>
      <xdr:row>111</xdr:row>
      <xdr:rowOff>73480</xdr:rowOff>
    </xdr:to>
    <xdr:cxnSp macro="">
      <xdr:nvCxnSpPr>
        <xdr:cNvPr id="480" name="Connector: Elbow 479">
          <a:extLst>
            <a:ext uri="{FF2B5EF4-FFF2-40B4-BE49-F238E27FC236}">
              <a16:creationId xmlns:a16="http://schemas.microsoft.com/office/drawing/2014/main" id="{D057DCC6-8B85-4705-98AE-AC0939073E01}"/>
            </a:ext>
          </a:extLst>
        </xdr:cNvPr>
        <xdr:cNvCxnSpPr>
          <a:stCxn id="478" idx="4"/>
          <a:endCxn id="477" idx="1"/>
        </xdr:cNvCxnSpPr>
      </xdr:nvCxnSpPr>
      <xdr:spPr>
        <a:xfrm rot="16200000" flipH="1">
          <a:off x="9508366" y="19342643"/>
          <a:ext cx="1983219" cy="40522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465103</xdr:colOff>
      <xdr:row>97</xdr:row>
      <xdr:rowOff>35731</xdr:rowOff>
    </xdr:from>
    <xdr:to>
      <xdr:col>17</xdr:col>
      <xdr:colOff>419099</xdr:colOff>
      <xdr:row>99</xdr:row>
      <xdr:rowOff>41965</xdr:rowOff>
    </xdr:to>
    <xdr:cxnSp macro="">
      <xdr:nvCxnSpPr>
        <xdr:cNvPr id="481" name="Connector: Elbow 480">
          <a:extLst>
            <a:ext uri="{FF2B5EF4-FFF2-40B4-BE49-F238E27FC236}">
              <a16:creationId xmlns:a16="http://schemas.microsoft.com/office/drawing/2014/main" id="{97AFC9DA-853D-482F-91E2-8FDCF15D9970}"/>
            </a:ext>
          </a:extLst>
        </xdr:cNvPr>
        <xdr:cNvCxnSpPr>
          <a:stCxn id="478" idx="0"/>
          <a:endCxn id="475" idx="1"/>
        </xdr:cNvCxnSpPr>
      </xdr:nvCxnSpPr>
      <xdr:spPr>
        <a:xfrm rot="5400000" flipH="1" flipV="1">
          <a:off x="10394145" y="17821366"/>
          <a:ext cx="374944" cy="56851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10887</xdr:colOff>
      <xdr:row>99</xdr:row>
      <xdr:rowOff>172243</xdr:rowOff>
    </xdr:from>
    <xdr:to>
      <xdr:col>17</xdr:col>
      <xdr:colOff>375557</xdr:colOff>
      <xdr:row>104</xdr:row>
      <xdr:rowOff>119392</xdr:rowOff>
    </xdr:to>
    <xdr:cxnSp macro="">
      <xdr:nvCxnSpPr>
        <xdr:cNvPr id="482" name="Connector: Elbow 481">
          <a:extLst>
            <a:ext uri="{FF2B5EF4-FFF2-40B4-BE49-F238E27FC236}">
              <a16:creationId xmlns:a16="http://schemas.microsoft.com/office/drawing/2014/main" id="{56873B1B-89DA-4B12-AA4E-5C6212BB9807}"/>
            </a:ext>
          </a:extLst>
        </xdr:cNvPr>
        <xdr:cNvCxnSpPr>
          <a:stCxn id="478" idx="6"/>
          <a:endCxn id="476" idx="1"/>
        </xdr:cNvCxnSpPr>
      </xdr:nvCxnSpPr>
      <xdr:spPr>
        <a:xfrm>
          <a:off x="10457661" y="18423372"/>
          <a:ext cx="364670" cy="868923"/>
        </a:xfrm>
        <a:prstGeom prst="bentConnector3">
          <a:avLst>
            <a:gd name="adj1" fmla="val 5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579665</xdr:colOff>
      <xdr:row>110</xdr:row>
      <xdr:rowOff>114301</xdr:rowOff>
    </xdr:from>
    <xdr:to>
      <xdr:col>20</xdr:col>
      <xdr:colOff>176894</xdr:colOff>
      <xdr:row>111</xdr:row>
      <xdr:rowOff>168729</xdr:rowOff>
    </xdr:to>
    <xdr:sp macro="" textlink="">
      <xdr:nvSpPr>
        <xdr:cNvPr id="484" name="Isosceles Triangle 483">
          <a:extLst>
            <a:ext uri="{FF2B5EF4-FFF2-40B4-BE49-F238E27FC236}">
              <a16:creationId xmlns:a16="http://schemas.microsoft.com/office/drawing/2014/main" id="{46E37853-4EA3-48AB-947D-CCF2A470CB1F}"/>
            </a:ext>
          </a:extLst>
        </xdr:cNvPr>
        <xdr:cNvSpPr/>
      </xdr:nvSpPr>
      <xdr:spPr>
        <a:xfrm rot="5400000">
          <a:off x="12143016" y="2108835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495302</xdr:colOff>
      <xdr:row>111</xdr:row>
      <xdr:rowOff>46265</xdr:rowOff>
    </xdr:from>
    <xdr:to>
      <xdr:col>19</xdr:col>
      <xdr:colOff>579666</xdr:colOff>
      <xdr:row>111</xdr:row>
      <xdr:rowOff>73481</xdr:rowOff>
    </xdr:to>
    <xdr:cxnSp macro="">
      <xdr:nvCxnSpPr>
        <xdr:cNvPr id="485" name="Connector: Elbow 351">
          <a:extLst>
            <a:ext uri="{FF2B5EF4-FFF2-40B4-BE49-F238E27FC236}">
              <a16:creationId xmlns:a16="http://schemas.microsoft.com/office/drawing/2014/main" id="{53875A26-3F5A-404C-8B29-9DE6C094CE4C}"/>
            </a:ext>
          </a:extLst>
        </xdr:cNvPr>
        <xdr:cNvCxnSpPr>
          <a:stCxn id="477" idx="3"/>
          <a:endCxn id="484" idx="3"/>
        </xdr:cNvCxnSpPr>
      </xdr:nvCxnSpPr>
      <xdr:spPr>
        <a:xfrm flipV="1">
          <a:off x="11468102" y="21191765"/>
          <a:ext cx="693964" cy="2721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104</xdr:row>
      <xdr:rowOff>3</xdr:rowOff>
    </xdr:from>
    <xdr:to>
      <xdr:col>20</xdr:col>
      <xdr:colOff>5444</xdr:colOff>
      <xdr:row>105</xdr:row>
      <xdr:rowOff>54431</xdr:rowOff>
    </xdr:to>
    <xdr:sp macro="" textlink="">
      <xdr:nvSpPr>
        <xdr:cNvPr id="487" name="Isosceles Triangle 486">
          <a:extLst>
            <a:ext uri="{FF2B5EF4-FFF2-40B4-BE49-F238E27FC236}">
              <a16:creationId xmlns:a16="http://schemas.microsoft.com/office/drawing/2014/main" id="{041F4B92-F8E2-4EC4-81FA-87B2BB263FB1}"/>
            </a:ext>
          </a:extLst>
        </xdr:cNvPr>
        <xdr:cNvSpPr/>
      </xdr:nvSpPr>
      <xdr:spPr>
        <a:xfrm rot="5400000">
          <a:off x="11971566" y="19831052"/>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5443</xdr:colOff>
      <xdr:row>104</xdr:row>
      <xdr:rowOff>122464</xdr:rowOff>
    </xdr:from>
    <xdr:to>
      <xdr:col>19</xdr:col>
      <xdr:colOff>408216</xdr:colOff>
      <xdr:row>104</xdr:row>
      <xdr:rowOff>122467</xdr:rowOff>
    </xdr:to>
    <xdr:cxnSp macro="">
      <xdr:nvCxnSpPr>
        <xdr:cNvPr id="488" name="Connector: Elbow 351">
          <a:extLst>
            <a:ext uri="{FF2B5EF4-FFF2-40B4-BE49-F238E27FC236}">
              <a16:creationId xmlns:a16="http://schemas.microsoft.com/office/drawing/2014/main" id="{E6279514-9DA4-4D66-8EF3-721B89BB312D}"/>
            </a:ext>
          </a:extLst>
        </xdr:cNvPr>
        <xdr:cNvCxnSpPr>
          <a:stCxn id="476" idx="3"/>
          <a:endCxn id="487" idx="3"/>
        </xdr:cNvCxnSpPr>
      </xdr:nvCxnSpPr>
      <xdr:spPr>
        <a:xfrm>
          <a:off x="11587843" y="19934464"/>
          <a:ext cx="402773" cy="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465365</xdr:colOff>
      <xdr:row>89</xdr:row>
      <xdr:rowOff>76201</xdr:rowOff>
    </xdr:from>
    <xdr:to>
      <xdr:col>20</xdr:col>
      <xdr:colOff>62594</xdr:colOff>
      <xdr:row>90</xdr:row>
      <xdr:rowOff>130629</xdr:rowOff>
    </xdr:to>
    <xdr:sp macro="" textlink="">
      <xdr:nvSpPr>
        <xdr:cNvPr id="490" name="Isosceles Triangle 489">
          <a:extLst>
            <a:ext uri="{FF2B5EF4-FFF2-40B4-BE49-F238E27FC236}">
              <a16:creationId xmlns:a16="http://schemas.microsoft.com/office/drawing/2014/main" id="{5EAABE88-8E5A-4C7B-A5F6-CB01504F5003}"/>
            </a:ext>
          </a:extLst>
        </xdr:cNvPr>
        <xdr:cNvSpPr/>
      </xdr:nvSpPr>
      <xdr:spPr>
        <a:xfrm rot="5400000">
          <a:off x="12028716" y="1704975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38102</xdr:colOff>
      <xdr:row>89</xdr:row>
      <xdr:rowOff>168731</xdr:rowOff>
    </xdr:from>
    <xdr:to>
      <xdr:col>19</xdr:col>
      <xdr:colOff>465366</xdr:colOff>
      <xdr:row>90</xdr:row>
      <xdr:rowOff>8165</xdr:rowOff>
    </xdr:to>
    <xdr:cxnSp macro="">
      <xdr:nvCxnSpPr>
        <xdr:cNvPr id="491" name="Connector: Elbow 351">
          <a:extLst>
            <a:ext uri="{FF2B5EF4-FFF2-40B4-BE49-F238E27FC236}">
              <a16:creationId xmlns:a16="http://schemas.microsoft.com/office/drawing/2014/main" id="{B1F74C38-191E-403A-B953-DABB47C91DC5}"/>
            </a:ext>
          </a:extLst>
        </xdr:cNvPr>
        <xdr:cNvCxnSpPr>
          <a:stCxn id="464" idx="3"/>
          <a:endCxn id="490" idx="3"/>
        </xdr:cNvCxnSpPr>
      </xdr:nvCxnSpPr>
      <xdr:spPr>
        <a:xfrm>
          <a:off x="11620502" y="17123231"/>
          <a:ext cx="427264" cy="2993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541565</xdr:colOff>
      <xdr:row>82</xdr:row>
      <xdr:rowOff>171451</xdr:rowOff>
    </xdr:from>
    <xdr:to>
      <xdr:col>20</xdr:col>
      <xdr:colOff>138794</xdr:colOff>
      <xdr:row>84</xdr:row>
      <xdr:rowOff>35379</xdr:rowOff>
    </xdr:to>
    <xdr:sp macro="" textlink="">
      <xdr:nvSpPr>
        <xdr:cNvPr id="493" name="Isosceles Triangle 492">
          <a:extLst>
            <a:ext uri="{FF2B5EF4-FFF2-40B4-BE49-F238E27FC236}">
              <a16:creationId xmlns:a16="http://schemas.microsoft.com/office/drawing/2014/main" id="{7AA201CE-C3F8-49E2-A3C1-CFCE3FF3B35A}"/>
            </a:ext>
          </a:extLst>
        </xdr:cNvPr>
        <xdr:cNvSpPr/>
      </xdr:nvSpPr>
      <xdr:spPr>
        <a:xfrm rot="5400000">
          <a:off x="12104916" y="1581150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81643</xdr:colOff>
      <xdr:row>83</xdr:row>
      <xdr:rowOff>103415</xdr:rowOff>
    </xdr:from>
    <xdr:to>
      <xdr:col>19</xdr:col>
      <xdr:colOff>541566</xdr:colOff>
      <xdr:row>83</xdr:row>
      <xdr:rowOff>122465</xdr:rowOff>
    </xdr:to>
    <xdr:cxnSp macro="">
      <xdr:nvCxnSpPr>
        <xdr:cNvPr id="494" name="Connector: Elbow 351">
          <a:extLst>
            <a:ext uri="{FF2B5EF4-FFF2-40B4-BE49-F238E27FC236}">
              <a16:creationId xmlns:a16="http://schemas.microsoft.com/office/drawing/2014/main" id="{DFB39502-20C7-40E4-B6C7-994B5052CB93}"/>
            </a:ext>
          </a:extLst>
        </xdr:cNvPr>
        <xdr:cNvCxnSpPr>
          <a:stCxn id="463" idx="3"/>
          <a:endCxn id="493" idx="3"/>
        </xdr:cNvCxnSpPr>
      </xdr:nvCxnSpPr>
      <xdr:spPr>
        <a:xfrm flipV="1">
          <a:off x="11664043" y="15914915"/>
          <a:ext cx="459923" cy="1905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70</xdr:row>
      <xdr:rowOff>0</xdr:rowOff>
    </xdr:from>
    <xdr:to>
      <xdr:col>20</xdr:col>
      <xdr:colOff>5444</xdr:colOff>
      <xdr:row>71</xdr:row>
      <xdr:rowOff>54428</xdr:rowOff>
    </xdr:to>
    <xdr:sp macro="" textlink="">
      <xdr:nvSpPr>
        <xdr:cNvPr id="496" name="Isosceles Triangle 495">
          <a:extLst>
            <a:ext uri="{FF2B5EF4-FFF2-40B4-BE49-F238E27FC236}">
              <a16:creationId xmlns:a16="http://schemas.microsoft.com/office/drawing/2014/main" id="{7ED197B3-B4C3-436A-BD83-3538211DE8AC}"/>
            </a:ext>
          </a:extLst>
        </xdr:cNvPr>
        <xdr:cNvSpPr/>
      </xdr:nvSpPr>
      <xdr:spPr>
        <a:xfrm rot="5400000">
          <a:off x="11974287" y="10194471"/>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446316</xdr:colOff>
      <xdr:row>70</xdr:row>
      <xdr:rowOff>119743</xdr:rowOff>
    </xdr:from>
    <xdr:to>
      <xdr:col>19</xdr:col>
      <xdr:colOff>408215</xdr:colOff>
      <xdr:row>70</xdr:row>
      <xdr:rowOff>179616</xdr:rowOff>
    </xdr:to>
    <xdr:cxnSp macro="">
      <xdr:nvCxnSpPr>
        <xdr:cNvPr id="497" name="Connector: Elbow 351">
          <a:extLst>
            <a:ext uri="{FF2B5EF4-FFF2-40B4-BE49-F238E27FC236}">
              <a16:creationId xmlns:a16="http://schemas.microsoft.com/office/drawing/2014/main" id="{EABF1F56-4B2A-42AA-9FEC-4232D0FC277F}"/>
            </a:ext>
          </a:extLst>
        </xdr:cNvPr>
        <xdr:cNvCxnSpPr>
          <a:stCxn id="438" idx="3"/>
          <a:endCxn id="496" idx="3"/>
        </xdr:cNvCxnSpPr>
      </xdr:nvCxnSpPr>
      <xdr:spPr>
        <a:xfrm flipV="1">
          <a:off x="11419116" y="10297886"/>
          <a:ext cx="571499" cy="5987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66</xdr:row>
      <xdr:rowOff>0</xdr:rowOff>
    </xdr:from>
    <xdr:to>
      <xdr:col>20</xdr:col>
      <xdr:colOff>5444</xdr:colOff>
      <xdr:row>67</xdr:row>
      <xdr:rowOff>54428</xdr:rowOff>
    </xdr:to>
    <xdr:sp macro="" textlink="">
      <xdr:nvSpPr>
        <xdr:cNvPr id="499" name="Isosceles Triangle 498">
          <a:extLst>
            <a:ext uri="{FF2B5EF4-FFF2-40B4-BE49-F238E27FC236}">
              <a16:creationId xmlns:a16="http://schemas.microsoft.com/office/drawing/2014/main" id="{883CB64F-A9B1-4DF0-BCD4-A98382D9C94A}"/>
            </a:ext>
          </a:extLst>
        </xdr:cNvPr>
        <xdr:cNvSpPr/>
      </xdr:nvSpPr>
      <xdr:spPr>
        <a:xfrm rot="5400000">
          <a:off x="11974287" y="9454242"/>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489857</xdr:colOff>
      <xdr:row>66</xdr:row>
      <xdr:rowOff>119743</xdr:rowOff>
    </xdr:from>
    <xdr:to>
      <xdr:col>19</xdr:col>
      <xdr:colOff>408215</xdr:colOff>
      <xdr:row>66</xdr:row>
      <xdr:rowOff>136071</xdr:rowOff>
    </xdr:to>
    <xdr:cxnSp macro="">
      <xdr:nvCxnSpPr>
        <xdr:cNvPr id="500" name="Connector: Elbow 351">
          <a:extLst>
            <a:ext uri="{FF2B5EF4-FFF2-40B4-BE49-F238E27FC236}">
              <a16:creationId xmlns:a16="http://schemas.microsoft.com/office/drawing/2014/main" id="{AB13387E-1D7F-46E4-B404-B4DC494222A4}"/>
            </a:ext>
          </a:extLst>
        </xdr:cNvPr>
        <xdr:cNvCxnSpPr>
          <a:stCxn id="437" idx="3"/>
          <a:endCxn id="499" idx="3"/>
        </xdr:cNvCxnSpPr>
      </xdr:nvCxnSpPr>
      <xdr:spPr>
        <a:xfrm flipV="1">
          <a:off x="11462657" y="9557657"/>
          <a:ext cx="527958" cy="1632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56</xdr:row>
      <xdr:rowOff>133351</xdr:rowOff>
    </xdr:from>
    <xdr:to>
      <xdr:col>20</xdr:col>
      <xdr:colOff>5444</xdr:colOff>
      <xdr:row>57</xdr:row>
      <xdr:rowOff>187779</xdr:rowOff>
    </xdr:to>
    <xdr:sp macro="" textlink="">
      <xdr:nvSpPr>
        <xdr:cNvPr id="502" name="Isosceles Triangle 501">
          <a:extLst>
            <a:ext uri="{FF2B5EF4-FFF2-40B4-BE49-F238E27FC236}">
              <a16:creationId xmlns:a16="http://schemas.microsoft.com/office/drawing/2014/main" id="{31A8DEA3-187B-4D34-B05F-0A70D984D0A0}"/>
            </a:ext>
          </a:extLst>
        </xdr:cNvPr>
        <xdr:cNvSpPr/>
      </xdr:nvSpPr>
      <xdr:spPr>
        <a:xfrm rot="5400000">
          <a:off x="11971566" y="967740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95251</xdr:colOff>
      <xdr:row>57</xdr:row>
      <xdr:rowOff>61505</xdr:rowOff>
    </xdr:from>
    <xdr:to>
      <xdr:col>19</xdr:col>
      <xdr:colOff>408216</xdr:colOff>
      <xdr:row>57</xdr:row>
      <xdr:rowOff>68037</xdr:rowOff>
    </xdr:to>
    <xdr:cxnSp macro="">
      <xdr:nvCxnSpPr>
        <xdr:cNvPr id="503" name="Connector: Elbow 351">
          <a:extLst>
            <a:ext uri="{FF2B5EF4-FFF2-40B4-BE49-F238E27FC236}">
              <a16:creationId xmlns:a16="http://schemas.microsoft.com/office/drawing/2014/main" id="{FE1CF883-DDB8-47A1-82FD-4FC9D83B4BC0}"/>
            </a:ext>
          </a:extLst>
        </xdr:cNvPr>
        <xdr:cNvCxnSpPr>
          <a:stCxn id="422" idx="3"/>
          <a:endCxn id="502" idx="3"/>
        </xdr:cNvCxnSpPr>
      </xdr:nvCxnSpPr>
      <xdr:spPr>
        <a:xfrm flipV="1">
          <a:off x="11677651" y="9777005"/>
          <a:ext cx="312965" cy="653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408215</xdr:colOff>
      <xdr:row>52</xdr:row>
      <xdr:rowOff>0</xdr:rowOff>
    </xdr:from>
    <xdr:to>
      <xdr:col>20</xdr:col>
      <xdr:colOff>5444</xdr:colOff>
      <xdr:row>53</xdr:row>
      <xdr:rowOff>54428</xdr:rowOff>
    </xdr:to>
    <xdr:sp macro="" textlink="">
      <xdr:nvSpPr>
        <xdr:cNvPr id="505" name="Isosceles Triangle 504">
          <a:extLst>
            <a:ext uri="{FF2B5EF4-FFF2-40B4-BE49-F238E27FC236}">
              <a16:creationId xmlns:a16="http://schemas.microsoft.com/office/drawing/2014/main" id="{4A3AFC46-1F87-4353-9CB8-2C14074486AE}"/>
            </a:ext>
          </a:extLst>
        </xdr:cNvPr>
        <xdr:cNvSpPr/>
      </xdr:nvSpPr>
      <xdr:spPr>
        <a:xfrm rot="5400000">
          <a:off x="11974287" y="6863442"/>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62593</xdr:colOff>
      <xdr:row>52</xdr:row>
      <xdr:rowOff>111578</xdr:rowOff>
    </xdr:from>
    <xdr:to>
      <xdr:col>19</xdr:col>
      <xdr:colOff>408216</xdr:colOff>
      <xdr:row>52</xdr:row>
      <xdr:rowOff>122464</xdr:rowOff>
    </xdr:to>
    <xdr:cxnSp macro="">
      <xdr:nvCxnSpPr>
        <xdr:cNvPr id="506" name="Connector: Elbow 351">
          <a:extLst>
            <a:ext uri="{FF2B5EF4-FFF2-40B4-BE49-F238E27FC236}">
              <a16:creationId xmlns:a16="http://schemas.microsoft.com/office/drawing/2014/main" id="{50C3699A-CCD7-49FE-A159-44AA02C35E0A}"/>
            </a:ext>
          </a:extLst>
        </xdr:cNvPr>
        <xdr:cNvCxnSpPr>
          <a:stCxn id="421" idx="3"/>
          <a:endCxn id="505" idx="3"/>
        </xdr:cNvCxnSpPr>
      </xdr:nvCxnSpPr>
      <xdr:spPr>
        <a:xfrm>
          <a:off x="11644993" y="8874578"/>
          <a:ext cx="345623" cy="1088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351065</xdr:colOff>
      <xdr:row>41</xdr:row>
      <xdr:rowOff>38101</xdr:rowOff>
    </xdr:from>
    <xdr:to>
      <xdr:col>19</xdr:col>
      <xdr:colOff>557894</xdr:colOff>
      <xdr:row>42</xdr:row>
      <xdr:rowOff>92529</xdr:rowOff>
    </xdr:to>
    <xdr:sp macro="" textlink="">
      <xdr:nvSpPr>
        <xdr:cNvPr id="508" name="Isosceles Triangle 507">
          <a:extLst>
            <a:ext uri="{FF2B5EF4-FFF2-40B4-BE49-F238E27FC236}">
              <a16:creationId xmlns:a16="http://schemas.microsoft.com/office/drawing/2014/main" id="{218737BF-132A-4F9A-BD22-E72CF915EBBA}"/>
            </a:ext>
          </a:extLst>
        </xdr:cNvPr>
        <xdr:cNvSpPr/>
      </xdr:nvSpPr>
      <xdr:spPr>
        <a:xfrm rot="5400000">
          <a:off x="11914416" y="6724650"/>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606879</xdr:colOff>
      <xdr:row>41</xdr:row>
      <xdr:rowOff>146958</xdr:rowOff>
    </xdr:from>
    <xdr:to>
      <xdr:col>19</xdr:col>
      <xdr:colOff>351066</xdr:colOff>
      <xdr:row>41</xdr:row>
      <xdr:rowOff>160565</xdr:rowOff>
    </xdr:to>
    <xdr:cxnSp macro="">
      <xdr:nvCxnSpPr>
        <xdr:cNvPr id="509" name="Connector: Elbow 351">
          <a:extLst>
            <a:ext uri="{FF2B5EF4-FFF2-40B4-BE49-F238E27FC236}">
              <a16:creationId xmlns:a16="http://schemas.microsoft.com/office/drawing/2014/main" id="{D35297D9-47DC-444A-A502-338709834676}"/>
            </a:ext>
          </a:extLst>
        </xdr:cNvPr>
        <xdr:cNvCxnSpPr>
          <a:stCxn id="406" idx="3"/>
          <a:endCxn id="508" idx="3"/>
        </xdr:cNvCxnSpPr>
      </xdr:nvCxnSpPr>
      <xdr:spPr>
        <a:xfrm>
          <a:off x="11579679" y="6814458"/>
          <a:ext cx="353787" cy="1360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379333</xdr:colOff>
      <xdr:row>35</xdr:row>
      <xdr:rowOff>13522</xdr:rowOff>
    </xdr:from>
    <xdr:to>
      <xdr:col>19</xdr:col>
      <xdr:colOff>591079</xdr:colOff>
      <xdr:row>36</xdr:row>
      <xdr:rowOff>67950</xdr:rowOff>
    </xdr:to>
    <xdr:sp macro="" textlink="">
      <xdr:nvSpPr>
        <xdr:cNvPr id="511" name="Isosceles Triangle 510">
          <a:extLst>
            <a:ext uri="{FF2B5EF4-FFF2-40B4-BE49-F238E27FC236}">
              <a16:creationId xmlns:a16="http://schemas.microsoft.com/office/drawing/2014/main" id="{7066308E-29DE-4D61-83FE-906BF2B09F3F}"/>
            </a:ext>
          </a:extLst>
        </xdr:cNvPr>
        <xdr:cNvSpPr/>
      </xdr:nvSpPr>
      <xdr:spPr>
        <a:xfrm rot="5400000">
          <a:off x="12041620" y="6479460"/>
          <a:ext cx="238783" cy="211746"/>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549729</xdr:colOff>
      <xdr:row>35</xdr:row>
      <xdr:rowOff>127556</xdr:rowOff>
    </xdr:from>
    <xdr:to>
      <xdr:col>19</xdr:col>
      <xdr:colOff>379333</xdr:colOff>
      <xdr:row>35</xdr:row>
      <xdr:rowOff>132915</xdr:rowOff>
    </xdr:to>
    <xdr:cxnSp macro="">
      <xdr:nvCxnSpPr>
        <xdr:cNvPr id="512" name="Connector: Elbow 351">
          <a:extLst>
            <a:ext uri="{FF2B5EF4-FFF2-40B4-BE49-F238E27FC236}">
              <a16:creationId xmlns:a16="http://schemas.microsoft.com/office/drawing/2014/main" id="{378E423C-DD97-4336-9145-C421E7E805BF}"/>
            </a:ext>
          </a:extLst>
        </xdr:cNvPr>
        <xdr:cNvCxnSpPr>
          <a:stCxn id="405" idx="3"/>
          <a:endCxn id="511" idx="3"/>
        </xdr:cNvCxnSpPr>
      </xdr:nvCxnSpPr>
      <xdr:spPr>
        <a:xfrm>
          <a:off x="11611019" y="6579975"/>
          <a:ext cx="444120" cy="535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503465</xdr:colOff>
      <xdr:row>24</xdr:row>
      <xdr:rowOff>114302</xdr:rowOff>
    </xdr:from>
    <xdr:to>
      <xdr:col>20</xdr:col>
      <xdr:colOff>100694</xdr:colOff>
      <xdr:row>25</xdr:row>
      <xdr:rowOff>168730</xdr:rowOff>
    </xdr:to>
    <xdr:sp macro="" textlink="">
      <xdr:nvSpPr>
        <xdr:cNvPr id="514" name="Isosceles Triangle 513">
          <a:extLst>
            <a:ext uri="{FF2B5EF4-FFF2-40B4-BE49-F238E27FC236}">
              <a16:creationId xmlns:a16="http://schemas.microsoft.com/office/drawing/2014/main" id="{5B88E5FA-3AFF-4919-A580-92D1FF1672B6}"/>
            </a:ext>
          </a:extLst>
        </xdr:cNvPr>
        <xdr:cNvSpPr/>
      </xdr:nvSpPr>
      <xdr:spPr>
        <a:xfrm rot="5400000">
          <a:off x="12066816" y="4705351"/>
          <a:ext cx="244928"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574222</xdr:colOff>
      <xdr:row>25</xdr:row>
      <xdr:rowOff>46266</xdr:rowOff>
    </xdr:from>
    <xdr:to>
      <xdr:col>19</xdr:col>
      <xdr:colOff>503466</xdr:colOff>
      <xdr:row>25</xdr:row>
      <xdr:rowOff>65315</xdr:rowOff>
    </xdr:to>
    <xdr:cxnSp macro="">
      <xdr:nvCxnSpPr>
        <xdr:cNvPr id="515" name="Connector: Elbow 351">
          <a:extLst>
            <a:ext uri="{FF2B5EF4-FFF2-40B4-BE49-F238E27FC236}">
              <a16:creationId xmlns:a16="http://schemas.microsoft.com/office/drawing/2014/main" id="{312BA3E9-824F-40AF-A71D-00DAE876FEF8}"/>
            </a:ext>
          </a:extLst>
        </xdr:cNvPr>
        <xdr:cNvCxnSpPr>
          <a:stCxn id="389" idx="3"/>
          <a:endCxn id="514" idx="3"/>
        </xdr:cNvCxnSpPr>
      </xdr:nvCxnSpPr>
      <xdr:spPr>
        <a:xfrm flipV="1">
          <a:off x="11547022" y="4808766"/>
          <a:ext cx="538844" cy="1904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514526</xdr:colOff>
      <xdr:row>18</xdr:row>
      <xdr:rowOff>138884</xdr:rowOff>
    </xdr:from>
    <xdr:to>
      <xdr:col>20</xdr:col>
      <xdr:colOff>111755</xdr:colOff>
      <xdr:row>20</xdr:row>
      <xdr:rowOff>8957</xdr:rowOff>
    </xdr:to>
    <xdr:sp macro="" textlink="">
      <xdr:nvSpPr>
        <xdr:cNvPr id="517" name="Isosceles Triangle 516">
          <a:extLst>
            <a:ext uri="{FF2B5EF4-FFF2-40B4-BE49-F238E27FC236}">
              <a16:creationId xmlns:a16="http://schemas.microsoft.com/office/drawing/2014/main" id="{D4B520B9-6600-46C7-83AF-2CCCBBF12BFE}"/>
            </a:ext>
          </a:extLst>
        </xdr:cNvPr>
        <xdr:cNvSpPr/>
      </xdr:nvSpPr>
      <xdr:spPr>
        <a:xfrm rot="5400000">
          <a:off x="12176813" y="3470790"/>
          <a:ext cx="238783" cy="211746"/>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96918</xdr:colOff>
      <xdr:row>19</xdr:row>
      <xdr:rowOff>73922</xdr:rowOff>
    </xdr:from>
    <xdr:to>
      <xdr:col>19</xdr:col>
      <xdr:colOff>514526</xdr:colOff>
      <xdr:row>19</xdr:row>
      <xdr:rowOff>97094</xdr:rowOff>
    </xdr:to>
    <xdr:cxnSp macro="">
      <xdr:nvCxnSpPr>
        <xdr:cNvPr id="518" name="Connector: Elbow 351">
          <a:extLst>
            <a:ext uri="{FF2B5EF4-FFF2-40B4-BE49-F238E27FC236}">
              <a16:creationId xmlns:a16="http://schemas.microsoft.com/office/drawing/2014/main" id="{09AA93C0-AEB7-4FD1-9D91-8BFB94C10E47}"/>
            </a:ext>
          </a:extLst>
        </xdr:cNvPr>
        <xdr:cNvCxnSpPr>
          <a:stCxn id="388" idx="3"/>
          <a:endCxn id="517" idx="3"/>
        </xdr:cNvCxnSpPr>
      </xdr:nvCxnSpPr>
      <xdr:spPr>
        <a:xfrm flipV="1">
          <a:off x="11772724" y="3576664"/>
          <a:ext cx="417608" cy="2317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332014</xdr:colOff>
      <xdr:row>4</xdr:row>
      <xdr:rowOff>19050</xdr:rowOff>
    </xdr:from>
    <xdr:to>
      <xdr:col>22</xdr:col>
      <xdr:colOff>571500</xdr:colOff>
      <xdr:row>6</xdr:row>
      <xdr:rowOff>160564</xdr:rowOff>
    </xdr:to>
    <xdr:sp macro="" textlink="">
      <xdr:nvSpPr>
        <xdr:cNvPr id="520" name="Rectangle: Rounded Corners 519">
          <a:extLst>
            <a:ext uri="{FF2B5EF4-FFF2-40B4-BE49-F238E27FC236}">
              <a16:creationId xmlns:a16="http://schemas.microsoft.com/office/drawing/2014/main" id="{80CCCC3F-CCCD-45DC-84CB-D5894D400256}"/>
            </a:ext>
          </a:extLst>
        </xdr:cNvPr>
        <xdr:cNvSpPr/>
      </xdr:nvSpPr>
      <xdr:spPr>
        <a:xfrm>
          <a:off x="13133614" y="781050"/>
          <a:ext cx="849086" cy="52251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301113</xdr:colOff>
      <xdr:row>16</xdr:row>
      <xdr:rowOff>10710</xdr:rowOff>
    </xdr:from>
    <xdr:to>
      <xdr:col>22</xdr:col>
      <xdr:colOff>540599</xdr:colOff>
      <xdr:row>18</xdr:row>
      <xdr:rowOff>151523</xdr:rowOff>
    </xdr:to>
    <xdr:sp macro="" textlink="">
      <xdr:nvSpPr>
        <xdr:cNvPr id="521" name="Rectangle: Rounded Corners 520">
          <a:extLst>
            <a:ext uri="{FF2B5EF4-FFF2-40B4-BE49-F238E27FC236}">
              <a16:creationId xmlns:a16="http://schemas.microsoft.com/office/drawing/2014/main" id="{DB5F3CD3-3473-4B4C-B434-54690951A07D}"/>
            </a:ext>
          </a:extLst>
        </xdr:cNvPr>
        <xdr:cNvSpPr/>
      </xdr:nvSpPr>
      <xdr:spPr>
        <a:xfrm>
          <a:off x="13205952" y="2960387"/>
          <a:ext cx="854002" cy="50952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19</xdr:col>
      <xdr:colOff>454567</xdr:colOff>
      <xdr:row>9</xdr:row>
      <xdr:rowOff>147482</xdr:rowOff>
    </xdr:from>
    <xdr:to>
      <xdr:col>20</xdr:col>
      <xdr:colOff>160652</xdr:colOff>
      <xdr:row>11</xdr:row>
      <xdr:rowOff>39328</xdr:rowOff>
    </xdr:to>
    <xdr:sp macro="" textlink="">
      <xdr:nvSpPr>
        <xdr:cNvPr id="522" name="Oval 521">
          <a:extLst>
            <a:ext uri="{FF2B5EF4-FFF2-40B4-BE49-F238E27FC236}">
              <a16:creationId xmlns:a16="http://schemas.microsoft.com/office/drawing/2014/main" id="{037204E6-AD3E-40BE-A671-8B682DF3F510}"/>
            </a:ext>
          </a:extLst>
        </xdr:cNvPr>
        <xdr:cNvSpPr/>
      </xdr:nvSpPr>
      <xdr:spPr>
        <a:xfrm>
          <a:off x="12130373" y="1806676"/>
          <a:ext cx="320602"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0</xdr:colOff>
      <xdr:row>10</xdr:row>
      <xdr:rowOff>89808</xdr:rowOff>
    </xdr:from>
    <xdr:to>
      <xdr:col>19</xdr:col>
      <xdr:colOff>454567</xdr:colOff>
      <xdr:row>10</xdr:row>
      <xdr:rowOff>93406</xdr:rowOff>
    </xdr:to>
    <xdr:cxnSp macro="">
      <xdr:nvCxnSpPr>
        <xdr:cNvPr id="523" name="Connector: Elbow 42">
          <a:extLst>
            <a:ext uri="{FF2B5EF4-FFF2-40B4-BE49-F238E27FC236}">
              <a16:creationId xmlns:a16="http://schemas.microsoft.com/office/drawing/2014/main" id="{DE76B92B-7FC8-4172-9C2D-AFA37FE270BF}"/>
            </a:ext>
          </a:extLst>
        </xdr:cNvPr>
        <xdr:cNvCxnSpPr>
          <a:cxnSpLocks/>
          <a:stCxn id="387" idx="3"/>
          <a:endCxn id="522" idx="2"/>
        </xdr:cNvCxnSpPr>
      </xdr:nvCxnSpPr>
      <xdr:spPr>
        <a:xfrm>
          <a:off x="11675806" y="1933356"/>
          <a:ext cx="454567" cy="359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351</xdr:colOff>
      <xdr:row>5</xdr:row>
      <xdr:rowOff>89808</xdr:rowOff>
    </xdr:from>
    <xdr:to>
      <xdr:col>21</xdr:col>
      <xdr:colOff>332014</xdr:colOff>
      <xdr:row>9</xdr:row>
      <xdr:rowOff>147483</xdr:rowOff>
    </xdr:to>
    <xdr:cxnSp macro="">
      <xdr:nvCxnSpPr>
        <xdr:cNvPr id="524" name="Connector: Elbow 523">
          <a:extLst>
            <a:ext uri="{FF2B5EF4-FFF2-40B4-BE49-F238E27FC236}">
              <a16:creationId xmlns:a16="http://schemas.microsoft.com/office/drawing/2014/main" id="{98C397AB-D9C5-4567-AFD4-0E2ED73A78E4}"/>
            </a:ext>
          </a:extLst>
        </xdr:cNvPr>
        <xdr:cNvCxnSpPr>
          <a:stCxn id="522" idx="0"/>
          <a:endCxn id="520" idx="1"/>
        </xdr:cNvCxnSpPr>
      </xdr:nvCxnSpPr>
      <xdr:spPr>
        <a:xfrm rot="5400000" flipH="1" flipV="1">
          <a:off x="12366216" y="936040"/>
          <a:ext cx="795095" cy="94617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351</xdr:colOff>
      <xdr:row>11</xdr:row>
      <xdr:rowOff>39328</xdr:rowOff>
    </xdr:from>
    <xdr:to>
      <xdr:col>21</xdr:col>
      <xdr:colOff>301113</xdr:colOff>
      <xdr:row>17</xdr:row>
      <xdr:rowOff>81117</xdr:rowOff>
    </xdr:to>
    <xdr:cxnSp macro="">
      <xdr:nvCxnSpPr>
        <xdr:cNvPr id="525" name="Connector: Elbow 524">
          <a:extLst>
            <a:ext uri="{FF2B5EF4-FFF2-40B4-BE49-F238E27FC236}">
              <a16:creationId xmlns:a16="http://schemas.microsoft.com/office/drawing/2014/main" id="{6287CB30-1D7A-4C0E-89D9-03CA9FED7B66}"/>
            </a:ext>
          </a:extLst>
        </xdr:cNvPr>
        <xdr:cNvCxnSpPr>
          <a:stCxn id="522" idx="4"/>
          <a:endCxn id="521" idx="1"/>
        </xdr:cNvCxnSpPr>
      </xdr:nvCxnSpPr>
      <xdr:spPr>
        <a:xfrm rot="16200000" flipH="1">
          <a:off x="12174354" y="2183551"/>
          <a:ext cx="1147918" cy="915278"/>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255815</xdr:colOff>
      <xdr:row>16</xdr:row>
      <xdr:rowOff>122904</xdr:rowOff>
    </xdr:from>
    <xdr:to>
      <xdr:col>23</xdr:col>
      <xdr:colOff>462644</xdr:colOff>
      <xdr:row>17</xdr:row>
      <xdr:rowOff>177332</xdr:rowOff>
    </xdr:to>
    <xdr:sp macro="" textlink="">
      <xdr:nvSpPr>
        <xdr:cNvPr id="526" name="Isosceles Triangle 525">
          <a:extLst>
            <a:ext uri="{FF2B5EF4-FFF2-40B4-BE49-F238E27FC236}">
              <a16:creationId xmlns:a16="http://schemas.microsoft.com/office/drawing/2014/main" id="{BD886C37-DF3C-423F-B68E-0F758207F8D9}"/>
            </a:ext>
          </a:extLst>
        </xdr:cNvPr>
        <xdr:cNvSpPr/>
      </xdr:nvSpPr>
      <xdr:spPr>
        <a:xfrm rot="5400000">
          <a:off x="14373709" y="3088558"/>
          <a:ext cx="23878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22</xdr:col>
      <xdr:colOff>540599</xdr:colOff>
      <xdr:row>17</xdr:row>
      <xdr:rowOff>57941</xdr:rowOff>
    </xdr:from>
    <xdr:to>
      <xdr:col>23</xdr:col>
      <xdr:colOff>255815</xdr:colOff>
      <xdr:row>17</xdr:row>
      <xdr:rowOff>81117</xdr:rowOff>
    </xdr:to>
    <xdr:cxnSp macro="">
      <xdr:nvCxnSpPr>
        <xdr:cNvPr id="527" name="Connector: Elbow 351">
          <a:extLst>
            <a:ext uri="{FF2B5EF4-FFF2-40B4-BE49-F238E27FC236}">
              <a16:creationId xmlns:a16="http://schemas.microsoft.com/office/drawing/2014/main" id="{71888D55-5054-458E-ABED-C2091543F20F}"/>
            </a:ext>
          </a:extLst>
        </xdr:cNvPr>
        <xdr:cNvCxnSpPr>
          <a:stCxn id="521" idx="3"/>
          <a:endCxn id="526" idx="3"/>
        </xdr:cNvCxnSpPr>
      </xdr:nvCxnSpPr>
      <xdr:spPr>
        <a:xfrm flipV="1">
          <a:off x="14059954" y="3191973"/>
          <a:ext cx="329732" cy="2317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92353</xdr:colOff>
      <xdr:row>27</xdr:row>
      <xdr:rowOff>122903</xdr:rowOff>
    </xdr:from>
    <xdr:to>
      <xdr:col>23</xdr:col>
      <xdr:colOff>331839</xdr:colOff>
      <xdr:row>30</xdr:row>
      <xdr:rowOff>80064</xdr:rowOff>
    </xdr:to>
    <xdr:sp macro="" textlink="">
      <xdr:nvSpPr>
        <xdr:cNvPr id="531" name="Rectangle: Rounded Corners 530">
          <a:extLst>
            <a:ext uri="{FF2B5EF4-FFF2-40B4-BE49-F238E27FC236}">
              <a16:creationId xmlns:a16="http://schemas.microsoft.com/office/drawing/2014/main" id="{CA617768-EE09-4577-8892-18F41482B6A1}"/>
            </a:ext>
          </a:extLst>
        </xdr:cNvPr>
        <xdr:cNvSpPr/>
      </xdr:nvSpPr>
      <xdr:spPr>
        <a:xfrm>
          <a:off x="13611708" y="5100484"/>
          <a:ext cx="854002" cy="510225"/>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152400</xdr:colOff>
      <xdr:row>35</xdr:row>
      <xdr:rowOff>174171</xdr:rowOff>
    </xdr:from>
    <xdr:to>
      <xdr:col>23</xdr:col>
      <xdr:colOff>391886</xdr:colOff>
      <xdr:row>38</xdr:row>
      <xdr:rowOff>130629</xdr:rowOff>
    </xdr:to>
    <xdr:sp macro="" textlink="">
      <xdr:nvSpPr>
        <xdr:cNvPr id="532" name="Rectangle: Rounded Corners 531">
          <a:extLst>
            <a:ext uri="{FF2B5EF4-FFF2-40B4-BE49-F238E27FC236}">
              <a16:creationId xmlns:a16="http://schemas.microsoft.com/office/drawing/2014/main" id="{A53380B1-ECF9-4A67-97A6-F0739BE2FD97}"/>
            </a:ext>
          </a:extLst>
        </xdr:cNvPr>
        <xdr:cNvSpPr/>
      </xdr:nvSpPr>
      <xdr:spPr>
        <a:xfrm>
          <a:off x="13563600" y="49856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20</xdr:col>
      <xdr:colOff>148538</xdr:colOff>
      <xdr:row>29</xdr:row>
      <xdr:rowOff>122904</xdr:rowOff>
    </xdr:from>
    <xdr:to>
      <xdr:col>20</xdr:col>
      <xdr:colOff>464223</xdr:colOff>
      <xdr:row>31</xdr:row>
      <xdr:rowOff>14748</xdr:rowOff>
    </xdr:to>
    <xdr:sp macro="" textlink="">
      <xdr:nvSpPr>
        <xdr:cNvPr id="533" name="Oval 532">
          <a:extLst>
            <a:ext uri="{FF2B5EF4-FFF2-40B4-BE49-F238E27FC236}">
              <a16:creationId xmlns:a16="http://schemas.microsoft.com/office/drawing/2014/main" id="{2013BD8E-3A79-4F8A-8784-33831C43BF12}"/>
            </a:ext>
          </a:extLst>
        </xdr:cNvPr>
        <xdr:cNvSpPr/>
      </xdr:nvSpPr>
      <xdr:spPr>
        <a:xfrm>
          <a:off x="12438861" y="5469194"/>
          <a:ext cx="315685" cy="2605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571500</xdr:colOff>
      <xdr:row>30</xdr:row>
      <xdr:rowOff>68386</xdr:rowOff>
    </xdr:from>
    <xdr:to>
      <xdr:col>20</xdr:col>
      <xdr:colOff>148538</xdr:colOff>
      <xdr:row>30</xdr:row>
      <xdr:rowOff>68826</xdr:rowOff>
    </xdr:to>
    <xdr:cxnSp macro="">
      <xdr:nvCxnSpPr>
        <xdr:cNvPr id="534" name="Connector: Elbow 42">
          <a:extLst>
            <a:ext uri="{FF2B5EF4-FFF2-40B4-BE49-F238E27FC236}">
              <a16:creationId xmlns:a16="http://schemas.microsoft.com/office/drawing/2014/main" id="{12961059-D5A4-49A6-8E02-6FC8D88637F6}"/>
            </a:ext>
          </a:extLst>
        </xdr:cNvPr>
        <xdr:cNvCxnSpPr>
          <a:cxnSpLocks/>
          <a:stCxn id="404" idx="3"/>
          <a:endCxn id="533" idx="2"/>
        </xdr:cNvCxnSpPr>
      </xdr:nvCxnSpPr>
      <xdr:spPr>
        <a:xfrm>
          <a:off x="11632790" y="5599031"/>
          <a:ext cx="806071" cy="44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306382</xdr:colOff>
      <xdr:row>29</xdr:row>
      <xdr:rowOff>9307</xdr:rowOff>
    </xdr:from>
    <xdr:to>
      <xdr:col>22</xdr:col>
      <xdr:colOff>92354</xdr:colOff>
      <xdr:row>29</xdr:row>
      <xdr:rowOff>122904</xdr:rowOff>
    </xdr:to>
    <xdr:cxnSp macro="">
      <xdr:nvCxnSpPr>
        <xdr:cNvPr id="535" name="Connector: Elbow 534">
          <a:extLst>
            <a:ext uri="{FF2B5EF4-FFF2-40B4-BE49-F238E27FC236}">
              <a16:creationId xmlns:a16="http://schemas.microsoft.com/office/drawing/2014/main" id="{B90FB48D-6B01-4C8D-AC20-33AAA1BDC5D6}"/>
            </a:ext>
          </a:extLst>
        </xdr:cNvPr>
        <xdr:cNvCxnSpPr>
          <a:stCxn id="533" idx="0"/>
          <a:endCxn id="531" idx="1"/>
        </xdr:cNvCxnSpPr>
      </xdr:nvCxnSpPr>
      <xdr:spPr>
        <a:xfrm rot="5400000" flipH="1" flipV="1">
          <a:off x="13047408" y="4904894"/>
          <a:ext cx="113597" cy="1015004"/>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306380</xdr:colOff>
      <xdr:row>31</xdr:row>
      <xdr:rowOff>14748</xdr:rowOff>
    </xdr:from>
    <xdr:to>
      <xdr:col>22</xdr:col>
      <xdr:colOff>152399</xdr:colOff>
      <xdr:row>37</xdr:row>
      <xdr:rowOff>60223</xdr:rowOff>
    </xdr:to>
    <xdr:cxnSp macro="">
      <xdr:nvCxnSpPr>
        <xdr:cNvPr id="536" name="Connector: Elbow 535">
          <a:extLst>
            <a:ext uri="{FF2B5EF4-FFF2-40B4-BE49-F238E27FC236}">
              <a16:creationId xmlns:a16="http://schemas.microsoft.com/office/drawing/2014/main" id="{105F97CE-92C4-4CAA-A221-53DC03D4BB55}"/>
            </a:ext>
          </a:extLst>
        </xdr:cNvPr>
        <xdr:cNvCxnSpPr>
          <a:stCxn id="533" idx="4"/>
          <a:endCxn id="532" idx="1"/>
        </xdr:cNvCxnSpPr>
      </xdr:nvCxnSpPr>
      <xdr:spPr>
        <a:xfrm rot="16200000" flipH="1">
          <a:off x="12558427" y="5768024"/>
          <a:ext cx="1151604" cy="107505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231234</xdr:colOff>
      <xdr:row>36</xdr:row>
      <xdr:rowOff>122903</xdr:rowOff>
    </xdr:from>
    <xdr:to>
      <xdr:col>24</xdr:col>
      <xdr:colOff>438063</xdr:colOff>
      <xdr:row>37</xdr:row>
      <xdr:rowOff>177331</xdr:rowOff>
    </xdr:to>
    <xdr:sp macro="" textlink="">
      <xdr:nvSpPr>
        <xdr:cNvPr id="537" name="Isosceles Triangle 536">
          <a:extLst>
            <a:ext uri="{FF2B5EF4-FFF2-40B4-BE49-F238E27FC236}">
              <a16:creationId xmlns:a16="http://schemas.microsoft.com/office/drawing/2014/main" id="{8048CA4D-A995-4208-8B8E-3B05C473E107}"/>
            </a:ext>
          </a:extLst>
        </xdr:cNvPr>
        <xdr:cNvSpPr/>
      </xdr:nvSpPr>
      <xdr:spPr>
        <a:xfrm rot="5400000">
          <a:off x="14963644" y="6775654"/>
          <a:ext cx="23878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391886</xdr:colOff>
      <xdr:row>37</xdr:row>
      <xdr:rowOff>57940</xdr:rowOff>
    </xdr:from>
    <xdr:to>
      <xdr:col>24</xdr:col>
      <xdr:colOff>231234</xdr:colOff>
      <xdr:row>37</xdr:row>
      <xdr:rowOff>60223</xdr:rowOff>
    </xdr:to>
    <xdr:cxnSp macro="">
      <xdr:nvCxnSpPr>
        <xdr:cNvPr id="538" name="Connector: Elbow 351">
          <a:extLst>
            <a:ext uri="{FF2B5EF4-FFF2-40B4-BE49-F238E27FC236}">
              <a16:creationId xmlns:a16="http://schemas.microsoft.com/office/drawing/2014/main" id="{3480B2B5-8348-48E4-BEB3-72A40122D979}"/>
            </a:ext>
          </a:extLst>
        </xdr:cNvPr>
        <xdr:cNvCxnSpPr>
          <a:stCxn id="532" idx="3"/>
          <a:endCxn id="537" idx="3"/>
        </xdr:cNvCxnSpPr>
      </xdr:nvCxnSpPr>
      <xdr:spPr>
        <a:xfrm flipV="1">
          <a:off x="14525757" y="6879069"/>
          <a:ext cx="453864" cy="228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116933</xdr:colOff>
      <xdr:row>43</xdr:row>
      <xdr:rowOff>49162</xdr:rowOff>
    </xdr:from>
    <xdr:to>
      <xdr:col>23</xdr:col>
      <xdr:colOff>356419</xdr:colOff>
      <xdr:row>46</xdr:row>
      <xdr:rowOff>6321</xdr:rowOff>
    </xdr:to>
    <xdr:sp macro="" textlink="">
      <xdr:nvSpPr>
        <xdr:cNvPr id="543" name="Rectangle: Rounded Corners 542">
          <a:extLst>
            <a:ext uri="{FF2B5EF4-FFF2-40B4-BE49-F238E27FC236}">
              <a16:creationId xmlns:a16="http://schemas.microsoft.com/office/drawing/2014/main" id="{E37D0149-4EFE-4E5E-B928-F0058E6E5882}"/>
            </a:ext>
          </a:extLst>
        </xdr:cNvPr>
        <xdr:cNvSpPr/>
      </xdr:nvSpPr>
      <xdr:spPr>
        <a:xfrm>
          <a:off x="13636288" y="7976420"/>
          <a:ext cx="854002" cy="51022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152400</xdr:colOff>
      <xdr:row>49</xdr:row>
      <xdr:rowOff>174171</xdr:rowOff>
    </xdr:from>
    <xdr:to>
      <xdr:col>23</xdr:col>
      <xdr:colOff>391886</xdr:colOff>
      <xdr:row>52</xdr:row>
      <xdr:rowOff>130629</xdr:rowOff>
    </xdr:to>
    <xdr:sp macro="" textlink="">
      <xdr:nvSpPr>
        <xdr:cNvPr id="544" name="Rectangle: Rounded Corners 543">
          <a:extLst>
            <a:ext uri="{FF2B5EF4-FFF2-40B4-BE49-F238E27FC236}">
              <a16:creationId xmlns:a16="http://schemas.microsoft.com/office/drawing/2014/main" id="{B33B078A-FD67-4648-941A-0708C98DB24F}"/>
            </a:ext>
          </a:extLst>
        </xdr:cNvPr>
        <xdr:cNvSpPr/>
      </xdr:nvSpPr>
      <xdr:spPr>
        <a:xfrm>
          <a:off x="13563600" y="75764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20</xdr:col>
      <xdr:colOff>23878</xdr:colOff>
      <xdr:row>47</xdr:row>
      <xdr:rowOff>8075</xdr:rowOff>
    </xdr:from>
    <xdr:to>
      <xdr:col>20</xdr:col>
      <xdr:colOff>344480</xdr:colOff>
      <xdr:row>48</xdr:row>
      <xdr:rowOff>84275</xdr:rowOff>
    </xdr:to>
    <xdr:sp macro="" textlink="">
      <xdr:nvSpPr>
        <xdr:cNvPr id="545" name="Oval 544">
          <a:extLst>
            <a:ext uri="{FF2B5EF4-FFF2-40B4-BE49-F238E27FC236}">
              <a16:creationId xmlns:a16="http://schemas.microsoft.com/office/drawing/2014/main" id="{4040FDE2-970E-47CD-9284-BBA018CBB233}"/>
            </a:ext>
          </a:extLst>
        </xdr:cNvPr>
        <xdr:cNvSpPr/>
      </xdr:nvSpPr>
      <xdr:spPr>
        <a:xfrm>
          <a:off x="12314201" y="8672752"/>
          <a:ext cx="320602"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582385</xdr:colOff>
      <xdr:row>47</xdr:row>
      <xdr:rowOff>113948</xdr:rowOff>
    </xdr:from>
    <xdr:to>
      <xdr:col>20</xdr:col>
      <xdr:colOff>23878</xdr:colOff>
      <xdr:row>47</xdr:row>
      <xdr:rowOff>138353</xdr:rowOff>
    </xdr:to>
    <xdr:cxnSp macro="">
      <xdr:nvCxnSpPr>
        <xdr:cNvPr id="546" name="Connector: Elbow 42">
          <a:extLst>
            <a:ext uri="{FF2B5EF4-FFF2-40B4-BE49-F238E27FC236}">
              <a16:creationId xmlns:a16="http://schemas.microsoft.com/office/drawing/2014/main" id="{BBB9E66A-6365-4A4E-A684-17E04A392D75}"/>
            </a:ext>
          </a:extLst>
        </xdr:cNvPr>
        <xdr:cNvCxnSpPr>
          <a:cxnSpLocks/>
          <a:stCxn id="420" idx="3"/>
          <a:endCxn id="545" idx="2"/>
        </xdr:cNvCxnSpPr>
      </xdr:nvCxnSpPr>
      <xdr:spPr>
        <a:xfrm>
          <a:off x="11643675" y="8778625"/>
          <a:ext cx="670526" cy="2440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184179</xdr:colOff>
      <xdr:row>44</xdr:row>
      <xdr:rowOff>119919</xdr:rowOff>
    </xdr:from>
    <xdr:to>
      <xdr:col>22</xdr:col>
      <xdr:colOff>116933</xdr:colOff>
      <xdr:row>47</xdr:row>
      <xdr:rowOff>8075</xdr:rowOff>
    </xdr:to>
    <xdr:cxnSp macro="">
      <xdr:nvCxnSpPr>
        <xdr:cNvPr id="547" name="Connector: Elbow 546">
          <a:extLst>
            <a:ext uri="{FF2B5EF4-FFF2-40B4-BE49-F238E27FC236}">
              <a16:creationId xmlns:a16="http://schemas.microsoft.com/office/drawing/2014/main" id="{92C2530E-B317-403A-BF7A-05599E432DD1}"/>
            </a:ext>
          </a:extLst>
        </xdr:cNvPr>
        <xdr:cNvCxnSpPr>
          <a:stCxn id="545" idx="0"/>
          <a:endCxn id="543" idx="1"/>
        </xdr:cNvCxnSpPr>
      </xdr:nvCxnSpPr>
      <xdr:spPr>
        <a:xfrm rot="5400000" flipH="1" flipV="1">
          <a:off x="12834785" y="7871249"/>
          <a:ext cx="441220" cy="116178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184179</xdr:colOff>
      <xdr:row>48</xdr:row>
      <xdr:rowOff>84274</xdr:rowOff>
    </xdr:from>
    <xdr:to>
      <xdr:col>22</xdr:col>
      <xdr:colOff>152400</xdr:colOff>
      <xdr:row>51</xdr:row>
      <xdr:rowOff>60222</xdr:rowOff>
    </xdr:to>
    <xdr:cxnSp macro="">
      <xdr:nvCxnSpPr>
        <xdr:cNvPr id="548" name="Connector: Elbow 547">
          <a:extLst>
            <a:ext uri="{FF2B5EF4-FFF2-40B4-BE49-F238E27FC236}">
              <a16:creationId xmlns:a16="http://schemas.microsoft.com/office/drawing/2014/main" id="{1BFB128F-073F-448E-9AF0-E9C9DE10F229}"/>
            </a:ext>
          </a:extLst>
        </xdr:cNvPr>
        <xdr:cNvCxnSpPr>
          <a:stCxn id="545" idx="4"/>
          <a:endCxn id="544" idx="1"/>
        </xdr:cNvCxnSpPr>
      </xdr:nvCxnSpPr>
      <xdr:spPr>
        <a:xfrm rot="16200000" flipH="1">
          <a:off x="12808622" y="8599186"/>
          <a:ext cx="529013" cy="119725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255815</xdr:colOff>
      <xdr:row>51</xdr:row>
      <xdr:rowOff>0</xdr:rowOff>
    </xdr:from>
    <xdr:to>
      <xdr:col>24</xdr:col>
      <xdr:colOff>462644</xdr:colOff>
      <xdr:row>52</xdr:row>
      <xdr:rowOff>54428</xdr:rowOff>
    </xdr:to>
    <xdr:sp macro="" textlink="">
      <xdr:nvSpPr>
        <xdr:cNvPr id="549" name="Isosceles Triangle 548">
          <a:extLst>
            <a:ext uri="{FF2B5EF4-FFF2-40B4-BE49-F238E27FC236}">
              <a16:creationId xmlns:a16="http://schemas.microsoft.com/office/drawing/2014/main" id="{69036CEB-EA1A-41A6-A981-3CCB4B5B2EFB}"/>
            </a:ext>
          </a:extLst>
        </xdr:cNvPr>
        <xdr:cNvSpPr/>
      </xdr:nvSpPr>
      <xdr:spPr>
        <a:xfrm rot="5400000">
          <a:off x="14869887" y="7788728"/>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391886</xdr:colOff>
      <xdr:row>51</xdr:row>
      <xdr:rowOff>59872</xdr:rowOff>
    </xdr:from>
    <xdr:to>
      <xdr:col>24</xdr:col>
      <xdr:colOff>255815</xdr:colOff>
      <xdr:row>51</xdr:row>
      <xdr:rowOff>119743</xdr:rowOff>
    </xdr:to>
    <xdr:cxnSp macro="">
      <xdr:nvCxnSpPr>
        <xdr:cNvPr id="550" name="Connector: Elbow 351">
          <a:extLst>
            <a:ext uri="{FF2B5EF4-FFF2-40B4-BE49-F238E27FC236}">
              <a16:creationId xmlns:a16="http://schemas.microsoft.com/office/drawing/2014/main" id="{03C3836F-6951-4CCF-B21D-2A883D25E560}"/>
            </a:ext>
          </a:extLst>
        </xdr:cNvPr>
        <xdr:cNvCxnSpPr>
          <a:stCxn id="544" idx="3"/>
          <a:endCxn id="549" idx="3"/>
        </xdr:cNvCxnSpPr>
      </xdr:nvCxnSpPr>
      <xdr:spPr>
        <a:xfrm>
          <a:off x="14412686" y="7832272"/>
          <a:ext cx="473529" cy="5987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141514</xdr:colOff>
      <xdr:row>58</xdr:row>
      <xdr:rowOff>0</xdr:rowOff>
    </xdr:from>
    <xdr:to>
      <xdr:col>23</xdr:col>
      <xdr:colOff>381000</xdr:colOff>
      <xdr:row>60</xdr:row>
      <xdr:rowOff>141515</xdr:rowOff>
    </xdr:to>
    <xdr:sp macro="" textlink="">
      <xdr:nvSpPr>
        <xdr:cNvPr id="555" name="Rectangle: Rounded Corners 554">
          <a:extLst>
            <a:ext uri="{FF2B5EF4-FFF2-40B4-BE49-F238E27FC236}">
              <a16:creationId xmlns:a16="http://schemas.microsoft.com/office/drawing/2014/main" id="{ED50F9D3-C945-44D1-AA79-8B35B19E74AB}"/>
            </a:ext>
          </a:extLst>
        </xdr:cNvPr>
        <xdr:cNvSpPr/>
      </xdr:nvSpPr>
      <xdr:spPr>
        <a:xfrm>
          <a:off x="13552714" y="90678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152400</xdr:colOff>
      <xdr:row>62</xdr:row>
      <xdr:rowOff>174171</xdr:rowOff>
    </xdr:from>
    <xdr:to>
      <xdr:col>23</xdr:col>
      <xdr:colOff>391886</xdr:colOff>
      <xdr:row>65</xdr:row>
      <xdr:rowOff>130629</xdr:rowOff>
    </xdr:to>
    <xdr:sp macro="" textlink="">
      <xdr:nvSpPr>
        <xdr:cNvPr id="556" name="Rectangle: Rounded Corners 555">
          <a:extLst>
            <a:ext uri="{FF2B5EF4-FFF2-40B4-BE49-F238E27FC236}">
              <a16:creationId xmlns:a16="http://schemas.microsoft.com/office/drawing/2014/main" id="{FDAEDFC5-D317-4078-833D-37C452409C8A}"/>
            </a:ext>
          </a:extLst>
        </xdr:cNvPr>
        <xdr:cNvSpPr/>
      </xdr:nvSpPr>
      <xdr:spPr>
        <a:xfrm>
          <a:off x="13563600" y="99822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20</xdr:col>
      <xdr:colOff>272144</xdr:colOff>
      <xdr:row>61</xdr:row>
      <xdr:rowOff>123956</xdr:rowOff>
    </xdr:from>
    <xdr:to>
      <xdr:col>20</xdr:col>
      <xdr:colOff>587829</xdr:colOff>
      <xdr:row>63</xdr:row>
      <xdr:rowOff>15800</xdr:rowOff>
    </xdr:to>
    <xdr:sp macro="" textlink="">
      <xdr:nvSpPr>
        <xdr:cNvPr id="557" name="Oval 556">
          <a:extLst>
            <a:ext uri="{FF2B5EF4-FFF2-40B4-BE49-F238E27FC236}">
              <a16:creationId xmlns:a16="http://schemas.microsoft.com/office/drawing/2014/main" id="{860A17C0-4C5D-4C4C-8A9C-A59F1D133D34}"/>
            </a:ext>
          </a:extLst>
        </xdr:cNvPr>
        <xdr:cNvSpPr/>
      </xdr:nvSpPr>
      <xdr:spPr>
        <a:xfrm>
          <a:off x="12562467" y="11369601"/>
          <a:ext cx="315685" cy="2605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533399</xdr:colOff>
      <xdr:row>62</xdr:row>
      <xdr:rowOff>69878</xdr:rowOff>
    </xdr:from>
    <xdr:to>
      <xdr:col>20</xdr:col>
      <xdr:colOff>272144</xdr:colOff>
      <xdr:row>62</xdr:row>
      <xdr:rowOff>103414</xdr:rowOff>
    </xdr:to>
    <xdr:cxnSp macro="">
      <xdr:nvCxnSpPr>
        <xdr:cNvPr id="558" name="Connector: Elbow 42">
          <a:extLst>
            <a:ext uri="{FF2B5EF4-FFF2-40B4-BE49-F238E27FC236}">
              <a16:creationId xmlns:a16="http://schemas.microsoft.com/office/drawing/2014/main" id="{863483FE-FAC0-4C97-A838-533C26D2DC19}"/>
            </a:ext>
          </a:extLst>
        </xdr:cNvPr>
        <xdr:cNvCxnSpPr>
          <a:cxnSpLocks/>
          <a:stCxn id="436" idx="3"/>
          <a:endCxn id="557" idx="2"/>
        </xdr:cNvCxnSpPr>
      </xdr:nvCxnSpPr>
      <xdr:spPr>
        <a:xfrm flipV="1">
          <a:off x="11594689" y="11499878"/>
          <a:ext cx="967778" cy="3353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429986</xdr:colOff>
      <xdr:row>59</xdr:row>
      <xdr:rowOff>70759</xdr:rowOff>
    </xdr:from>
    <xdr:to>
      <xdr:col>22</xdr:col>
      <xdr:colOff>141513</xdr:colOff>
      <xdr:row>61</xdr:row>
      <xdr:rowOff>123957</xdr:rowOff>
    </xdr:to>
    <xdr:cxnSp macro="">
      <xdr:nvCxnSpPr>
        <xdr:cNvPr id="559" name="Connector: Elbow 558">
          <a:extLst>
            <a:ext uri="{FF2B5EF4-FFF2-40B4-BE49-F238E27FC236}">
              <a16:creationId xmlns:a16="http://schemas.microsoft.com/office/drawing/2014/main" id="{F85DAD4D-1ED5-4BCB-BA6C-655BD12D709F}"/>
            </a:ext>
          </a:extLst>
        </xdr:cNvPr>
        <xdr:cNvCxnSpPr>
          <a:stCxn id="557" idx="0"/>
          <a:endCxn id="555" idx="1"/>
        </xdr:cNvCxnSpPr>
      </xdr:nvCxnSpPr>
      <xdr:spPr>
        <a:xfrm rot="5400000" flipH="1" flipV="1">
          <a:off x="12979635" y="10688368"/>
          <a:ext cx="421908" cy="940559"/>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429986</xdr:colOff>
      <xdr:row>63</xdr:row>
      <xdr:rowOff>15800</xdr:rowOff>
    </xdr:from>
    <xdr:to>
      <xdr:col>22</xdr:col>
      <xdr:colOff>152399</xdr:colOff>
      <xdr:row>64</xdr:row>
      <xdr:rowOff>60223</xdr:rowOff>
    </xdr:to>
    <xdr:cxnSp macro="">
      <xdr:nvCxnSpPr>
        <xdr:cNvPr id="560" name="Connector: Elbow 559">
          <a:extLst>
            <a:ext uri="{FF2B5EF4-FFF2-40B4-BE49-F238E27FC236}">
              <a16:creationId xmlns:a16="http://schemas.microsoft.com/office/drawing/2014/main" id="{B5FDC8ED-03B4-456A-AAA5-65CAE8388706}"/>
            </a:ext>
          </a:extLst>
        </xdr:cNvPr>
        <xdr:cNvCxnSpPr>
          <a:stCxn id="557" idx="4"/>
          <a:endCxn id="556" idx="1"/>
        </xdr:cNvCxnSpPr>
      </xdr:nvCxnSpPr>
      <xdr:spPr>
        <a:xfrm rot="16200000" flipH="1">
          <a:off x="13081643" y="11268821"/>
          <a:ext cx="228778" cy="95144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255815</xdr:colOff>
      <xdr:row>64</xdr:row>
      <xdr:rowOff>0</xdr:rowOff>
    </xdr:from>
    <xdr:to>
      <xdr:col>24</xdr:col>
      <xdr:colOff>462644</xdr:colOff>
      <xdr:row>65</xdr:row>
      <xdr:rowOff>54428</xdr:rowOff>
    </xdr:to>
    <xdr:sp macro="" textlink="">
      <xdr:nvSpPr>
        <xdr:cNvPr id="561" name="Isosceles Triangle 560">
          <a:extLst>
            <a:ext uri="{FF2B5EF4-FFF2-40B4-BE49-F238E27FC236}">
              <a16:creationId xmlns:a16="http://schemas.microsoft.com/office/drawing/2014/main" id="{A98E8CCD-5B5B-4D0C-96F9-FE471130874F}"/>
            </a:ext>
          </a:extLst>
        </xdr:cNvPr>
        <xdr:cNvSpPr/>
      </xdr:nvSpPr>
      <xdr:spPr>
        <a:xfrm rot="5400000">
          <a:off x="14869887" y="10194471"/>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391886</xdr:colOff>
      <xdr:row>64</xdr:row>
      <xdr:rowOff>59872</xdr:rowOff>
    </xdr:from>
    <xdr:to>
      <xdr:col>24</xdr:col>
      <xdr:colOff>255815</xdr:colOff>
      <xdr:row>64</xdr:row>
      <xdr:rowOff>119743</xdr:rowOff>
    </xdr:to>
    <xdr:cxnSp macro="">
      <xdr:nvCxnSpPr>
        <xdr:cNvPr id="562" name="Connector: Elbow 351">
          <a:extLst>
            <a:ext uri="{FF2B5EF4-FFF2-40B4-BE49-F238E27FC236}">
              <a16:creationId xmlns:a16="http://schemas.microsoft.com/office/drawing/2014/main" id="{EDD3E0A3-5C64-4EA0-BCF5-E5B098AB841E}"/>
            </a:ext>
          </a:extLst>
        </xdr:cNvPr>
        <xdr:cNvCxnSpPr>
          <a:stCxn id="556" idx="3"/>
          <a:endCxn id="561" idx="3"/>
        </xdr:cNvCxnSpPr>
      </xdr:nvCxnSpPr>
      <xdr:spPr>
        <a:xfrm>
          <a:off x="14412686" y="10238015"/>
          <a:ext cx="473529" cy="59871"/>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141514</xdr:colOff>
      <xdr:row>72</xdr:row>
      <xdr:rowOff>0</xdr:rowOff>
    </xdr:from>
    <xdr:to>
      <xdr:col>23</xdr:col>
      <xdr:colOff>381000</xdr:colOff>
      <xdr:row>74</xdr:row>
      <xdr:rowOff>141515</xdr:rowOff>
    </xdr:to>
    <xdr:sp macro="" textlink="">
      <xdr:nvSpPr>
        <xdr:cNvPr id="567" name="Rectangle: Rounded Corners 566">
          <a:extLst>
            <a:ext uri="{FF2B5EF4-FFF2-40B4-BE49-F238E27FC236}">
              <a16:creationId xmlns:a16="http://schemas.microsoft.com/office/drawing/2014/main" id="{46121900-2963-4505-A296-FA772189BD2D}"/>
            </a:ext>
          </a:extLst>
        </xdr:cNvPr>
        <xdr:cNvSpPr/>
      </xdr:nvSpPr>
      <xdr:spPr>
        <a:xfrm>
          <a:off x="13552714" y="116586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22</xdr:col>
      <xdr:colOff>152400</xdr:colOff>
      <xdr:row>76</xdr:row>
      <xdr:rowOff>174171</xdr:rowOff>
    </xdr:from>
    <xdr:to>
      <xdr:col>23</xdr:col>
      <xdr:colOff>391886</xdr:colOff>
      <xdr:row>79</xdr:row>
      <xdr:rowOff>130629</xdr:rowOff>
    </xdr:to>
    <xdr:sp macro="" textlink="">
      <xdr:nvSpPr>
        <xdr:cNvPr id="568" name="Rectangle: Rounded Corners 567">
          <a:extLst>
            <a:ext uri="{FF2B5EF4-FFF2-40B4-BE49-F238E27FC236}">
              <a16:creationId xmlns:a16="http://schemas.microsoft.com/office/drawing/2014/main" id="{097037F9-2DBA-4E5C-8C0D-66F0DE9F54F2}"/>
            </a:ext>
          </a:extLst>
        </xdr:cNvPr>
        <xdr:cNvSpPr/>
      </xdr:nvSpPr>
      <xdr:spPr>
        <a:xfrm>
          <a:off x="13563600" y="125730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 RDS</a:t>
          </a:r>
        </a:p>
      </xdr:txBody>
    </xdr:sp>
    <xdr:clientData/>
  </xdr:twoCellAnchor>
  <xdr:twoCellAnchor>
    <xdr:from>
      <xdr:col>19</xdr:col>
      <xdr:colOff>610304</xdr:colOff>
      <xdr:row>76</xdr:row>
      <xdr:rowOff>51619</xdr:rowOff>
    </xdr:from>
    <xdr:to>
      <xdr:col>20</xdr:col>
      <xdr:colOff>311472</xdr:colOff>
      <xdr:row>77</xdr:row>
      <xdr:rowOff>127819</xdr:rowOff>
    </xdr:to>
    <xdr:sp macro="" textlink="">
      <xdr:nvSpPr>
        <xdr:cNvPr id="569" name="Oval 568">
          <a:extLst>
            <a:ext uri="{FF2B5EF4-FFF2-40B4-BE49-F238E27FC236}">
              <a16:creationId xmlns:a16="http://schemas.microsoft.com/office/drawing/2014/main" id="{EF31FAC7-4E8A-4EFD-B1C8-A6548E94DB1F}"/>
            </a:ext>
          </a:extLst>
        </xdr:cNvPr>
        <xdr:cNvSpPr/>
      </xdr:nvSpPr>
      <xdr:spPr>
        <a:xfrm>
          <a:off x="12286110" y="14062587"/>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18</xdr:col>
      <xdr:colOff>525235</xdr:colOff>
      <xdr:row>76</xdr:row>
      <xdr:rowOff>181897</xdr:rowOff>
    </xdr:from>
    <xdr:to>
      <xdr:col>19</xdr:col>
      <xdr:colOff>610304</xdr:colOff>
      <xdr:row>76</xdr:row>
      <xdr:rowOff>181985</xdr:rowOff>
    </xdr:to>
    <xdr:cxnSp macro="">
      <xdr:nvCxnSpPr>
        <xdr:cNvPr id="570" name="Connector: Elbow 42">
          <a:extLst>
            <a:ext uri="{FF2B5EF4-FFF2-40B4-BE49-F238E27FC236}">
              <a16:creationId xmlns:a16="http://schemas.microsoft.com/office/drawing/2014/main" id="{E25E4084-2ED4-454E-8ABD-3A91961D77FE}"/>
            </a:ext>
          </a:extLst>
        </xdr:cNvPr>
        <xdr:cNvCxnSpPr>
          <a:cxnSpLocks/>
          <a:stCxn id="462" idx="3"/>
          <a:endCxn id="569" idx="2"/>
        </xdr:cNvCxnSpPr>
      </xdr:nvCxnSpPr>
      <xdr:spPr>
        <a:xfrm flipV="1">
          <a:off x="11586525" y="14192865"/>
          <a:ext cx="699585" cy="8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153630</xdr:colOff>
      <xdr:row>73</xdr:row>
      <xdr:rowOff>70758</xdr:rowOff>
    </xdr:from>
    <xdr:to>
      <xdr:col>22</xdr:col>
      <xdr:colOff>141514</xdr:colOff>
      <xdr:row>76</xdr:row>
      <xdr:rowOff>51619</xdr:rowOff>
    </xdr:to>
    <xdr:cxnSp macro="">
      <xdr:nvCxnSpPr>
        <xdr:cNvPr id="571" name="Connector: Elbow 570">
          <a:extLst>
            <a:ext uri="{FF2B5EF4-FFF2-40B4-BE49-F238E27FC236}">
              <a16:creationId xmlns:a16="http://schemas.microsoft.com/office/drawing/2014/main" id="{D477ABAD-A4A8-4660-870A-DAC7B5B5CA9B}"/>
            </a:ext>
          </a:extLst>
        </xdr:cNvPr>
        <xdr:cNvCxnSpPr>
          <a:stCxn id="569" idx="0"/>
          <a:endCxn id="567" idx="1"/>
        </xdr:cNvCxnSpPr>
      </xdr:nvCxnSpPr>
      <xdr:spPr>
        <a:xfrm rot="5400000" flipH="1" flipV="1">
          <a:off x="12785448" y="13187166"/>
          <a:ext cx="533926" cy="121691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153630</xdr:colOff>
      <xdr:row>77</xdr:row>
      <xdr:rowOff>127819</xdr:rowOff>
    </xdr:from>
    <xdr:to>
      <xdr:col>22</xdr:col>
      <xdr:colOff>152400</xdr:colOff>
      <xdr:row>78</xdr:row>
      <xdr:rowOff>60223</xdr:rowOff>
    </xdr:to>
    <xdr:cxnSp macro="">
      <xdr:nvCxnSpPr>
        <xdr:cNvPr id="572" name="Connector: Elbow 571">
          <a:extLst>
            <a:ext uri="{FF2B5EF4-FFF2-40B4-BE49-F238E27FC236}">
              <a16:creationId xmlns:a16="http://schemas.microsoft.com/office/drawing/2014/main" id="{5571399D-74A8-4404-95B8-5DA123ECCA8B}"/>
            </a:ext>
          </a:extLst>
        </xdr:cNvPr>
        <xdr:cNvCxnSpPr>
          <a:stCxn id="569" idx="4"/>
          <a:endCxn id="568" idx="1"/>
        </xdr:cNvCxnSpPr>
      </xdr:nvCxnSpPr>
      <xdr:spPr>
        <a:xfrm rot="16200000" flipH="1">
          <a:off x="12999475" y="13767620"/>
          <a:ext cx="116758" cy="122780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120622</xdr:colOff>
      <xdr:row>77</xdr:row>
      <xdr:rowOff>110612</xdr:rowOff>
    </xdr:from>
    <xdr:to>
      <xdr:col>24</xdr:col>
      <xdr:colOff>327451</xdr:colOff>
      <xdr:row>78</xdr:row>
      <xdr:rowOff>165041</xdr:rowOff>
    </xdr:to>
    <xdr:sp macro="" textlink="">
      <xdr:nvSpPr>
        <xdr:cNvPr id="573" name="Isosceles Triangle 572">
          <a:extLst>
            <a:ext uri="{FF2B5EF4-FFF2-40B4-BE49-F238E27FC236}">
              <a16:creationId xmlns:a16="http://schemas.microsoft.com/office/drawing/2014/main" id="{2CA24BA5-98AB-41C7-BB8D-745F95727F49}"/>
            </a:ext>
          </a:extLst>
        </xdr:cNvPr>
        <xdr:cNvSpPr/>
      </xdr:nvSpPr>
      <xdr:spPr>
        <a:xfrm rot="5400000">
          <a:off x="14853032" y="14321912"/>
          <a:ext cx="23878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391886</xdr:colOff>
      <xdr:row>78</xdr:row>
      <xdr:rowOff>45650</xdr:rowOff>
    </xdr:from>
    <xdr:to>
      <xdr:col>24</xdr:col>
      <xdr:colOff>120622</xdr:colOff>
      <xdr:row>78</xdr:row>
      <xdr:rowOff>60223</xdr:rowOff>
    </xdr:to>
    <xdr:cxnSp macro="">
      <xdr:nvCxnSpPr>
        <xdr:cNvPr id="574" name="Connector: Elbow 351">
          <a:extLst>
            <a:ext uri="{FF2B5EF4-FFF2-40B4-BE49-F238E27FC236}">
              <a16:creationId xmlns:a16="http://schemas.microsoft.com/office/drawing/2014/main" id="{4A8D55AE-EE3F-48BB-8ACD-F6C115F23CE0}"/>
            </a:ext>
          </a:extLst>
        </xdr:cNvPr>
        <xdr:cNvCxnSpPr>
          <a:stCxn id="568" idx="3"/>
          <a:endCxn id="573" idx="3"/>
        </xdr:cNvCxnSpPr>
      </xdr:nvCxnSpPr>
      <xdr:spPr>
        <a:xfrm flipV="1">
          <a:off x="14525757" y="14425327"/>
          <a:ext cx="343252" cy="14573"/>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141514</xdr:colOff>
      <xdr:row>94</xdr:row>
      <xdr:rowOff>0</xdr:rowOff>
    </xdr:from>
    <xdr:to>
      <xdr:col>23</xdr:col>
      <xdr:colOff>381000</xdr:colOff>
      <xdr:row>96</xdr:row>
      <xdr:rowOff>141515</xdr:rowOff>
    </xdr:to>
    <xdr:sp macro="" textlink="">
      <xdr:nvSpPr>
        <xdr:cNvPr id="579" name="Rectangle: Rounded Corners 578">
          <a:extLst>
            <a:ext uri="{FF2B5EF4-FFF2-40B4-BE49-F238E27FC236}">
              <a16:creationId xmlns:a16="http://schemas.microsoft.com/office/drawing/2014/main" id="{73F51D6E-92DB-4767-A308-75EF9BB14EAB}"/>
            </a:ext>
          </a:extLst>
        </xdr:cNvPr>
        <xdr:cNvSpPr/>
      </xdr:nvSpPr>
      <xdr:spPr>
        <a:xfrm>
          <a:off x="13552714" y="157298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RDS</a:t>
          </a:r>
        </a:p>
      </xdr:txBody>
    </xdr:sp>
    <xdr:clientData/>
  </xdr:twoCellAnchor>
  <xdr:twoCellAnchor>
    <xdr:from>
      <xdr:col>21</xdr:col>
      <xdr:colOff>607142</xdr:colOff>
      <xdr:row>100</xdr:row>
      <xdr:rowOff>112719</xdr:rowOff>
    </xdr:from>
    <xdr:to>
      <xdr:col>23</xdr:col>
      <xdr:colOff>232112</xdr:colOff>
      <xdr:row>103</xdr:row>
      <xdr:rowOff>69178</xdr:rowOff>
    </xdr:to>
    <xdr:sp macro="" textlink="">
      <xdr:nvSpPr>
        <xdr:cNvPr id="580" name="Rectangle: Rounded Corners 579">
          <a:extLst>
            <a:ext uri="{FF2B5EF4-FFF2-40B4-BE49-F238E27FC236}">
              <a16:creationId xmlns:a16="http://schemas.microsoft.com/office/drawing/2014/main" id="{5E9D9AF3-E963-4C96-B8BA-AD10E9EFE796}"/>
            </a:ext>
          </a:extLst>
        </xdr:cNvPr>
        <xdr:cNvSpPr/>
      </xdr:nvSpPr>
      <xdr:spPr>
        <a:xfrm>
          <a:off x="13511981" y="18548203"/>
          <a:ext cx="854002" cy="50952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no</a:t>
          </a:r>
          <a:r>
            <a:rPr lang="en-ZA" sz="1100" baseline="0">
              <a:solidFill>
                <a:sysClr val="windowText" lastClr="000000"/>
              </a:solidFill>
            </a:rPr>
            <a:t> RDS</a:t>
          </a:r>
          <a:endParaRPr lang="en-ZA" sz="1100">
            <a:solidFill>
              <a:sysClr val="windowText" lastClr="000000"/>
            </a:solidFill>
          </a:endParaRPr>
        </a:p>
      </xdr:txBody>
    </xdr:sp>
    <xdr:clientData/>
  </xdr:twoCellAnchor>
  <xdr:twoCellAnchor>
    <xdr:from>
      <xdr:col>20</xdr:col>
      <xdr:colOff>57238</xdr:colOff>
      <xdr:row>96</xdr:row>
      <xdr:rowOff>112720</xdr:rowOff>
    </xdr:from>
    <xdr:to>
      <xdr:col>20</xdr:col>
      <xdr:colOff>372923</xdr:colOff>
      <xdr:row>98</xdr:row>
      <xdr:rowOff>3864</xdr:rowOff>
    </xdr:to>
    <xdr:sp macro="" textlink="">
      <xdr:nvSpPr>
        <xdr:cNvPr id="581" name="Oval 580">
          <a:extLst>
            <a:ext uri="{FF2B5EF4-FFF2-40B4-BE49-F238E27FC236}">
              <a16:creationId xmlns:a16="http://schemas.microsoft.com/office/drawing/2014/main" id="{267B68F1-917B-45F9-8CB5-77CFC4C797C3}"/>
            </a:ext>
          </a:extLst>
        </xdr:cNvPr>
        <xdr:cNvSpPr/>
      </xdr:nvSpPr>
      <xdr:spPr>
        <a:xfrm>
          <a:off x="12347561" y="17810785"/>
          <a:ext cx="315685" cy="25985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19</xdr:col>
      <xdr:colOff>48985</xdr:colOff>
      <xdr:row>97</xdr:row>
      <xdr:rowOff>35731</xdr:rowOff>
    </xdr:from>
    <xdr:to>
      <xdr:col>20</xdr:col>
      <xdr:colOff>57238</xdr:colOff>
      <xdr:row>97</xdr:row>
      <xdr:rowOff>58293</xdr:rowOff>
    </xdr:to>
    <xdr:cxnSp macro="">
      <xdr:nvCxnSpPr>
        <xdr:cNvPr id="582" name="Connector: Elbow 42">
          <a:extLst>
            <a:ext uri="{FF2B5EF4-FFF2-40B4-BE49-F238E27FC236}">
              <a16:creationId xmlns:a16="http://schemas.microsoft.com/office/drawing/2014/main" id="{3226D3FF-FC58-4557-A67B-658392C839F4}"/>
            </a:ext>
          </a:extLst>
        </xdr:cNvPr>
        <xdr:cNvCxnSpPr>
          <a:cxnSpLocks/>
          <a:stCxn id="475" idx="3"/>
          <a:endCxn id="581" idx="2"/>
        </xdr:cNvCxnSpPr>
      </xdr:nvCxnSpPr>
      <xdr:spPr>
        <a:xfrm>
          <a:off x="11724791" y="17918150"/>
          <a:ext cx="622770" cy="2256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215081</xdr:colOff>
      <xdr:row>95</xdr:row>
      <xdr:rowOff>70759</xdr:rowOff>
    </xdr:from>
    <xdr:to>
      <xdr:col>22</xdr:col>
      <xdr:colOff>141514</xdr:colOff>
      <xdr:row>96</xdr:row>
      <xdr:rowOff>112721</xdr:rowOff>
    </xdr:to>
    <xdr:cxnSp macro="">
      <xdr:nvCxnSpPr>
        <xdr:cNvPr id="583" name="Connector: Elbow 582">
          <a:extLst>
            <a:ext uri="{FF2B5EF4-FFF2-40B4-BE49-F238E27FC236}">
              <a16:creationId xmlns:a16="http://schemas.microsoft.com/office/drawing/2014/main" id="{A36153D1-D220-4990-941E-6F9D1A5FB7AF}"/>
            </a:ext>
          </a:extLst>
        </xdr:cNvPr>
        <xdr:cNvCxnSpPr>
          <a:stCxn id="581" idx="0"/>
          <a:endCxn id="579" idx="1"/>
        </xdr:cNvCxnSpPr>
      </xdr:nvCxnSpPr>
      <xdr:spPr>
        <a:xfrm rot="5400000" flipH="1" flipV="1">
          <a:off x="12969978" y="17119895"/>
          <a:ext cx="226317" cy="1155465"/>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215081</xdr:colOff>
      <xdr:row>98</xdr:row>
      <xdr:rowOff>3863</xdr:rowOff>
    </xdr:from>
    <xdr:to>
      <xdr:col>21</xdr:col>
      <xdr:colOff>607142</xdr:colOff>
      <xdr:row>101</xdr:row>
      <xdr:rowOff>183125</xdr:rowOff>
    </xdr:to>
    <xdr:cxnSp macro="">
      <xdr:nvCxnSpPr>
        <xdr:cNvPr id="584" name="Connector: Elbow 583">
          <a:extLst>
            <a:ext uri="{FF2B5EF4-FFF2-40B4-BE49-F238E27FC236}">
              <a16:creationId xmlns:a16="http://schemas.microsoft.com/office/drawing/2014/main" id="{ECBC1FEC-B35E-4248-B0B0-932AA2CA6A5D}"/>
            </a:ext>
          </a:extLst>
        </xdr:cNvPr>
        <xdr:cNvCxnSpPr>
          <a:stCxn id="581" idx="4"/>
          <a:endCxn id="580" idx="1"/>
        </xdr:cNvCxnSpPr>
      </xdr:nvCxnSpPr>
      <xdr:spPr>
        <a:xfrm rot="16200000" flipH="1">
          <a:off x="12642529" y="17933512"/>
          <a:ext cx="732327" cy="100657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145202</xdr:colOff>
      <xdr:row>101</xdr:row>
      <xdr:rowOff>86032</xdr:rowOff>
    </xdr:from>
    <xdr:to>
      <xdr:col>24</xdr:col>
      <xdr:colOff>352031</xdr:colOff>
      <xdr:row>102</xdr:row>
      <xdr:rowOff>140460</xdr:rowOff>
    </xdr:to>
    <xdr:sp macro="" textlink="">
      <xdr:nvSpPr>
        <xdr:cNvPr id="585" name="Isosceles Triangle 584">
          <a:extLst>
            <a:ext uri="{FF2B5EF4-FFF2-40B4-BE49-F238E27FC236}">
              <a16:creationId xmlns:a16="http://schemas.microsoft.com/office/drawing/2014/main" id="{CDA9F7FD-656C-4A53-A9F7-61BCA14356BB}"/>
            </a:ext>
          </a:extLst>
        </xdr:cNvPr>
        <xdr:cNvSpPr/>
      </xdr:nvSpPr>
      <xdr:spPr>
        <a:xfrm rot="5400000">
          <a:off x="14877612" y="18721848"/>
          <a:ext cx="238783"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232112</xdr:colOff>
      <xdr:row>101</xdr:row>
      <xdr:rowOff>183126</xdr:rowOff>
    </xdr:from>
    <xdr:to>
      <xdr:col>24</xdr:col>
      <xdr:colOff>145202</xdr:colOff>
      <xdr:row>102</xdr:row>
      <xdr:rowOff>21069</xdr:rowOff>
    </xdr:to>
    <xdr:cxnSp macro="">
      <xdr:nvCxnSpPr>
        <xdr:cNvPr id="586" name="Connector: Elbow 351">
          <a:extLst>
            <a:ext uri="{FF2B5EF4-FFF2-40B4-BE49-F238E27FC236}">
              <a16:creationId xmlns:a16="http://schemas.microsoft.com/office/drawing/2014/main" id="{058F064C-871C-4433-8627-D66EFE12D0DE}"/>
            </a:ext>
          </a:extLst>
        </xdr:cNvPr>
        <xdr:cNvCxnSpPr>
          <a:stCxn id="580" idx="3"/>
          <a:endCxn id="585" idx="3"/>
        </xdr:cNvCxnSpPr>
      </xdr:nvCxnSpPr>
      <xdr:spPr>
        <a:xfrm>
          <a:off x="14365983" y="18802965"/>
          <a:ext cx="527606" cy="2229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85768</xdr:colOff>
      <xdr:row>0</xdr:row>
      <xdr:rowOff>117373</xdr:rowOff>
    </xdr:from>
    <xdr:to>
      <xdr:col>26</xdr:col>
      <xdr:colOff>330170</xdr:colOff>
      <xdr:row>3</xdr:row>
      <xdr:rowOff>74532</xdr:rowOff>
    </xdr:to>
    <xdr:sp macro="" textlink="">
      <xdr:nvSpPr>
        <xdr:cNvPr id="593" name="Rectangle: Rounded Corners 592">
          <a:extLst>
            <a:ext uri="{FF2B5EF4-FFF2-40B4-BE49-F238E27FC236}">
              <a16:creationId xmlns:a16="http://schemas.microsoft.com/office/drawing/2014/main" id="{ACEE3B09-2719-4677-B128-DA7B08A65306}"/>
            </a:ext>
          </a:extLst>
        </xdr:cNvPr>
        <xdr:cNvSpPr/>
      </xdr:nvSpPr>
      <xdr:spPr>
        <a:xfrm>
          <a:off x="15448671" y="117373"/>
          <a:ext cx="858918" cy="510224"/>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25</xdr:col>
      <xdr:colOff>5706</xdr:colOff>
      <xdr:row>9</xdr:row>
      <xdr:rowOff>139144</xdr:rowOff>
    </xdr:from>
    <xdr:to>
      <xdr:col>26</xdr:col>
      <xdr:colOff>245192</xdr:colOff>
      <xdr:row>12</xdr:row>
      <xdr:rowOff>94127</xdr:rowOff>
    </xdr:to>
    <xdr:sp macro="" textlink="">
      <xdr:nvSpPr>
        <xdr:cNvPr id="594" name="Rectangle: Rounded Corners 593">
          <a:extLst>
            <a:ext uri="{FF2B5EF4-FFF2-40B4-BE49-F238E27FC236}">
              <a16:creationId xmlns:a16="http://schemas.microsoft.com/office/drawing/2014/main" id="{9DCAC7F0-7973-421B-85EC-68B4C81C458C}"/>
            </a:ext>
          </a:extLst>
        </xdr:cNvPr>
        <xdr:cNvSpPr/>
      </xdr:nvSpPr>
      <xdr:spPr>
        <a:xfrm>
          <a:off x="15368609" y="1798338"/>
          <a:ext cx="854002" cy="508047"/>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23</xdr:col>
      <xdr:colOff>196645</xdr:colOff>
      <xdr:row>4</xdr:row>
      <xdr:rowOff>174522</xdr:rowOff>
    </xdr:from>
    <xdr:to>
      <xdr:col>23</xdr:col>
      <xdr:colOff>512330</xdr:colOff>
      <xdr:row>6</xdr:row>
      <xdr:rowOff>66367</xdr:rowOff>
    </xdr:to>
    <xdr:sp macro="" textlink="">
      <xdr:nvSpPr>
        <xdr:cNvPr id="595" name="Oval 594">
          <a:extLst>
            <a:ext uri="{FF2B5EF4-FFF2-40B4-BE49-F238E27FC236}">
              <a16:creationId xmlns:a16="http://schemas.microsoft.com/office/drawing/2014/main" id="{3DBD1330-C3C5-45EF-BD83-36668971503E}"/>
            </a:ext>
          </a:extLst>
        </xdr:cNvPr>
        <xdr:cNvSpPr/>
      </xdr:nvSpPr>
      <xdr:spPr>
        <a:xfrm>
          <a:off x="14330516" y="911941"/>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23</xdr:col>
      <xdr:colOff>354488</xdr:colOff>
      <xdr:row>2</xdr:row>
      <xdr:rowOff>3775</xdr:rowOff>
    </xdr:from>
    <xdr:to>
      <xdr:col>25</xdr:col>
      <xdr:colOff>85768</xdr:colOff>
      <xdr:row>4</xdr:row>
      <xdr:rowOff>174522</xdr:rowOff>
    </xdr:to>
    <xdr:cxnSp macro="">
      <xdr:nvCxnSpPr>
        <xdr:cNvPr id="596" name="Connector: Elbow 595">
          <a:extLst>
            <a:ext uri="{FF2B5EF4-FFF2-40B4-BE49-F238E27FC236}">
              <a16:creationId xmlns:a16="http://schemas.microsoft.com/office/drawing/2014/main" id="{18728C45-C045-49F3-8292-03F910D5DD9E}"/>
            </a:ext>
          </a:extLst>
        </xdr:cNvPr>
        <xdr:cNvCxnSpPr>
          <a:stCxn id="595" idx="0"/>
          <a:endCxn id="593" idx="1"/>
        </xdr:cNvCxnSpPr>
      </xdr:nvCxnSpPr>
      <xdr:spPr>
        <a:xfrm rot="5400000" flipH="1" flipV="1">
          <a:off x="14698787" y="162057"/>
          <a:ext cx="539456" cy="96031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354488</xdr:colOff>
      <xdr:row>6</xdr:row>
      <xdr:rowOff>66367</xdr:rowOff>
    </xdr:from>
    <xdr:to>
      <xdr:col>25</xdr:col>
      <xdr:colOff>5706</xdr:colOff>
      <xdr:row>11</xdr:row>
      <xdr:rowOff>24459</xdr:rowOff>
    </xdr:to>
    <xdr:cxnSp macro="">
      <xdr:nvCxnSpPr>
        <xdr:cNvPr id="597" name="Connector: Elbow 596">
          <a:extLst>
            <a:ext uri="{FF2B5EF4-FFF2-40B4-BE49-F238E27FC236}">
              <a16:creationId xmlns:a16="http://schemas.microsoft.com/office/drawing/2014/main" id="{9420A60D-3F5A-4D90-9F79-EBC1E20A0E4E}"/>
            </a:ext>
          </a:extLst>
        </xdr:cNvPr>
        <xdr:cNvCxnSpPr>
          <a:stCxn id="595" idx="4"/>
          <a:endCxn id="594" idx="1"/>
        </xdr:cNvCxnSpPr>
      </xdr:nvCxnSpPr>
      <xdr:spPr>
        <a:xfrm rot="16200000" flipH="1">
          <a:off x="14488551" y="1172304"/>
          <a:ext cx="879866" cy="880250"/>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599067</xdr:colOff>
      <xdr:row>10</xdr:row>
      <xdr:rowOff>54606</xdr:rowOff>
    </xdr:from>
    <xdr:to>
      <xdr:col>27</xdr:col>
      <xdr:colOff>196296</xdr:colOff>
      <xdr:row>11</xdr:row>
      <xdr:rowOff>109034</xdr:rowOff>
    </xdr:to>
    <xdr:sp macro="" textlink="">
      <xdr:nvSpPr>
        <xdr:cNvPr id="598" name="Isosceles Triangle 597">
          <a:extLst>
            <a:ext uri="{FF2B5EF4-FFF2-40B4-BE49-F238E27FC236}">
              <a16:creationId xmlns:a16="http://schemas.microsoft.com/office/drawing/2014/main" id="{2F0300A9-539D-4E77-8D0E-CAC24CED1852}"/>
            </a:ext>
          </a:extLst>
        </xdr:cNvPr>
        <xdr:cNvSpPr/>
      </xdr:nvSpPr>
      <xdr:spPr>
        <a:xfrm rot="5400000">
          <a:off x="16562967" y="1911673"/>
          <a:ext cx="238783"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26</xdr:col>
      <xdr:colOff>245192</xdr:colOff>
      <xdr:row>10</xdr:row>
      <xdr:rowOff>173998</xdr:rowOff>
    </xdr:from>
    <xdr:to>
      <xdr:col>26</xdr:col>
      <xdr:colOff>599067</xdr:colOff>
      <xdr:row>11</xdr:row>
      <xdr:rowOff>24459</xdr:rowOff>
    </xdr:to>
    <xdr:cxnSp macro="">
      <xdr:nvCxnSpPr>
        <xdr:cNvPr id="599" name="Connector: Elbow 351">
          <a:extLst>
            <a:ext uri="{FF2B5EF4-FFF2-40B4-BE49-F238E27FC236}">
              <a16:creationId xmlns:a16="http://schemas.microsoft.com/office/drawing/2014/main" id="{703225D6-7991-45A0-8D2E-8BDFF19DB05E}"/>
            </a:ext>
          </a:extLst>
        </xdr:cNvPr>
        <xdr:cNvCxnSpPr>
          <a:stCxn id="594" idx="3"/>
          <a:endCxn id="598" idx="3"/>
        </xdr:cNvCxnSpPr>
      </xdr:nvCxnSpPr>
      <xdr:spPr>
        <a:xfrm flipV="1">
          <a:off x="16222611" y="2017546"/>
          <a:ext cx="353875" cy="3481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571500</xdr:colOff>
      <xdr:row>5</xdr:row>
      <xdr:rowOff>89807</xdr:rowOff>
    </xdr:from>
    <xdr:to>
      <xdr:col>23</xdr:col>
      <xdr:colOff>196645</xdr:colOff>
      <xdr:row>5</xdr:row>
      <xdr:rowOff>120445</xdr:rowOff>
    </xdr:to>
    <xdr:cxnSp macro="">
      <xdr:nvCxnSpPr>
        <xdr:cNvPr id="600" name="Connector: Elbow 42">
          <a:extLst>
            <a:ext uri="{FF2B5EF4-FFF2-40B4-BE49-F238E27FC236}">
              <a16:creationId xmlns:a16="http://schemas.microsoft.com/office/drawing/2014/main" id="{9AD3ADAA-1F97-4BAE-B79D-635E2D83A36F}"/>
            </a:ext>
          </a:extLst>
        </xdr:cNvPr>
        <xdr:cNvCxnSpPr>
          <a:cxnSpLocks/>
          <a:stCxn id="520" idx="3"/>
          <a:endCxn id="595" idx="2"/>
        </xdr:cNvCxnSpPr>
      </xdr:nvCxnSpPr>
      <xdr:spPr>
        <a:xfrm>
          <a:off x="14090855" y="1011581"/>
          <a:ext cx="239661" cy="30638"/>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21596</xdr:colOff>
      <xdr:row>1</xdr:row>
      <xdr:rowOff>81841</xdr:rowOff>
    </xdr:from>
    <xdr:to>
      <xdr:col>27</xdr:col>
      <xdr:colOff>233341</xdr:colOff>
      <xdr:row>2</xdr:row>
      <xdr:rowOff>137744</xdr:rowOff>
    </xdr:to>
    <xdr:sp macro="" textlink="">
      <xdr:nvSpPr>
        <xdr:cNvPr id="603" name="Isosceles Triangle 602">
          <a:extLst>
            <a:ext uri="{FF2B5EF4-FFF2-40B4-BE49-F238E27FC236}">
              <a16:creationId xmlns:a16="http://schemas.microsoft.com/office/drawing/2014/main" id="{301D810B-FE0E-4015-914E-A43CEA0D7C81}"/>
            </a:ext>
          </a:extLst>
        </xdr:cNvPr>
        <xdr:cNvSpPr/>
      </xdr:nvSpPr>
      <xdr:spPr>
        <a:xfrm rot="5400000">
          <a:off x="16599275" y="280452"/>
          <a:ext cx="240258"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26</xdr:col>
      <xdr:colOff>330170</xdr:colOff>
      <xdr:row>2</xdr:row>
      <xdr:rowOff>3775</xdr:rowOff>
    </xdr:from>
    <xdr:to>
      <xdr:col>27</xdr:col>
      <xdr:colOff>21597</xdr:colOff>
      <xdr:row>2</xdr:row>
      <xdr:rowOff>17615</xdr:rowOff>
    </xdr:to>
    <xdr:cxnSp macro="">
      <xdr:nvCxnSpPr>
        <xdr:cNvPr id="604" name="Connector: Elbow 351">
          <a:extLst>
            <a:ext uri="{FF2B5EF4-FFF2-40B4-BE49-F238E27FC236}">
              <a16:creationId xmlns:a16="http://schemas.microsoft.com/office/drawing/2014/main" id="{50DBC453-393F-47FB-AABC-5201B831A663}"/>
            </a:ext>
          </a:extLst>
        </xdr:cNvPr>
        <xdr:cNvCxnSpPr>
          <a:stCxn id="593" idx="3"/>
          <a:endCxn id="603" idx="3"/>
        </xdr:cNvCxnSpPr>
      </xdr:nvCxnSpPr>
      <xdr:spPr>
        <a:xfrm>
          <a:off x="16307589" y="372485"/>
          <a:ext cx="305943" cy="1384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359228</xdr:colOff>
      <xdr:row>26</xdr:row>
      <xdr:rowOff>0</xdr:rowOff>
    </xdr:from>
    <xdr:to>
      <xdr:col>26</xdr:col>
      <xdr:colOff>598714</xdr:colOff>
      <xdr:row>28</xdr:row>
      <xdr:rowOff>141515</xdr:rowOff>
    </xdr:to>
    <xdr:sp macro="" textlink="">
      <xdr:nvSpPr>
        <xdr:cNvPr id="608" name="Rectangle: Rounded Corners 607">
          <a:extLst>
            <a:ext uri="{FF2B5EF4-FFF2-40B4-BE49-F238E27FC236}">
              <a16:creationId xmlns:a16="http://schemas.microsoft.com/office/drawing/2014/main" id="{07C3402F-9E65-4E3D-B303-352827749324}"/>
            </a:ext>
          </a:extLst>
        </xdr:cNvPr>
        <xdr:cNvSpPr/>
      </xdr:nvSpPr>
      <xdr:spPr>
        <a:xfrm>
          <a:off x="15599228" y="3701143"/>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25</xdr:col>
      <xdr:colOff>370114</xdr:colOff>
      <xdr:row>30</xdr:row>
      <xdr:rowOff>174172</xdr:rowOff>
    </xdr:from>
    <xdr:to>
      <xdr:col>27</xdr:col>
      <xdr:colOff>0</xdr:colOff>
      <xdr:row>33</xdr:row>
      <xdr:rowOff>130629</xdr:rowOff>
    </xdr:to>
    <xdr:sp macro="" textlink="">
      <xdr:nvSpPr>
        <xdr:cNvPr id="609" name="Rectangle: Rounded Corners 608">
          <a:extLst>
            <a:ext uri="{FF2B5EF4-FFF2-40B4-BE49-F238E27FC236}">
              <a16:creationId xmlns:a16="http://schemas.microsoft.com/office/drawing/2014/main" id="{0566FA43-7242-4446-94AF-DEDE1598D040}"/>
            </a:ext>
          </a:extLst>
        </xdr:cNvPr>
        <xdr:cNvSpPr/>
      </xdr:nvSpPr>
      <xdr:spPr>
        <a:xfrm>
          <a:off x="15610114" y="4615543"/>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24</xdr:col>
      <xdr:colOff>179439</xdr:colOff>
      <xdr:row>27</xdr:row>
      <xdr:rowOff>174522</xdr:rowOff>
    </xdr:from>
    <xdr:to>
      <xdr:col>24</xdr:col>
      <xdr:colOff>495124</xdr:colOff>
      <xdr:row>29</xdr:row>
      <xdr:rowOff>66367</xdr:rowOff>
    </xdr:to>
    <xdr:sp macro="" textlink="">
      <xdr:nvSpPr>
        <xdr:cNvPr id="610" name="Oval 609">
          <a:extLst>
            <a:ext uri="{FF2B5EF4-FFF2-40B4-BE49-F238E27FC236}">
              <a16:creationId xmlns:a16="http://schemas.microsoft.com/office/drawing/2014/main" id="{78BAB5C0-0367-4145-AA09-D88B52D344F0}"/>
            </a:ext>
          </a:extLst>
        </xdr:cNvPr>
        <xdr:cNvSpPr/>
      </xdr:nvSpPr>
      <xdr:spPr>
        <a:xfrm>
          <a:off x="14927826" y="5152103"/>
          <a:ext cx="315685" cy="2605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24</xdr:col>
      <xdr:colOff>337283</xdr:colOff>
      <xdr:row>27</xdr:row>
      <xdr:rowOff>70757</xdr:rowOff>
    </xdr:from>
    <xdr:to>
      <xdr:col>25</xdr:col>
      <xdr:colOff>359229</xdr:colOff>
      <xdr:row>27</xdr:row>
      <xdr:rowOff>174522</xdr:rowOff>
    </xdr:to>
    <xdr:cxnSp macro="">
      <xdr:nvCxnSpPr>
        <xdr:cNvPr id="611" name="Connector: Elbow 610">
          <a:extLst>
            <a:ext uri="{FF2B5EF4-FFF2-40B4-BE49-F238E27FC236}">
              <a16:creationId xmlns:a16="http://schemas.microsoft.com/office/drawing/2014/main" id="{06A6D37B-5438-4E8F-A0C2-45D748488FA4}"/>
            </a:ext>
          </a:extLst>
        </xdr:cNvPr>
        <xdr:cNvCxnSpPr>
          <a:stCxn id="610" idx="0"/>
          <a:endCxn id="608" idx="1"/>
        </xdr:cNvCxnSpPr>
      </xdr:nvCxnSpPr>
      <xdr:spPr>
        <a:xfrm rot="5400000" flipH="1" flipV="1">
          <a:off x="15352018" y="4781990"/>
          <a:ext cx="103765" cy="63646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337283</xdr:colOff>
      <xdr:row>29</xdr:row>
      <xdr:rowOff>66366</xdr:rowOff>
    </xdr:from>
    <xdr:to>
      <xdr:col>25</xdr:col>
      <xdr:colOff>370115</xdr:colOff>
      <xdr:row>32</xdr:row>
      <xdr:rowOff>60222</xdr:rowOff>
    </xdr:to>
    <xdr:cxnSp macro="">
      <xdr:nvCxnSpPr>
        <xdr:cNvPr id="612" name="Connector: Elbow 611">
          <a:extLst>
            <a:ext uri="{FF2B5EF4-FFF2-40B4-BE49-F238E27FC236}">
              <a16:creationId xmlns:a16="http://schemas.microsoft.com/office/drawing/2014/main" id="{0E048896-3E00-4568-A95C-5CFBD3DC11CD}"/>
            </a:ext>
          </a:extLst>
        </xdr:cNvPr>
        <xdr:cNvCxnSpPr>
          <a:stCxn id="610" idx="4"/>
          <a:endCxn id="609" idx="1"/>
        </xdr:cNvCxnSpPr>
      </xdr:nvCxnSpPr>
      <xdr:spPr>
        <a:xfrm rot="16200000" flipH="1">
          <a:off x="15135883" y="5362443"/>
          <a:ext cx="546921" cy="647348"/>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462644</xdr:colOff>
      <xdr:row>31</xdr:row>
      <xdr:rowOff>119742</xdr:rowOff>
    </xdr:from>
    <xdr:to>
      <xdr:col>28</xdr:col>
      <xdr:colOff>59873</xdr:colOff>
      <xdr:row>32</xdr:row>
      <xdr:rowOff>174170</xdr:rowOff>
    </xdr:to>
    <xdr:sp macro="" textlink="">
      <xdr:nvSpPr>
        <xdr:cNvPr id="613" name="Isosceles Triangle 612">
          <a:extLst>
            <a:ext uri="{FF2B5EF4-FFF2-40B4-BE49-F238E27FC236}">
              <a16:creationId xmlns:a16="http://schemas.microsoft.com/office/drawing/2014/main" id="{EBDD5750-B0F3-4608-832F-C04FA83D8862}"/>
            </a:ext>
          </a:extLst>
        </xdr:cNvPr>
        <xdr:cNvSpPr/>
      </xdr:nvSpPr>
      <xdr:spPr>
        <a:xfrm rot="5400000">
          <a:off x="16905516" y="47624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0</xdr:colOff>
      <xdr:row>32</xdr:row>
      <xdr:rowOff>54428</xdr:rowOff>
    </xdr:from>
    <xdr:to>
      <xdr:col>27</xdr:col>
      <xdr:colOff>462644</xdr:colOff>
      <xdr:row>32</xdr:row>
      <xdr:rowOff>59872</xdr:rowOff>
    </xdr:to>
    <xdr:cxnSp macro="">
      <xdr:nvCxnSpPr>
        <xdr:cNvPr id="614" name="Connector: Elbow 351">
          <a:extLst>
            <a:ext uri="{FF2B5EF4-FFF2-40B4-BE49-F238E27FC236}">
              <a16:creationId xmlns:a16="http://schemas.microsoft.com/office/drawing/2014/main" id="{5CEE1BB8-BBC8-450C-8E96-3CD7C7D8F931}"/>
            </a:ext>
          </a:extLst>
        </xdr:cNvPr>
        <xdr:cNvCxnSpPr>
          <a:stCxn id="609" idx="3"/>
          <a:endCxn id="613" idx="3"/>
        </xdr:cNvCxnSpPr>
      </xdr:nvCxnSpPr>
      <xdr:spPr>
        <a:xfrm flipV="1">
          <a:off x="16459200" y="4865914"/>
          <a:ext cx="462644"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331839</xdr:colOff>
      <xdr:row>28</xdr:row>
      <xdr:rowOff>120445</xdr:rowOff>
    </xdr:from>
    <xdr:to>
      <xdr:col>24</xdr:col>
      <xdr:colOff>179439</xdr:colOff>
      <xdr:row>29</xdr:row>
      <xdr:rowOff>9307</xdr:rowOff>
    </xdr:to>
    <xdr:cxnSp macro="">
      <xdr:nvCxnSpPr>
        <xdr:cNvPr id="615" name="Connector: Elbow 42">
          <a:extLst>
            <a:ext uri="{FF2B5EF4-FFF2-40B4-BE49-F238E27FC236}">
              <a16:creationId xmlns:a16="http://schemas.microsoft.com/office/drawing/2014/main" id="{F43A1EEB-2D0B-4F0B-98AE-978862ECAF21}"/>
            </a:ext>
          </a:extLst>
        </xdr:cNvPr>
        <xdr:cNvCxnSpPr>
          <a:cxnSpLocks/>
          <a:stCxn id="531" idx="3"/>
          <a:endCxn id="610" idx="2"/>
        </xdr:cNvCxnSpPr>
      </xdr:nvCxnSpPr>
      <xdr:spPr>
        <a:xfrm flipV="1">
          <a:off x="14465710" y="5282380"/>
          <a:ext cx="462116" cy="73217"/>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527957</xdr:colOff>
      <xdr:row>26</xdr:row>
      <xdr:rowOff>130628</xdr:rowOff>
    </xdr:from>
    <xdr:to>
      <xdr:col>28</xdr:col>
      <xdr:colOff>125186</xdr:colOff>
      <xdr:row>27</xdr:row>
      <xdr:rowOff>185056</xdr:rowOff>
    </xdr:to>
    <xdr:sp macro="" textlink="">
      <xdr:nvSpPr>
        <xdr:cNvPr id="616" name="Isosceles Triangle 615">
          <a:extLst>
            <a:ext uri="{FF2B5EF4-FFF2-40B4-BE49-F238E27FC236}">
              <a16:creationId xmlns:a16="http://schemas.microsoft.com/office/drawing/2014/main" id="{44CF6B5D-1A63-44F8-9954-E5CD3F299374}"/>
            </a:ext>
          </a:extLst>
        </xdr:cNvPr>
        <xdr:cNvSpPr/>
      </xdr:nvSpPr>
      <xdr:spPr>
        <a:xfrm rot="5400000">
          <a:off x="16970829" y="38480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26</xdr:col>
      <xdr:colOff>598714</xdr:colOff>
      <xdr:row>27</xdr:row>
      <xdr:rowOff>65314</xdr:rowOff>
    </xdr:from>
    <xdr:to>
      <xdr:col>27</xdr:col>
      <xdr:colOff>527957</xdr:colOff>
      <xdr:row>27</xdr:row>
      <xdr:rowOff>70758</xdr:rowOff>
    </xdr:to>
    <xdr:cxnSp macro="">
      <xdr:nvCxnSpPr>
        <xdr:cNvPr id="617" name="Connector: Elbow 351">
          <a:extLst>
            <a:ext uri="{FF2B5EF4-FFF2-40B4-BE49-F238E27FC236}">
              <a16:creationId xmlns:a16="http://schemas.microsoft.com/office/drawing/2014/main" id="{EDB67000-1AB3-4CEE-B3F4-AC49D6C722A8}"/>
            </a:ext>
          </a:extLst>
        </xdr:cNvPr>
        <xdr:cNvCxnSpPr>
          <a:stCxn id="608" idx="3"/>
          <a:endCxn id="616" idx="3"/>
        </xdr:cNvCxnSpPr>
      </xdr:nvCxnSpPr>
      <xdr:spPr>
        <a:xfrm flipV="1">
          <a:off x="16448314" y="3951514"/>
          <a:ext cx="538843"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359228</xdr:colOff>
      <xdr:row>40</xdr:row>
      <xdr:rowOff>0</xdr:rowOff>
    </xdr:from>
    <xdr:to>
      <xdr:col>26</xdr:col>
      <xdr:colOff>598714</xdr:colOff>
      <xdr:row>42</xdr:row>
      <xdr:rowOff>141515</xdr:rowOff>
    </xdr:to>
    <xdr:sp macro="" textlink="">
      <xdr:nvSpPr>
        <xdr:cNvPr id="619" name="Rectangle: Rounded Corners 618">
          <a:extLst>
            <a:ext uri="{FF2B5EF4-FFF2-40B4-BE49-F238E27FC236}">
              <a16:creationId xmlns:a16="http://schemas.microsoft.com/office/drawing/2014/main" id="{82739632-8F6E-4233-BD8F-6A41F8003987}"/>
            </a:ext>
          </a:extLst>
        </xdr:cNvPr>
        <xdr:cNvSpPr/>
      </xdr:nvSpPr>
      <xdr:spPr>
        <a:xfrm>
          <a:off x="15599228" y="6291943"/>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25</xdr:col>
      <xdr:colOff>370114</xdr:colOff>
      <xdr:row>44</xdr:row>
      <xdr:rowOff>174172</xdr:rowOff>
    </xdr:from>
    <xdr:to>
      <xdr:col>27</xdr:col>
      <xdr:colOff>0</xdr:colOff>
      <xdr:row>47</xdr:row>
      <xdr:rowOff>130629</xdr:rowOff>
    </xdr:to>
    <xdr:sp macro="" textlink="">
      <xdr:nvSpPr>
        <xdr:cNvPr id="620" name="Rectangle: Rounded Corners 619">
          <a:extLst>
            <a:ext uri="{FF2B5EF4-FFF2-40B4-BE49-F238E27FC236}">
              <a16:creationId xmlns:a16="http://schemas.microsoft.com/office/drawing/2014/main" id="{78A9EF75-0D66-43E3-80C2-AEE70D6F6693}"/>
            </a:ext>
          </a:extLst>
        </xdr:cNvPr>
        <xdr:cNvSpPr/>
      </xdr:nvSpPr>
      <xdr:spPr>
        <a:xfrm>
          <a:off x="15610114" y="7206343"/>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24</xdr:col>
      <xdr:colOff>191729</xdr:colOff>
      <xdr:row>43</xdr:row>
      <xdr:rowOff>162232</xdr:rowOff>
    </xdr:from>
    <xdr:to>
      <xdr:col>24</xdr:col>
      <xdr:colOff>507414</xdr:colOff>
      <xdr:row>45</xdr:row>
      <xdr:rowOff>54076</xdr:rowOff>
    </xdr:to>
    <xdr:sp macro="" textlink="">
      <xdr:nvSpPr>
        <xdr:cNvPr id="621" name="Oval 620">
          <a:extLst>
            <a:ext uri="{FF2B5EF4-FFF2-40B4-BE49-F238E27FC236}">
              <a16:creationId xmlns:a16="http://schemas.microsoft.com/office/drawing/2014/main" id="{698B9140-9C31-4F59-99B8-B2D342087E3A}"/>
            </a:ext>
          </a:extLst>
        </xdr:cNvPr>
        <xdr:cNvSpPr/>
      </xdr:nvSpPr>
      <xdr:spPr>
        <a:xfrm>
          <a:off x="14940116" y="8089490"/>
          <a:ext cx="315685" cy="26055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24</xdr:col>
      <xdr:colOff>349572</xdr:colOff>
      <xdr:row>41</xdr:row>
      <xdr:rowOff>70758</xdr:rowOff>
    </xdr:from>
    <xdr:to>
      <xdr:col>25</xdr:col>
      <xdr:colOff>359228</xdr:colOff>
      <xdr:row>43</xdr:row>
      <xdr:rowOff>162232</xdr:rowOff>
    </xdr:to>
    <xdr:cxnSp macro="">
      <xdr:nvCxnSpPr>
        <xdr:cNvPr id="622" name="Connector: Elbow 621">
          <a:extLst>
            <a:ext uri="{FF2B5EF4-FFF2-40B4-BE49-F238E27FC236}">
              <a16:creationId xmlns:a16="http://schemas.microsoft.com/office/drawing/2014/main" id="{D9304A90-220A-4F5A-AA77-8A87C72E5706}"/>
            </a:ext>
          </a:extLst>
        </xdr:cNvPr>
        <xdr:cNvCxnSpPr>
          <a:stCxn id="621" idx="0"/>
          <a:endCxn id="619" idx="1"/>
        </xdr:cNvCxnSpPr>
      </xdr:nvCxnSpPr>
      <xdr:spPr>
        <a:xfrm rot="5400000" flipH="1" flipV="1">
          <a:off x="15179953" y="7547312"/>
          <a:ext cx="460184" cy="62417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349572</xdr:colOff>
      <xdr:row>45</xdr:row>
      <xdr:rowOff>54076</xdr:rowOff>
    </xdr:from>
    <xdr:to>
      <xdr:col>25</xdr:col>
      <xdr:colOff>370114</xdr:colOff>
      <xdr:row>46</xdr:row>
      <xdr:rowOff>60223</xdr:rowOff>
    </xdr:to>
    <xdr:cxnSp macro="">
      <xdr:nvCxnSpPr>
        <xdr:cNvPr id="623" name="Connector: Elbow 622">
          <a:extLst>
            <a:ext uri="{FF2B5EF4-FFF2-40B4-BE49-F238E27FC236}">
              <a16:creationId xmlns:a16="http://schemas.microsoft.com/office/drawing/2014/main" id="{99779C7F-B30A-480C-AA92-441B571A14BC}"/>
            </a:ext>
          </a:extLst>
        </xdr:cNvPr>
        <xdr:cNvCxnSpPr>
          <a:stCxn id="621" idx="4"/>
          <a:endCxn id="620" idx="1"/>
        </xdr:cNvCxnSpPr>
      </xdr:nvCxnSpPr>
      <xdr:spPr>
        <a:xfrm rot="16200000" flipH="1">
          <a:off x="15320237" y="8127766"/>
          <a:ext cx="190502" cy="635058"/>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462644</xdr:colOff>
      <xdr:row>45</xdr:row>
      <xdr:rowOff>119742</xdr:rowOff>
    </xdr:from>
    <xdr:to>
      <xdr:col>28</xdr:col>
      <xdr:colOff>59873</xdr:colOff>
      <xdr:row>46</xdr:row>
      <xdr:rowOff>174170</xdr:rowOff>
    </xdr:to>
    <xdr:sp macro="" textlink="">
      <xdr:nvSpPr>
        <xdr:cNvPr id="624" name="Isosceles Triangle 623">
          <a:extLst>
            <a:ext uri="{FF2B5EF4-FFF2-40B4-BE49-F238E27FC236}">
              <a16:creationId xmlns:a16="http://schemas.microsoft.com/office/drawing/2014/main" id="{B260FA5A-88B6-47B5-8248-D4D35B040078}"/>
            </a:ext>
          </a:extLst>
        </xdr:cNvPr>
        <xdr:cNvSpPr/>
      </xdr:nvSpPr>
      <xdr:spPr>
        <a:xfrm rot="5400000">
          <a:off x="16905516" y="73532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0</xdr:colOff>
      <xdr:row>46</xdr:row>
      <xdr:rowOff>54428</xdr:rowOff>
    </xdr:from>
    <xdr:to>
      <xdr:col>27</xdr:col>
      <xdr:colOff>462644</xdr:colOff>
      <xdr:row>46</xdr:row>
      <xdr:rowOff>59872</xdr:rowOff>
    </xdr:to>
    <xdr:cxnSp macro="">
      <xdr:nvCxnSpPr>
        <xdr:cNvPr id="625" name="Connector: Elbow 351">
          <a:extLst>
            <a:ext uri="{FF2B5EF4-FFF2-40B4-BE49-F238E27FC236}">
              <a16:creationId xmlns:a16="http://schemas.microsoft.com/office/drawing/2014/main" id="{F556CBE5-2721-4CF6-92AB-6A118D76C81C}"/>
            </a:ext>
          </a:extLst>
        </xdr:cNvPr>
        <xdr:cNvCxnSpPr>
          <a:stCxn id="620" idx="3"/>
          <a:endCxn id="624" idx="3"/>
        </xdr:cNvCxnSpPr>
      </xdr:nvCxnSpPr>
      <xdr:spPr>
        <a:xfrm flipV="1">
          <a:off x="16459200" y="7456714"/>
          <a:ext cx="462644"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356419</xdr:colOff>
      <xdr:row>44</xdr:row>
      <xdr:rowOff>108154</xdr:rowOff>
    </xdr:from>
    <xdr:to>
      <xdr:col>24</xdr:col>
      <xdr:colOff>191729</xdr:colOff>
      <xdr:row>44</xdr:row>
      <xdr:rowOff>119919</xdr:rowOff>
    </xdr:to>
    <xdr:cxnSp macro="">
      <xdr:nvCxnSpPr>
        <xdr:cNvPr id="626" name="Connector: Elbow 42">
          <a:extLst>
            <a:ext uri="{FF2B5EF4-FFF2-40B4-BE49-F238E27FC236}">
              <a16:creationId xmlns:a16="http://schemas.microsoft.com/office/drawing/2014/main" id="{A561A566-3DBC-4F67-8EF8-9AB120C6B155}"/>
            </a:ext>
          </a:extLst>
        </xdr:cNvPr>
        <xdr:cNvCxnSpPr>
          <a:cxnSpLocks/>
          <a:stCxn id="543" idx="3"/>
          <a:endCxn id="621" idx="2"/>
        </xdr:cNvCxnSpPr>
      </xdr:nvCxnSpPr>
      <xdr:spPr>
        <a:xfrm flipV="1">
          <a:off x="14490290" y="8219767"/>
          <a:ext cx="449826" cy="1176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527957</xdr:colOff>
      <xdr:row>40</xdr:row>
      <xdr:rowOff>130628</xdr:rowOff>
    </xdr:from>
    <xdr:to>
      <xdr:col>28</xdr:col>
      <xdr:colOff>125186</xdr:colOff>
      <xdr:row>41</xdr:row>
      <xdr:rowOff>185056</xdr:rowOff>
    </xdr:to>
    <xdr:sp macro="" textlink="">
      <xdr:nvSpPr>
        <xdr:cNvPr id="627" name="Isosceles Triangle 626">
          <a:extLst>
            <a:ext uri="{FF2B5EF4-FFF2-40B4-BE49-F238E27FC236}">
              <a16:creationId xmlns:a16="http://schemas.microsoft.com/office/drawing/2014/main" id="{82F624A8-58A9-423C-9EE0-AD60CD146E60}"/>
            </a:ext>
          </a:extLst>
        </xdr:cNvPr>
        <xdr:cNvSpPr/>
      </xdr:nvSpPr>
      <xdr:spPr>
        <a:xfrm rot="5400000">
          <a:off x="16970829" y="6438899"/>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26</xdr:col>
      <xdr:colOff>598714</xdr:colOff>
      <xdr:row>41</xdr:row>
      <xdr:rowOff>65314</xdr:rowOff>
    </xdr:from>
    <xdr:to>
      <xdr:col>27</xdr:col>
      <xdr:colOff>527957</xdr:colOff>
      <xdr:row>41</xdr:row>
      <xdr:rowOff>70758</xdr:rowOff>
    </xdr:to>
    <xdr:cxnSp macro="">
      <xdr:nvCxnSpPr>
        <xdr:cNvPr id="628" name="Connector: Elbow 351">
          <a:extLst>
            <a:ext uri="{FF2B5EF4-FFF2-40B4-BE49-F238E27FC236}">
              <a16:creationId xmlns:a16="http://schemas.microsoft.com/office/drawing/2014/main" id="{73F9E7BE-CDA0-49DA-8D5C-64D76E08D505}"/>
            </a:ext>
          </a:extLst>
        </xdr:cNvPr>
        <xdr:cNvCxnSpPr>
          <a:stCxn id="619" idx="3"/>
          <a:endCxn id="627" idx="3"/>
        </xdr:cNvCxnSpPr>
      </xdr:nvCxnSpPr>
      <xdr:spPr>
        <a:xfrm flipV="1">
          <a:off x="16448314" y="6542314"/>
          <a:ext cx="538843"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359228</xdr:colOff>
      <xdr:row>55</xdr:row>
      <xdr:rowOff>0</xdr:rowOff>
    </xdr:from>
    <xdr:to>
      <xdr:col>27</xdr:col>
      <xdr:colOff>598714</xdr:colOff>
      <xdr:row>57</xdr:row>
      <xdr:rowOff>141515</xdr:rowOff>
    </xdr:to>
    <xdr:sp macro="" textlink="">
      <xdr:nvSpPr>
        <xdr:cNvPr id="630" name="Rectangle: Rounded Corners 629">
          <a:extLst>
            <a:ext uri="{FF2B5EF4-FFF2-40B4-BE49-F238E27FC236}">
              <a16:creationId xmlns:a16="http://schemas.microsoft.com/office/drawing/2014/main" id="{D711C2D5-ADD6-489B-9B8E-8163C7D17D64}"/>
            </a:ext>
          </a:extLst>
        </xdr:cNvPr>
        <xdr:cNvSpPr/>
      </xdr:nvSpPr>
      <xdr:spPr>
        <a:xfrm>
          <a:off x="16208828" y="90678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26</xdr:col>
      <xdr:colOff>370114</xdr:colOff>
      <xdr:row>59</xdr:row>
      <xdr:rowOff>174171</xdr:rowOff>
    </xdr:from>
    <xdr:to>
      <xdr:col>28</xdr:col>
      <xdr:colOff>0</xdr:colOff>
      <xdr:row>62</xdr:row>
      <xdr:rowOff>130629</xdr:rowOff>
    </xdr:to>
    <xdr:sp macro="" textlink="">
      <xdr:nvSpPr>
        <xdr:cNvPr id="631" name="Rectangle: Rounded Corners 630">
          <a:extLst>
            <a:ext uri="{FF2B5EF4-FFF2-40B4-BE49-F238E27FC236}">
              <a16:creationId xmlns:a16="http://schemas.microsoft.com/office/drawing/2014/main" id="{0F7623BF-D5E0-4941-960F-C402B1366E68}"/>
            </a:ext>
          </a:extLst>
        </xdr:cNvPr>
        <xdr:cNvSpPr/>
      </xdr:nvSpPr>
      <xdr:spPr>
        <a:xfrm>
          <a:off x="16219714" y="9982200"/>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25</xdr:col>
      <xdr:colOff>228600</xdr:colOff>
      <xdr:row>58</xdr:row>
      <xdr:rowOff>100778</xdr:rowOff>
    </xdr:from>
    <xdr:to>
      <xdr:col>25</xdr:col>
      <xdr:colOff>544285</xdr:colOff>
      <xdr:row>59</xdr:row>
      <xdr:rowOff>176979</xdr:rowOff>
    </xdr:to>
    <xdr:sp macro="" textlink="">
      <xdr:nvSpPr>
        <xdr:cNvPr id="632" name="Oval 631">
          <a:extLst>
            <a:ext uri="{FF2B5EF4-FFF2-40B4-BE49-F238E27FC236}">
              <a16:creationId xmlns:a16="http://schemas.microsoft.com/office/drawing/2014/main" id="{03F72466-88CB-4CF2-A130-2EC94BF02DD6}"/>
            </a:ext>
          </a:extLst>
        </xdr:cNvPr>
        <xdr:cNvSpPr/>
      </xdr:nvSpPr>
      <xdr:spPr>
        <a:xfrm>
          <a:off x="15591503" y="10793359"/>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386442</xdr:colOff>
      <xdr:row>56</xdr:row>
      <xdr:rowOff>70759</xdr:rowOff>
    </xdr:from>
    <xdr:to>
      <xdr:col>26</xdr:col>
      <xdr:colOff>359227</xdr:colOff>
      <xdr:row>58</xdr:row>
      <xdr:rowOff>100779</xdr:rowOff>
    </xdr:to>
    <xdr:cxnSp macro="">
      <xdr:nvCxnSpPr>
        <xdr:cNvPr id="633" name="Connector: Elbow 632">
          <a:extLst>
            <a:ext uri="{FF2B5EF4-FFF2-40B4-BE49-F238E27FC236}">
              <a16:creationId xmlns:a16="http://schemas.microsoft.com/office/drawing/2014/main" id="{2FA97439-AB2C-4A0B-9FC7-446BB937D6CC}"/>
            </a:ext>
          </a:extLst>
        </xdr:cNvPr>
        <xdr:cNvCxnSpPr>
          <a:stCxn id="632" idx="0"/>
          <a:endCxn id="630" idx="1"/>
        </xdr:cNvCxnSpPr>
      </xdr:nvCxnSpPr>
      <xdr:spPr>
        <a:xfrm rot="5400000" flipH="1" flipV="1">
          <a:off x="15843631" y="10300344"/>
          <a:ext cx="398730" cy="587301"/>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386442</xdr:colOff>
      <xdr:row>59</xdr:row>
      <xdr:rowOff>176979</xdr:rowOff>
    </xdr:from>
    <xdr:to>
      <xdr:col>26</xdr:col>
      <xdr:colOff>370113</xdr:colOff>
      <xdr:row>61</xdr:row>
      <xdr:rowOff>60223</xdr:rowOff>
    </xdr:to>
    <xdr:cxnSp macro="">
      <xdr:nvCxnSpPr>
        <xdr:cNvPr id="634" name="Connector: Elbow 633">
          <a:extLst>
            <a:ext uri="{FF2B5EF4-FFF2-40B4-BE49-F238E27FC236}">
              <a16:creationId xmlns:a16="http://schemas.microsoft.com/office/drawing/2014/main" id="{800A8759-D13B-4887-89A8-E7C5FCE1E1E6}"/>
            </a:ext>
          </a:extLst>
        </xdr:cNvPr>
        <xdr:cNvCxnSpPr>
          <a:stCxn id="632" idx="4"/>
          <a:endCxn id="631" idx="1"/>
        </xdr:cNvCxnSpPr>
      </xdr:nvCxnSpPr>
      <xdr:spPr>
        <a:xfrm rot="16200000" flipH="1">
          <a:off x="15922462" y="10880797"/>
          <a:ext cx="251954" cy="598187"/>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462644</xdr:colOff>
      <xdr:row>60</xdr:row>
      <xdr:rowOff>119742</xdr:rowOff>
    </xdr:from>
    <xdr:to>
      <xdr:col>29</xdr:col>
      <xdr:colOff>59873</xdr:colOff>
      <xdr:row>61</xdr:row>
      <xdr:rowOff>174170</xdr:rowOff>
    </xdr:to>
    <xdr:sp macro="" textlink="">
      <xdr:nvSpPr>
        <xdr:cNvPr id="635" name="Isosceles Triangle 634">
          <a:extLst>
            <a:ext uri="{FF2B5EF4-FFF2-40B4-BE49-F238E27FC236}">
              <a16:creationId xmlns:a16="http://schemas.microsoft.com/office/drawing/2014/main" id="{FBDABE15-C74B-4CD5-A5C1-EF4BE14AD754}"/>
            </a:ext>
          </a:extLst>
        </xdr:cNvPr>
        <xdr:cNvSpPr/>
      </xdr:nvSpPr>
      <xdr:spPr>
        <a:xfrm rot="5400000">
          <a:off x="17515116" y="10129156"/>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28</xdr:col>
      <xdr:colOff>0</xdr:colOff>
      <xdr:row>61</xdr:row>
      <xdr:rowOff>54428</xdr:rowOff>
    </xdr:from>
    <xdr:to>
      <xdr:col>28</xdr:col>
      <xdr:colOff>462644</xdr:colOff>
      <xdr:row>61</xdr:row>
      <xdr:rowOff>59872</xdr:rowOff>
    </xdr:to>
    <xdr:cxnSp macro="">
      <xdr:nvCxnSpPr>
        <xdr:cNvPr id="636" name="Connector: Elbow 351">
          <a:extLst>
            <a:ext uri="{FF2B5EF4-FFF2-40B4-BE49-F238E27FC236}">
              <a16:creationId xmlns:a16="http://schemas.microsoft.com/office/drawing/2014/main" id="{8A540443-A329-4EE1-8B9E-8640DD9C8F7E}"/>
            </a:ext>
          </a:extLst>
        </xdr:cNvPr>
        <xdr:cNvCxnSpPr>
          <a:stCxn id="631" idx="3"/>
          <a:endCxn id="635" idx="3"/>
        </xdr:cNvCxnSpPr>
      </xdr:nvCxnSpPr>
      <xdr:spPr>
        <a:xfrm flipV="1">
          <a:off x="17068800" y="10232571"/>
          <a:ext cx="462644"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381000</xdr:colOff>
      <xdr:row>59</xdr:row>
      <xdr:rowOff>46702</xdr:rowOff>
    </xdr:from>
    <xdr:to>
      <xdr:col>25</xdr:col>
      <xdr:colOff>228600</xdr:colOff>
      <xdr:row>59</xdr:row>
      <xdr:rowOff>70758</xdr:rowOff>
    </xdr:to>
    <xdr:cxnSp macro="">
      <xdr:nvCxnSpPr>
        <xdr:cNvPr id="637" name="Connector: Elbow 42">
          <a:extLst>
            <a:ext uri="{FF2B5EF4-FFF2-40B4-BE49-F238E27FC236}">
              <a16:creationId xmlns:a16="http://schemas.microsoft.com/office/drawing/2014/main" id="{5433F9C3-0905-42C1-9A85-1FAEC99A96E4}"/>
            </a:ext>
          </a:extLst>
        </xdr:cNvPr>
        <xdr:cNvCxnSpPr>
          <a:cxnSpLocks/>
          <a:stCxn id="555" idx="3"/>
          <a:endCxn id="632" idx="2"/>
        </xdr:cNvCxnSpPr>
      </xdr:nvCxnSpPr>
      <xdr:spPr>
        <a:xfrm flipV="1">
          <a:off x="14514871" y="10923637"/>
          <a:ext cx="1076632" cy="2405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527957</xdr:colOff>
      <xdr:row>55</xdr:row>
      <xdr:rowOff>130628</xdr:rowOff>
    </xdr:from>
    <xdr:to>
      <xdr:col>29</xdr:col>
      <xdr:colOff>125186</xdr:colOff>
      <xdr:row>56</xdr:row>
      <xdr:rowOff>185056</xdr:rowOff>
    </xdr:to>
    <xdr:sp macro="" textlink="">
      <xdr:nvSpPr>
        <xdr:cNvPr id="638" name="Isosceles Triangle 637">
          <a:extLst>
            <a:ext uri="{FF2B5EF4-FFF2-40B4-BE49-F238E27FC236}">
              <a16:creationId xmlns:a16="http://schemas.microsoft.com/office/drawing/2014/main" id="{6BA8E569-B17E-470A-AE47-84DAD03BBFF6}"/>
            </a:ext>
          </a:extLst>
        </xdr:cNvPr>
        <xdr:cNvSpPr/>
      </xdr:nvSpPr>
      <xdr:spPr>
        <a:xfrm rot="5400000">
          <a:off x="17580429" y="9214756"/>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598714</xdr:colOff>
      <xdr:row>56</xdr:row>
      <xdr:rowOff>65314</xdr:rowOff>
    </xdr:from>
    <xdr:to>
      <xdr:col>28</xdr:col>
      <xdr:colOff>527957</xdr:colOff>
      <xdr:row>56</xdr:row>
      <xdr:rowOff>70758</xdr:rowOff>
    </xdr:to>
    <xdr:cxnSp macro="">
      <xdr:nvCxnSpPr>
        <xdr:cNvPr id="639" name="Connector: Elbow 351">
          <a:extLst>
            <a:ext uri="{FF2B5EF4-FFF2-40B4-BE49-F238E27FC236}">
              <a16:creationId xmlns:a16="http://schemas.microsoft.com/office/drawing/2014/main" id="{F85735C4-A948-46C8-9CD0-0D086BB44B2D}"/>
            </a:ext>
          </a:extLst>
        </xdr:cNvPr>
        <xdr:cNvCxnSpPr>
          <a:stCxn id="630" idx="3"/>
          <a:endCxn id="638" idx="3"/>
        </xdr:cNvCxnSpPr>
      </xdr:nvCxnSpPr>
      <xdr:spPr>
        <a:xfrm flipV="1">
          <a:off x="17057914" y="9318171"/>
          <a:ext cx="538843"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236325</xdr:colOff>
      <xdr:row>69</xdr:row>
      <xdr:rowOff>0</xdr:rowOff>
    </xdr:from>
    <xdr:to>
      <xdr:col>27</xdr:col>
      <xdr:colOff>475811</xdr:colOff>
      <xdr:row>71</xdr:row>
      <xdr:rowOff>141513</xdr:rowOff>
    </xdr:to>
    <xdr:sp macro="" textlink="">
      <xdr:nvSpPr>
        <xdr:cNvPr id="641" name="Rectangle: Rounded Corners 640">
          <a:extLst>
            <a:ext uri="{FF2B5EF4-FFF2-40B4-BE49-F238E27FC236}">
              <a16:creationId xmlns:a16="http://schemas.microsoft.com/office/drawing/2014/main" id="{9F36257A-1A6A-4137-805E-168A85C06471}"/>
            </a:ext>
          </a:extLst>
        </xdr:cNvPr>
        <xdr:cNvSpPr/>
      </xdr:nvSpPr>
      <xdr:spPr>
        <a:xfrm>
          <a:off x="16213744" y="12720484"/>
          <a:ext cx="854002" cy="510223"/>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26</xdr:col>
      <xdr:colOff>370114</xdr:colOff>
      <xdr:row>75</xdr:row>
      <xdr:rowOff>174171</xdr:rowOff>
    </xdr:from>
    <xdr:to>
      <xdr:col>28</xdr:col>
      <xdr:colOff>0</xdr:colOff>
      <xdr:row>78</xdr:row>
      <xdr:rowOff>130629</xdr:rowOff>
    </xdr:to>
    <xdr:sp macro="" textlink="">
      <xdr:nvSpPr>
        <xdr:cNvPr id="642" name="Rectangle: Rounded Corners 641">
          <a:extLst>
            <a:ext uri="{FF2B5EF4-FFF2-40B4-BE49-F238E27FC236}">
              <a16:creationId xmlns:a16="http://schemas.microsoft.com/office/drawing/2014/main" id="{5FC2939D-4662-46EA-A9CC-9EBB40FEC1DE}"/>
            </a:ext>
          </a:extLst>
        </xdr:cNvPr>
        <xdr:cNvSpPr/>
      </xdr:nvSpPr>
      <xdr:spPr>
        <a:xfrm>
          <a:off x="16219714" y="12943114"/>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24</xdr:col>
      <xdr:colOff>277761</xdr:colOff>
      <xdr:row>72</xdr:row>
      <xdr:rowOff>63909</xdr:rowOff>
    </xdr:from>
    <xdr:to>
      <xdr:col>24</xdr:col>
      <xdr:colOff>593446</xdr:colOff>
      <xdr:row>73</xdr:row>
      <xdr:rowOff>140109</xdr:rowOff>
    </xdr:to>
    <xdr:sp macro="" textlink="">
      <xdr:nvSpPr>
        <xdr:cNvPr id="643" name="Oval 642">
          <a:extLst>
            <a:ext uri="{FF2B5EF4-FFF2-40B4-BE49-F238E27FC236}">
              <a16:creationId xmlns:a16="http://schemas.microsoft.com/office/drawing/2014/main" id="{6316F5E0-E9CE-4A5E-B71F-A0E9C2367E3F}"/>
            </a:ext>
          </a:extLst>
        </xdr:cNvPr>
        <xdr:cNvSpPr/>
      </xdr:nvSpPr>
      <xdr:spPr>
        <a:xfrm>
          <a:off x="15026148" y="13337457"/>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24</xdr:col>
      <xdr:colOff>435604</xdr:colOff>
      <xdr:row>70</xdr:row>
      <xdr:rowOff>70758</xdr:rowOff>
    </xdr:from>
    <xdr:to>
      <xdr:col>26</xdr:col>
      <xdr:colOff>236325</xdr:colOff>
      <xdr:row>72</xdr:row>
      <xdr:rowOff>63910</xdr:rowOff>
    </xdr:to>
    <xdr:cxnSp macro="">
      <xdr:nvCxnSpPr>
        <xdr:cNvPr id="644" name="Connector: Elbow 643">
          <a:extLst>
            <a:ext uri="{FF2B5EF4-FFF2-40B4-BE49-F238E27FC236}">
              <a16:creationId xmlns:a16="http://schemas.microsoft.com/office/drawing/2014/main" id="{0F1E6FC3-AA12-4825-97C5-D082D8C74ECD}"/>
            </a:ext>
          </a:extLst>
        </xdr:cNvPr>
        <xdr:cNvCxnSpPr>
          <a:stCxn id="643" idx="0"/>
          <a:endCxn id="641" idx="1"/>
        </xdr:cNvCxnSpPr>
      </xdr:nvCxnSpPr>
      <xdr:spPr>
        <a:xfrm rot="5400000" flipH="1" flipV="1">
          <a:off x="15517937" y="12641651"/>
          <a:ext cx="361861" cy="102975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435605</xdr:colOff>
      <xdr:row>73</xdr:row>
      <xdr:rowOff>140108</xdr:rowOff>
    </xdr:from>
    <xdr:to>
      <xdr:col>26</xdr:col>
      <xdr:colOff>370115</xdr:colOff>
      <xdr:row>77</xdr:row>
      <xdr:rowOff>60221</xdr:rowOff>
    </xdr:to>
    <xdr:cxnSp macro="">
      <xdr:nvCxnSpPr>
        <xdr:cNvPr id="645" name="Connector: Elbow 644">
          <a:extLst>
            <a:ext uri="{FF2B5EF4-FFF2-40B4-BE49-F238E27FC236}">
              <a16:creationId xmlns:a16="http://schemas.microsoft.com/office/drawing/2014/main" id="{5CFA451D-6B8B-4481-8E66-18892876F184}"/>
            </a:ext>
          </a:extLst>
        </xdr:cNvPr>
        <xdr:cNvCxnSpPr>
          <a:stCxn id="643" idx="4"/>
          <a:endCxn id="642" idx="1"/>
        </xdr:cNvCxnSpPr>
      </xdr:nvCxnSpPr>
      <xdr:spPr>
        <a:xfrm rot="16200000" flipH="1">
          <a:off x="15436996" y="13345007"/>
          <a:ext cx="657533" cy="1163542"/>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462644</xdr:colOff>
      <xdr:row>76</xdr:row>
      <xdr:rowOff>119742</xdr:rowOff>
    </xdr:from>
    <xdr:to>
      <xdr:col>29</xdr:col>
      <xdr:colOff>59873</xdr:colOff>
      <xdr:row>77</xdr:row>
      <xdr:rowOff>174170</xdr:rowOff>
    </xdr:to>
    <xdr:sp macro="" textlink="">
      <xdr:nvSpPr>
        <xdr:cNvPr id="646" name="Isosceles Triangle 645">
          <a:extLst>
            <a:ext uri="{FF2B5EF4-FFF2-40B4-BE49-F238E27FC236}">
              <a16:creationId xmlns:a16="http://schemas.microsoft.com/office/drawing/2014/main" id="{F6CEA434-179B-4D53-940E-4A434BF69769}"/>
            </a:ext>
          </a:extLst>
        </xdr:cNvPr>
        <xdr:cNvSpPr/>
      </xdr:nvSpPr>
      <xdr:spPr>
        <a:xfrm rot="5400000">
          <a:off x="17515116" y="13090070"/>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28</xdr:col>
      <xdr:colOff>0</xdr:colOff>
      <xdr:row>77</xdr:row>
      <xdr:rowOff>54428</xdr:rowOff>
    </xdr:from>
    <xdr:to>
      <xdr:col>28</xdr:col>
      <xdr:colOff>462644</xdr:colOff>
      <xdr:row>77</xdr:row>
      <xdr:rowOff>59872</xdr:rowOff>
    </xdr:to>
    <xdr:cxnSp macro="">
      <xdr:nvCxnSpPr>
        <xdr:cNvPr id="647" name="Connector: Elbow 351">
          <a:extLst>
            <a:ext uri="{FF2B5EF4-FFF2-40B4-BE49-F238E27FC236}">
              <a16:creationId xmlns:a16="http://schemas.microsoft.com/office/drawing/2014/main" id="{FDC0758B-9D79-4E73-83AD-FD2203E9D9E0}"/>
            </a:ext>
          </a:extLst>
        </xdr:cNvPr>
        <xdr:cNvCxnSpPr>
          <a:stCxn id="642" idx="3"/>
          <a:endCxn id="646" idx="3"/>
        </xdr:cNvCxnSpPr>
      </xdr:nvCxnSpPr>
      <xdr:spPr>
        <a:xfrm flipV="1">
          <a:off x="17068800" y="13193485"/>
          <a:ext cx="462644"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381000</xdr:colOff>
      <xdr:row>73</xdr:row>
      <xdr:rowOff>9832</xdr:rowOff>
    </xdr:from>
    <xdr:to>
      <xdr:col>24</xdr:col>
      <xdr:colOff>277761</xdr:colOff>
      <xdr:row>73</xdr:row>
      <xdr:rowOff>70758</xdr:rowOff>
    </xdr:to>
    <xdr:cxnSp macro="">
      <xdr:nvCxnSpPr>
        <xdr:cNvPr id="648" name="Connector: Elbow 42">
          <a:extLst>
            <a:ext uri="{FF2B5EF4-FFF2-40B4-BE49-F238E27FC236}">
              <a16:creationId xmlns:a16="http://schemas.microsoft.com/office/drawing/2014/main" id="{868FA42B-6C01-466F-ACE9-7530C560B725}"/>
            </a:ext>
          </a:extLst>
        </xdr:cNvPr>
        <xdr:cNvCxnSpPr>
          <a:cxnSpLocks/>
          <a:stCxn id="567" idx="3"/>
          <a:endCxn id="643" idx="2"/>
        </xdr:cNvCxnSpPr>
      </xdr:nvCxnSpPr>
      <xdr:spPr>
        <a:xfrm flipV="1">
          <a:off x="14514871" y="13467735"/>
          <a:ext cx="511277" cy="6092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478795</xdr:colOff>
      <xdr:row>69</xdr:row>
      <xdr:rowOff>130629</xdr:rowOff>
    </xdr:from>
    <xdr:to>
      <xdr:col>29</xdr:col>
      <xdr:colOff>76024</xdr:colOff>
      <xdr:row>71</xdr:row>
      <xdr:rowOff>701</xdr:rowOff>
    </xdr:to>
    <xdr:sp macro="" textlink="">
      <xdr:nvSpPr>
        <xdr:cNvPr id="649" name="Isosceles Triangle 648">
          <a:extLst>
            <a:ext uri="{FF2B5EF4-FFF2-40B4-BE49-F238E27FC236}">
              <a16:creationId xmlns:a16="http://schemas.microsoft.com/office/drawing/2014/main" id="{7B7EC8E7-2A69-4576-976B-3B03E400C70F}"/>
            </a:ext>
          </a:extLst>
        </xdr:cNvPr>
        <xdr:cNvSpPr/>
      </xdr:nvSpPr>
      <xdr:spPr>
        <a:xfrm rot="5400000">
          <a:off x="17671729" y="12864631"/>
          <a:ext cx="238782"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475811</xdr:colOff>
      <xdr:row>70</xdr:row>
      <xdr:rowOff>65665</xdr:rowOff>
    </xdr:from>
    <xdr:to>
      <xdr:col>28</xdr:col>
      <xdr:colOff>478796</xdr:colOff>
      <xdr:row>70</xdr:row>
      <xdr:rowOff>70757</xdr:rowOff>
    </xdr:to>
    <xdr:cxnSp macro="">
      <xdr:nvCxnSpPr>
        <xdr:cNvPr id="650" name="Connector: Elbow 351">
          <a:extLst>
            <a:ext uri="{FF2B5EF4-FFF2-40B4-BE49-F238E27FC236}">
              <a16:creationId xmlns:a16="http://schemas.microsoft.com/office/drawing/2014/main" id="{32512082-546C-48A5-A076-FCBA4E19B50E}"/>
            </a:ext>
          </a:extLst>
        </xdr:cNvPr>
        <xdr:cNvCxnSpPr>
          <a:stCxn id="641" idx="3"/>
          <a:endCxn id="649" idx="3"/>
        </xdr:cNvCxnSpPr>
      </xdr:nvCxnSpPr>
      <xdr:spPr>
        <a:xfrm flipV="1">
          <a:off x="17067746" y="12970504"/>
          <a:ext cx="617502" cy="509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359228</xdr:colOff>
      <xdr:row>91</xdr:row>
      <xdr:rowOff>0</xdr:rowOff>
    </xdr:from>
    <xdr:to>
      <xdr:col>27</xdr:col>
      <xdr:colOff>598714</xdr:colOff>
      <xdr:row>93</xdr:row>
      <xdr:rowOff>141515</xdr:rowOff>
    </xdr:to>
    <xdr:sp macro="" textlink="">
      <xdr:nvSpPr>
        <xdr:cNvPr id="652" name="Rectangle: Rounded Corners 651">
          <a:extLst>
            <a:ext uri="{FF2B5EF4-FFF2-40B4-BE49-F238E27FC236}">
              <a16:creationId xmlns:a16="http://schemas.microsoft.com/office/drawing/2014/main" id="{5F7FF433-EFB1-4E9F-ADB9-1827EC4FE93C}"/>
            </a:ext>
          </a:extLst>
        </xdr:cNvPr>
        <xdr:cNvSpPr/>
      </xdr:nvSpPr>
      <xdr:spPr>
        <a:xfrm>
          <a:off x="16208828" y="15729857"/>
          <a:ext cx="849086" cy="511629"/>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Complications</a:t>
          </a:r>
          <a:r>
            <a:rPr lang="en-ZA" sz="1100" baseline="0">
              <a:solidFill>
                <a:sysClr val="windowText" lastClr="000000"/>
              </a:solidFill>
            </a:rPr>
            <a:t> in first 2 years</a:t>
          </a:r>
          <a:endParaRPr lang="en-ZA" sz="1100">
            <a:solidFill>
              <a:sysClr val="windowText" lastClr="000000"/>
            </a:solidFill>
          </a:endParaRPr>
        </a:p>
      </xdr:txBody>
    </xdr:sp>
    <xdr:clientData/>
  </xdr:twoCellAnchor>
  <xdr:twoCellAnchor>
    <xdr:from>
      <xdr:col>26</xdr:col>
      <xdr:colOff>271791</xdr:colOff>
      <xdr:row>97</xdr:row>
      <xdr:rowOff>75849</xdr:rowOff>
    </xdr:from>
    <xdr:to>
      <xdr:col>27</xdr:col>
      <xdr:colOff>516194</xdr:colOff>
      <xdr:row>100</xdr:row>
      <xdr:rowOff>32306</xdr:rowOff>
    </xdr:to>
    <xdr:sp macro="" textlink="">
      <xdr:nvSpPr>
        <xdr:cNvPr id="653" name="Rectangle: Rounded Corners 652">
          <a:extLst>
            <a:ext uri="{FF2B5EF4-FFF2-40B4-BE49-F238E27FC236}">
              <a16:creationId xmlns:a16="http://schemas.microsoft.com/office/drawing/2014/main" id="{7104C38F-B08F-4CE5-B002-D9334812E038}"/>
            </a:ext>
          </a:extLst>
        </xdr:cNvPr>
        <xdr:cNvSpPr/>
      </xdr:nvSpPr>
      <xdr:spPr>
        <a:xfrm>
          <a:off x="16249210" y="17958268"/>
          <a:ext cx="858919" cy="509522"/>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Healthy</a:t>
          </a:r>
        </a:p>
      </xdr:txBody>
    </xdr:sp>
    <xdr:clientData/>
  </xdr:twoCellAnchor>
  <xdr:twoCellAnchor>
    <xdr:from>
      <xdr:col>25</xdr:col>
      <xdr:colOff>167148</xdr:colOff>
      <xdr:row>94</xdr:row>
      <xdr:rowOff>88490</xdr:rowOff>
    </xdr:from>
    <xdr:to>
      <xdr:col>25</xdr:col>
      <xdr:colOff>482833</xdr:colOff>
      <xdr:row>95</xdr:row>
      <xdr:rowOff>164690</xdr:rowOff>
    </xdr:to>
    <xdr:sp macro="" textlink="">
      <xdr:nvSpPr>
        <xdr:cNvPr id="654" name="Oval 653">
          <a:extLst>
            <a:ext uri="{FF2B5EF4-FFF2-40B4-BE49-F238E27FC236}">
              <a16:creationId xmlns:a16="http://schemas.microsoft.com/office/drawing/2014/main" id="{479E2282-BFA4-4E50-8DC3-81508C6A49B2}"/>
            </a:ext>
          </a:extLst>
        </xdr:cNvPr>
        <xdr:cNvSpPr/>
      </xdr:nvSpPr>
      <xdr:spPr>
        <a:xfrm>
          <a:off x="15530051" y="17417845"/>
          <a:ext cx="315685" cy="26055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25</xdr:col>
      <xdr:colOff>324990</xdr:colOff>
      <xdr:row>92</xdr:row>
      <xdr:rowOff>70759</xdr:rowOff>
    </xdr:from>
    <xdr:to>
      <xdr:col>26</xdr:col>
      <xdr:colOff>359227</xdr:colOff>
      <xdr:row>94</xdr:row>
      <xdr:rowOff>88491</xdr:rowOff>
    </xdr:to>
    <xdr:cxnSp macro="">
      <xdr:nvCxnSpPr>
        <xdr:cNvPr id="655" name="Connector: Elbow 654">
          <a:extLst>
            <a:ext uri="{FF2B5EF4-FFF2-40B4-BE49-F238E27FC236}">
              <a16:creationId xmlns:a16="http://schemas.microsoft.com/office/drawing/2014/main" id="{D06C9F84-3114-4714-9771-96D9CB7E11BB}"/>
            </a:ext>
          </a:extLst>
        </xdr:cNvPr>
        <xdr:cNvCxnSpPr>
          <a:stCxn id="654" idx="0"/>
          <a:endCxn id="652" idx="1"/>
        </xdr:cNvCxnSpPr>
      </xdr:nvCxnSpPr>
      <xdr:spPr>
        <a:xfrm rot="5400000" flipH="1" flipV="1">
          <a:off x="15819049" y="16900248"/>
          <a:ext cx="386442" cy="648753"/>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324992</xdr:colOff>
      <xdr:row>95</xdr:row>
      <xdr:rowOff>164689</xdr:rowOff>
    </xdr:from>
    <xdr:to>
      <xdr:col>26</xdr:col>
      <xdr:colOff>271792</xdr:colOff>
      <xdr:row>98</xdr:row>
      <xdr:rowOff>146254</xdr:rowOff>
    </xdr:to>
    <xdr:cxnSp macro="">
      <xdr:nvCxnSpPr>
        <xdr:cNvPr id="656" name="Connector: Elbow 655">
          <a:extLst>
            <a:ext uri="{FF2B5EF4-FFF2-40B4-BE49-F238E27FC236}">
              <a16:creationId xmlns:a16="http://schemas.microsoft.com/office/drawing/2014/main" id="{9EE7B8A7-F1F6-49F6-B0FC-6C2C1651D968}"/>
            </a:ext>
          </a:extLst>
        </xdr:cNvPr>
        <xdr:cNvCxnSpPr>
          <a:stCxn id="654" idx="4"/>
          <a:endCxn id="653" idx="1"/>
        </xdr:cNvCxnSpPr>
      </xdr:nvCxnSpPr>
      <xdr:spPr>
        <a:xfrm rot="16200000" flipH="1">
          <a:off x="15701238" y="17665056"/>
          <a:ext cx="534629" cy="561316"/>
        </a:xfrm>
        <a:prstGeom prst="bentConnector2">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462644</xdr:colOff>
      <xdr:row>98</xdr:row>
      <xdr:rowOff>70583</xdr:rowOff>
    </xdr:from>
    <xdr:to>
      <xdr:col>29</xdr:col>
      <xdr:colOff>59873</xdr:colOff>
      <xdr:row>99</xdr:row>
      <xdr:rowOff>125010</xdr:rowOff>
    </xdr:to>
    <xdr:sp macro="" textlink="">
      <xdr:nvSpPr>
        <xdr:cNvPr id="657" name="Isosceles Triangle 656">
          <a:extLst>
            <a:ext uri="{FF2B5EF4-FFF2-40B4-BE49-F238E27FC236}">
              <a16:creationId xmlns:a16="http://schemas.microsoft.com/office/drawing/2014/main" id="{F0089E3D-8BDC-4C38-8D32-3B4E93CB103D}"/>
            </a:ext>
          </a:extLst>
        </xdr:cNvPr>
        <xdr:cNvSpPr/>
      </xdr:nvSpPr>
      <xdr:spPr>
        <a:xfrm rot="5400000">
          <a:off x="17655578" y="18150875"/>
          <a:ext cx="238782" cy="21174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516194</xdr:colOff>
      <xdr:row>98</xdr:row>
      <xdr:rowOff>146255</xdr:rowOff>
    </xdr:from>
    <xdr:to>
      <xdr:col>28</xdr:col>
      <xdr:colOff>462645</xdr:colOff>
      <xdr:row>99</xdr:row>
      <xdr:rowOff>5619</xdr:rowOff>
    </xdr:to>
    <xdr:cxnSp macro="">
      <xdr:nvCxnSpPr>
        <xdr:cNvPr id="658" name="Connector: Elbow 351">
          <a:extLst>
            <a:ext uri="{FF2B5EF4-FFF2-40B4-BE49-F238E27FC236}">
              <a16:creationId xmlns:a16="http://schemas.microsoft.com/office/drawing/2014/main" id="{A01B03C3-097B-42BD-A2FD-EC19C500B777}"/>
            </a:ext>
          </a:extLst>
        </xdr:cNvPr>
        <xdr:cNvCxnSpPr>
          <a:stCxn id="653" idx="3"/>
          <a:endCxn id="657" idx="3"/>
        </xdr:cNvCxnSpPr>
      </xdr:nvCxnSpPr>
      <xdr:spPr>
        <a:xfrm>
          <a:off x="17108129" y="18213029"/>
          <a:ext cx="560968" cy="43719"/>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381000</xdr:colOff>
      <xdr:row>95</xdr:row>
      <xdr:rowOff>34413</xdr:rowOff>
    </xdr:from>
    <xdr:to>
      <xdr:col>25</xdr:col>
      <xdr:colOff>167148</xdr:colOff>
      <xdr:row>95</xdr:row>
      <xdr:rowOff>70758</xdr:rowOff>
    </xdr:to>
    <xdr:cxnSp macro="">
      <xdr:nvCxnSpPr>
        <xdr:cNvPr id="659" name="Connector: Elbow 42">
          <a:extLst>
            <a:ext uri="{FF2B5EF4-FFF2-40B4-BE49-F238E27FC236}">
              <a16:creationId xmlns:a16="http://schemas.microsoft.com/office/drawing/2014/main" id="{7DE5AEA3-DAF3-4862-AFE7-313DB23C839E}"/>
            </a:ext>
          </a:extLst>
        </xdr:cNvPr>
        <xdr:cNvCxnSpPr>
          <a:cxnSpLocks/>
          <a:stCxn id="579" idx="3"/>
          <a:endCxn id="654" idx="2"/>
        </xdr:cNvCxnSpPr>
      </xdr:nvCxnSpPr>
      <xdr:spPr>
        <a:xfrm flipV="1">
          <a:off x="14514871" y="17548123"/>
          <a:ext cx="1015180" cy="36345"/>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527957</xdr:colOff>
      <xdr:row>91</xdr:row>
      <xdr:rowOff>130628</xdr:rowOff>
    </xdr:from>
    <xdr:to>
      <xdr:col>29</xdr:col>
      <xdr:colOff>125186</xdr:colOff>
      <xdr:row>92</xdr:row>
      <xdr:rowOff>185056</xdr:rowOff>
    </xdr:to>
    <xdr:sp macro="" textlink="">
      <xdr:nvSpPr>
        <xdr:cNvPr id="660" name="Isosceles Triangle 659">
          <a:extLst>
            <a:ext uri="{FF2B5EF4-FFF2-40B4-BE49-F238E27FC236}">
              <a16:creationId xmlns:a16="http://schemas.microsoft.com/office/drawing/2014/main" id="{262EBC48-FBB7-49D4-81D6-21373B1F02AE}"/>
            </a:ext>
          </a:extLst>
        </xdr:cNvPr>
        <xdr:cNvSpPr/>
      </xdr:nvSpPr>
      <xdr:spPr>
        <a:xfrm rot="5400000">
          <a:off x="17580429" y="15876813"/>
          <a:ext cx="239485" cy="20682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27</xdr:col>
      <xdr:colOff>598714</xdr:colOff>
      <xdr:row>92</xdr:row>
      <xdr:rowOff>65314</xdr:rowOff>
    </xdr:from>
    <xdr:to>
      <xdr:col>28</xdr:col>
      <xdr:colOff>527957</xdr:colOff>
      <xdr:row>92</xdr:row>
      <xdr:rowOff>70758</xdr:rowOff>
    </xdr:to>
    <xdr:cxnSp macro="">
      <xdr:nvCxnSpPr>
        <xdr:cNvPr id="661" name="Connector: Elbow 351">
          <a:extLst>
            <a:ext uri="{FF2B5EF4-FFF2-40B4-BE49-F238E27FC236}">
              <a16:creationId xmlns:a16="http://schemas.microsoft.com/office/drawing/2014/main" id="{AE55A6C5-9E79-4586-A9B3-E37DA10FD6E0}"/>
            </a:ext>
          </a:extLst>
        </xdr:cNvPr>
        <xdr:cNvCxnSpPr>
          <a:stCxn id="652" idx="3"/>
          <a:endCxn id="660" idx="3"/>
        </xdr:cNvCxnSpPr>
      </xdr:nvCxnSpPr>
      <xdr:spPr>
        <a:xfrm flipV="1">
          <a:off x="17057914" y="15980228"/>
          <a:ext cx="538843" cy="5444"/>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186461</xdr:colOff>
      <xdr:row>46</xdr:row>
      <xdr:rowOff>7725</xdr:rowOff>
    </xdr:from>
    <xdr:to>
      <xdr:col>2</xdr:col>
      <xdr:colOff>425947</xdr:colOff>
      <xdr:row>48</xdr:row>
      <xdr:rowOff>148538</xdr:rowOff>
    </xdr:to>
    <xdr:sp macro="" textlink="">
      <xdr:nvSpPr>
        <xdr:cNvPr id="832" name="Rectangle: Rounded Corners 831">
          <a:extLst>
            <a:ext uri="{FF2B5EF4-FFF2-40B4-BE49-F238E27FC236}">
              <a16:creationId xmlns:a16="http://schemas.microsoft.com/office/drawing/2014/main" id="{BD798BF5-86D1-4EE8-B65B-AF033F76E765}"/>
            </a:ext>
          </a:extLst>
        </xdr:cNvPr>
        <xdr:cNvSpPr/>
      </xdr:nvSpPr>
      <xdr:spPr>
        <a:xfrm>
          <a:off x="800977" y="8488048"/>
          <a:ext cx="854002" cy="509522"/>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PSG</a:t>
          </a:r>
        </a:p>
      </xdr:txBody>
    </xdr:sp>
    <xdr:clientData/>
  </xdr:twoCellAnchor>
  <xdr:twoCellAnchor>
    <xdr:from>
      <xdr:col>1</xdr:col>
      <xdr:colOff>583029</xdr:colOff>
      <xdr:row>48</xdr:row>
      <xdr:rowOff>148538</xdr:rowOff>
    </xdr:from>
    <xdr:to>
      <xdr:col>1</xdr:col>
      <xdr:colOff>613462</xdr:colOff>
      <xdr:row>65</xdr:row>
      <xdr:rowOff>72571</xdr:rowOff>
    </xdr:to>
    <xdr:cxnSp macro="">
      <xdr:nvCxnSpPr>
        <xdr:cNvPr id="834" name="Connector: Elbow 833">
          <a:extLst>
            <a:ext uri="{FF2B5EF4-FFF2-40B4-BE49-F238E27FC236}">
              <a16:creationId xmlns:a16="http://schemas.microsoft.com/office/drawing/2014/main" id="{01150A2D-B8F2-4CE7-8B40-7B2498DC3867}"/>
            </a:ext>
          </a:extLst>
        </xdr:cNvPr>
        <xdr:cNvCxnSpPr>
          <a:stCxn id="2" idx="0"/>
          <a:endCxn id="832" idx="2"/>
        </xdr:cNvCxnSpPr>
      </xdr:nvCxnSpPr>
      <xdr:spPr>
        <a:xfrm flipV="1">
          <a:off x="1197545" y="8997570"/>
          <a:ext cx="30433" cy="3058066"/>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166796</xdr:colOff>
      <xdr:row>80</xdr:row>
      <xdr:rowOff>98674</xdr:rowOff>
    </xdr:from>
    <xdr:to>
      <xdr:col>2</xdr:col>
      <xdr:colOff>406282</xdr:colOff>
      <xdr:row>83</xdr:row>
      <xdr:rowOff>55131</xdr:rowOff>
    </xdr:to>
    <xdr:sp macro="" textlink="">
      <xdr:nvSpPr>
        <xdr:cNvPr id="837" name="Rectangle: Rounded Corners 836">
          <a:extLst>
            <a:ext uri="{FF2B5EF4-FFF2-40B4-BE49-F238E27FC236}">
              <a16:creationId xmlns:a16="http://schemas.microsoft.com/office/drawing/2014/main" id="{9AB3CDA8-671A-4A22-BBFB-D1B159592A99}"/>
            </a:ext>
          </a:extLst>
        </xdr:cNvPr>
        <xdr:cNvSpPr/>
      </xdr:nvSpPr>
      <xdr:spPr>
        <a:xfrm>
          <a:off x="781312" y="14847061"/>
          <a:ext cx="854002" cy="509522"/>
        </a:xfrm>
        <a:prstGeom prst="round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100">
              <a:solidFill>
                <a:sysClr val="windowText" lastClr="000000"/>
              </a:solidFill>
            </a:rPr>
            <a:t>Comparator</a:t>
          </a:r>
        </a:p>
      </xdr:txBody>
    </xdr:sp>
    <xdr:clientData/>
  </xdr:twoCellAnchor>
  <xdr:twoCellAnchor>
    <xdr:from>
      <xdr:col>1</xdr:col>
      <xdr:colOff>583029</xdr:colOff>
      <xdr:row>66</xdr:row>
      <xdr:rowOff>76200</xdr:rowOff>
    </xdr:from>
    <xdr:to>
      <xdr:col>1</xdr:col>
      <xdr:colOff>593797</xdr:colOff>
      <xdr:row>80</xdr:row>
      <xdr:rowOff>98674</xdr:rowOff>
    </xdr:to>
    <xdr:cxnSp macro="">
      <xdr:nvCxnSpPr>
        <xdr:cNvPr id="839" name="Connector: Elbow 838">
          <a:extLst>
            <a:ext uri="{FF2B5EF4-FFF2-40B4-BE49-F238E27FC236}">
              <a16:creationId xmlns:a16="http://schemas.microsoft.com/office/drawing/2014/main" id="{04142594-3BB8-408D-87CE-D1615347DB4B}"/>
            </a:ext>
          </a:extLst>
        </xdr:cNvPr>
        <xdr:cNvCxnSpPr>
          <a:cxnSpLocks/>
          <a:stCxn id="2" idx="2"/>
          <a:endCxn id="837" idx="0"/>
        </xdr:cNvCxnSpPr>
      </xdr:nvCxnSpPr>
      <xdr:spPr>
        <a:xfrm>
          <a:off x="1197545" y="12243619"/>
          <a:ext cx="10768" cy="2603442"/>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601980</xdr:colOff>
      <xdr:row>12</xdr:row>
      <xdr:rowOff>152400</xdr:rowOff>
    </xdr:from>
    <xdr:to>
      <xdr:col>3</xdr:col>
      <xdr:colOff>7620</xdr:colOff>
      <xdr:row>21</xdr:row>
      <xdr:rowOff>0</xdr:rowOff>
    </xdr:to>
    <xdr:cxnSp macro="">
      <xdr:nvCxnSpPr>
        <xdr:cNvPr id="3" name="Straight Arrow Connector 2">
          <a:extLst>
            <a:ext uri="{FF2B5EF4-FFF2-40B4-BE49-F238E27FC236}">
              <a16:creationId xmlns:a16="http://schemas.microsoft.com/office/drawing/2014/main" id="{E6903FD1-B7E9-4502-8AE8-15A4AEC4D0A2}"/>
            </a:ext>
          </a:extLst>
        </xdr:cNvPr>
        <xdr:cNvCxnSpPr/>
      </xdr:nvCxnSpPr>
      <xdr:spPr>
        <a:xfrm flipV="1">
          <a:off x="2933700" y="1432560"/>
          <a:ext cx="624840" cy="9601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21</xdr:row>
      <xdr:rowOff>0</xdr:rowOff>
    </xdr:from>
    <xdr:to>
      <xdr:col>3</xdr:col>
      <xdr:colOff>7620</xdr:colOff>
      <xdr:row>27</xdr:row>
      <xdr:rowOff>0</xdr:rowOff>
    </xdr:to>
    <xdr:cxnSp macro="">
      <xdr:nvCxnSpPr>
        <xdr:cNvPr id="5" name="Straight Arrow Connector 4">
          <a:extLst>
            <a:ext uri="{FF2B5EF4-FFF2-40B4-BE49-F238E27FC236}">
              <a16:creationId xmlns:a16="http://schemas.microsoft.com/office/drawing/2014/main" id="{4E6F8EC9-AD2C-4293-BC52-F46B3AB611E3}"/>
            </a:ext>
          </a:extLst>
        </xdr:cNvPr>
        <xdr:cNvCxnSpPr/>
      </xdr:nvCxnSpPr>
      <xdr:spPr>
        <a:xfrm>
          <a:off x="2948940" y="2575560"/>
          <a:ext cx="609600" cy="16459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9</xdr:row>
      <xdr:rowOff>160020</xdr:rowOff>
    </xdr:from>
    <xdr:to>
      <xdr:col>4</xdr:col>
      <xdr:colOff>601980</xdr:colOff>
      <xdr:row>12</xdr:row>
      <xdr:rowOff>0</xdr:rowOff>
    </xdr:to>
    <xdr:cxnSp macro="">
      <xdr:nvCxnSpPr>
        <xdr:cNvPr id="7" name="Straight Arrow Connector 6">
          <a:extLst>
            <a:ext uri="{FF2B5EF4-FFF2-40B4-BE49-F238E27FC236}">
              <a16:creationId xmlns:a16="http://schemas.microsoft.com/office/drawing/2014/main" id="{48FBD496-6C30-4F46-9834-3AC3DCCD3204}"/>
            </a:ext>
          </a:extLst>
        </xdr:cNvPr>
        <xdr:cNvCxnSpPr/>
      </xdr:nvCxnSpPr>
      <xdr:spPr>
        <a:xfrm flipV="1">
          <a:off x="4160520" y="89154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30480</xdr:colOff>
      <xdr:row>12</xdr:row>
      <xdr:rowOff>99060</xdr:rowOff>
    </xdr:from>
    <xdr:to>
      <xdr:col>5</xdr:col>
      <xdr:colOff>22860</xdr:colOff>
      <xdr:row>15</xdr:row>
      <xdr:rowOff>22860</xdr:rowOff>
    </xdr:to>
    <xdr:cxnSp macro="">
      <xdr:nvCxnSpPr>
        <xdr:cNvPr id="10" name="Straight Arrow Connector 9">
          <a:extLst>
            <a:ext uri="{FF2B5EF4-FFF2-40B4-BE49-F238E27FC236}">
              <a16:creationId xmlns:a16="http://schemas.microsoft.com/office/drawing/2014/main" id="{DD5C95A4-E701-4C69-8D4A-08A5AD9753E6}"/>
            </a:ext>
          </a:extLst>
        </xdr:cNvPr>
        <xdr:cNvCxnSpPr/>
      </xdr:nvCxnSpPr>
      <xdr:spPr>
        <a:xfrm>
          <a:off x="4191000" y="1379220"/>
          <a:ext cx="601980" cy="4724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6</xdr:row>
      <xdr:rowOff>160020</xdr:rowOff>
    </xdr:from>
    <xdr:to>
      <xdr:col>7</xdr:col>
      <xdr:colOff>7620</xdr:colOff>
      <xdr:row>9</xdr:row>
      <xdr:rowOff>0</xdr:rowOff>
    </xdr:to>
    <xdr:cxnSp macro="">
      <xdr:nvCxnSpPr>
        <xdr:cNvPr id="15" name="Straight Arrow Connector 14">
          <a:extLst>
            <a:ext uri="{FF2B5EF4-FFF2-40B4-BE49-F238E27FC236}">
              <a16:creationId xmlns:a16="http://schemas.microsoft.com/office/drawing/2014/main" id="{8ACE942D-2D00-47CB-851E-572AE9FF1C83}"/>
            </a:ext>
          </a:extLst>
        </xdr:cNvPr>
        <xdr:cNvCxnSpPr/>
      </xdr:nvCxnSpPr>
      <xdr:spPr>
        <a:xfrm flipV="1">
          <a:off x="5661660" y="34290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9</xdr:row>
      <xdr:rowOff>99060</xdr:rowOff>
    </xdr:from>
    <xdr:to>
      <xdr:col>7</xdr:col>
      <xdr:colOff>22860</xdr:colOff>
      <xdr:row>9</xdr:row>
      <xdr:rowOff>99060</xdr:rowOff>
    </xdr:to>
    <xdr:cxnSp macro="">
      <xdr:nvCxnSpPr>
        <xdr:cNvPr id="17" name="Straight Arrow Connector 16">
          <a:extLst>
            <a:ext uri="{FF2B5EF4-FFF2-40B4-BE49-F238E27FC236}">
              <a16:creationId xmlns:a16="http://schemas.microsoft.com/office/drawing/2014/main" id="{B9925462-D343-4BC7-8C7B-5039898BCEE9}"/>
            </a:ext>
          </a:extLst>
        </xdr:cNvPr>
        <xdr:cNvCxnSpPr/>
      </xdr:nvCxnSpPr>
      <xdr:spPr>
        <a:xfrm>
          <a:off x="5676900" y="83058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10</xdr:row>
      <xdr:rowOff>0</xdr:rowOff>
    </xdr:from>
    <xdr:to>
      <xdr:col>6</xdr:col>
      <xdr:colOff>594360</xdr:colOff>
      <xdr:row>12</xdr:row>
      <xdr:rowOff>22860</xdr:rowOff>
    </xdr:to>
    <xdr:cxnSp macro="">
      <xdr:nvCxnSpPr>
        <xdr:cNvPr id="19" name="Straight Arrow Connector 18">
          <a:extLst>
            <a:ext uri="{FF2B5EF4-FFF2-40B4-BE49-F238E27FC236}">
              <a16:creationId xmlns:a16="http://schemas.microsoft.com/office/drawing/2014/main" id="{4032EDDA-C72E-4691-9151-E986DC44DA2F}"/>
            </a:ext>
          </a:extLst>
        </xdr:cNvPr>
        <xdr:cNvCxnSpPr/>
      </xdr:nvCxnSpPr>
      <xdr:spPr>
        <a:xfrm>
          <a:off x="5661660" y="91440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45720</xdr:colOff>
      <xdr:row>24</xdr:row>
      <xdr:rowOff>167640</xdr:rowOff>
    </xdr:from>
    <xdr:to>
      <xdr:col>4</xdr:col>
      <xdr:colOff>594360</xdr:colOff>
      <xdr:row>26</xdr:row>
      <xdr:rowOff>137160</xdr:rowOff>
    </xdr:to>
    <xdr:cxnSp macro="">
      <xdr:nvCxnSpPr>
        <xdr:cNvPr id="23" name="Straight Arrow Connector 22">
          <a:extLst>
            <a:ext uri="{FF2B5EF4-FFF2-40B4-BE49-F238E27FC236}">
              <a16:creationId xmlns:a16="http://schemas.microsoft.com/office/drawing/2014/main" id="{724CF393-FBE2-4A73-9990-86DD4D74798C}"/>
            </a:ext>
          </a:extLst>
        </xdr:cNvPr>
        <xdr:cNvCxnSpPr/>
      </xdr:nvCxnSpPr>
      <xdr:spPr>
        <a:xfrm flipV="1">
          <a:off x="2788920" y="3459480"/>
          <a:ext cx="548640" cy="3352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0</xdr:colOff>
      <xdr:row>21</xdr:row>
      <xdr:rowOff>167640</xdr:rowOff>
    </xdr:from>
    <xdr:to>
      <xdr:col>6</xdr:col>
      <xdr:colOff>601980</xdr:colOff>
      <xdr:row>24</xdr:row>
      <xdr:rowOff>7620</xdr:rowOff>
    </xdr:to>
    <xdr:cxnSp macro="">
      <xdr:nvCxnSpPr>
        <xdr:cNvPr id="25" name="Straight Arrow Connector 24">
          <a:extLst>
            <a:ext uri="{FF2B5EF4-FFF2-40B4-BE49-F238E27FC236}">
              <a16:creationId xmlns:a16="http://schemas.microsoft.com/office/drawing/2014/main" id="{29A21EE3-8EEE-42C7-B793-DC97A30876ED}"/>
            </a:ext>
          </a:extLst>
        </xdr:cNvPr>
        <xdr:cNvCxnSpPr/>
      </xdr:nvCxnSpPr>
      <xdr:spPr>
        <a:xfrm flipV="1">
          <a:off x="5669280" y="309372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24</xdr:row>
      <xdr:rowOff>91440</xdr:rowOff>
    </xdr:from>
    <xdr:to>
      <xdr:col>6</xdr:col>
      <xdr:colOff>601980</xdr:colOff>
      <xdr:row>24</xdr:row>
      <xdr:rowOff>99060</xdr:rowOff>
    </xdr:to>
    <xdr:cxnSp macro="">
      <xdr:nvCxnSpPr>
        <xdr:cNvPr id="27" name="Straight Arrow Connector 26">
          <a:extLst>
            <a:ext uri="{FF2B5EF4-FFF2-40B4-BE49-F238E27FC236}">
              <a16:creationId xmlns:a16="http://schemas.microsoft.com/office/drawing/2014/main" id="{A4D057E7-8C1E-4D4D-B80B-ED0CE3BA7C36}"/>
            </a:ext>
          </a:extLst>
        </xdr:cNvPr>
        <xdr:cNvCxnSpPr/>
      </xdr:nvCxnSpPr>
      <xdr:spPr>
        <a:xfrm flipV="1">
          <a:off x="5676900" y="3566160"/>
          <a:ext cx="594360" cy="7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15240</xdr:colOff>
      <xdr:row>27</xdr:row>
      <xdr:rowOff>0</xdr:rowOff>
    </xdr:from>
    <xdr:to>
      <xdr:col>5</xdr:col>
      <xdr:colOff>22860</xdr:colOff>
      <xdr:row>27</xdr:row>
      <xdr:rowOff>45720</xdr:rowOff>
    </xdr:to>
    <xdr:cxnSp macro="">
      <xdr:nvCxnSpPr>
        <xdr:cNvPr id="31" name="Straight Arrow Connector 30">
          <a:extLst>
            <a:ext uri="{FF2B5EF4-FFF2-40B4-BE49-F238E27FC236}">
              <a16:creationId xmlns:a16="http://schemas.microsoft.com/office/drawing/2014/main" id="{EA052EDC-E166-43D8-9258-112F37DAF02E}"/>
            </a:ext>
          </a:extLst>
        </xdr:cNvPr>
        <xdr:cNvCxnSpPr/>
      </xdr:nvCxnSpPr>
      <xdr:spPr>
        <a:xfrm>
          <a:off x="4175760" y="4381500"/>
          <a:ext cx="617220" cy="2362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39</xdr:row>
      <xdr:rowOff>144780</xdr:rowOff>
    </xdr:from>
    <xdr:to>
      <xdr:col>5</xdr:col>
      <xdr:colOff>22860</xdr:colOff>
      <xdr:row>42</xdr:row>
      <xdr:rowOff>15240</xdr:rowOff>
    </xdr:to>
    <xdr:cxnSp macro="">
      <xdr:nvCxnSpPr>
        <xdr:cNvPr id="35" name="Straight Arrow Connector 34">
          <a:extLst>
            <a:ext uri="{FF2B5EF4-FFF2-40B4-BE49-F238E27FC236}">
              <a16:creationId xmlns:a16="http://schemas.microsoft.com/office/drawing/2014/main" id="{954AFE6A-40F1-4AD0-8125-3790DB39080F}"/>
            </a:ext>
          </a:extLst>
        </xdr:cNvPr>
        <xdr:cNvCxnSpPr/>
      </xdr:nvCxnSpPr>
      <xdr:spPr>
        <a:xfrm flipV="1">
          <a:off x="4160520" y="6362700"/>
          <a:ext cx="632460" cy="419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594360</xdr:colOff>
      <xdr:row>42</xdr:row>
      <xdr:rowOff>175260</xdr:rowOff>
    </xdr:from>
    <xdr:to>
      <xdr:col>3</xdr:col>
      <xdr:colOff>7620</xdr:colOff>
      <xdr:row>51</xdr:row>
      <xdr:rowOff>0</xdr:rowOff>
    </xdr:to>
    <xdr:cxnSp macro="">
      <xdr:nvCxnSpPr>
        <xdr:cNvPr id="39" name="Straight Arrow Connector 38">
          <a:extLst>
            <a:ext uri="{FF2B5EF4-FFF2-40B4-BE49-F238E27FC236}">
              <a16:creationId xmlns:a16="http://schemas.microsoft.com/office/drawing/2014/main" id="{31D46313-B1EE-4EF0-ABFB-656E94CA015E}"/>
            </a:ext>
          </a:extLst>
        </xdr:cNvPr>
        <xdr:cNvCxnSpPr/>
      </xdr:nvCxnSpPr>
      <xdr:spPr>
        <a:xfrm flipV="1">
          <a:off x="2926080" y="6941820"/>
          <a:ext cx="632460" cy="9296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51</xdr:row>
      <xdr:rowOff>0</xdr:rowOff>
    </xdr:from>
    <xdr:to>
      <xdr:col>2</xdr:col>
      <xdr:colOff>601980</xdr:colOff>
      <xdr:row>58</xdr:row>
      <xdr:rowOff>30480</xdr:rowOff>
    </xdr:to>
    <xdr:cxnSp macro="">
      <xdr:nvCxnSpPr>
        <xdr:cNvPr id="41" name="Straight Arrow Connector 40">
          <a:extLst>
            <a:ext uri="{FF2B5EF4-FFF2-40B4-BE49-F238E27FC236}">
              <a16:creationId xmlns:a16="http://schemas.microsoft.com/office/drawing/2014/main" id="{941FCB67-E069-4A1C-89D8-53097D4C44DD}"/>
            </a:ext>
          </a:extLst>
        </xdr:cNvPr>
        <xdr:cNvCxnSpPr/>
      </xdr:nvCxnSpPr>
      <xdr:spPr>
        <a:xfrm>
          <a:off x="2948940" y="8054340"/>
          <a:ext cx="594360" cy="16687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7620</xdr:colOff>
      <xdr:row>42</xdr:row>
      <xdr:rowOff>129540</xdr:rowOff>
    </xdr:from>
    <xdr:to>
      <xdr:col>5</xdr:col>
      <xdr:colOff>22860</xdr:colOff>
      <xdr:row>45</xdr:row>
      <xdr:rowOff>15240</xdr:rowOff>
    </xdr:to>
    <xdr:cxnSp macro="">
      <xdr:nvCxnSpPr>
        <xdr:cNvPr id="43" name="Straight Arrow Connector 42">
          <a:extLst>
            <a:ext uri="{FF2B5EF4-FFF2-40B4-BE49-F238E27FC236}">
              <a16:creationId xmlns:a16="http://schemas.microsoft.com/office/drawing/2014/main" id="{B7229997-274E-45C7-AEA1-8166C583C60F}"/>
            </a:ext>
          </a:extLst>
        </xdr:cNvPr>
        <xdr:cNvCxnSpPr/>
      </xdr:nvCxnSpPr>
      <xdr:spPr>
        <a:xfrm>
          <a:off x="4168140" y="6896100"/>
          <a:ext cx="624840" cy="4343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36</xdr:row>
      <xdr:rowOff>152400</xdr:rowOff>
    </xdr:from>
    <xdr:to>
      <xdr:col>7</xdr:col>
      <xdr:colOff>22860</xdr:colOff>
      <xdr:row>39</xdr:row>
      <xdr:rowOff>7620</xdr:rowOff>
    </xdr:to>
    <xdr:cxnSp macro="">
      <xdr:nvCxnSpPr>
        <xdr:cNvPr id="47" name="Straight Arrow Connector 46">
          <a:extLst>
            <a:ext uri="{FF2B5EF4-FFF2-40B4-BE49-F238E27FC236}">
              <a16:creationId xmlns:a16="http://schemas.microsoft.com/office/drawing/2014/main" id="{884F9E03-4230-4027-96D3-0A619106E5CA}"/>
            </a:ext>
          </a:extLst>
        </xdr:cNvPr>
        <xdr:cNvCxnSpPr/>
      </xdr:nvCxnSpPr>
      <xdr:spPr>
        <a:xfrm flipV="1">
          <a:off x="5661660" y="5821680"/>
          <a:ext cx="640080" cy="40386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39</xdr:row>
      <xdr:rowOff>91440</xdr:rowOff>
    </xdr:from>
    <xdr:to>
      <xdr:col>7</xdr:col>
      <xdr:colOff>0</xdr:colOff>
      <xdr:row>39</xdr:row>
      <xdr:rowOff>91440</xdr:rowOff>
    </xdr:to>
    <xdr:cxnSp macro="">
      <xdr:nvCxnSpPr>
        <xdr:cNvPr id="49" name="Straight Arrow Connector 48">
          <a:extLst>
            <a:ext uri="{FF2B5EF4-FFF2-40B4-BE49-F238E27FC236}">
              <a16:creationId xmlns:a16="http://schemas.microsoft.com/office/drawing/2014/main" id="{2C5FD0EF-275A-499B-BA44-400354EA34C0}"/>
            </a:ext>
          </a:extLst>
        </xdr:cNvPr>
        <xdr:cNvCxnSpPr/>
      </xdr:nvCxnSpPr>
      <xdr:spPr>
        <a:xfrm>
          <a:off x="5676900" y="630936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39</xdr:row>
      <xdr:rowOff>167640</xdr:rowOff>
    </xdr:from>
    <xdr:to>
      <xdr:col>7</xdr:col>
      <xdr:colOff>7620</xdr:colOff>
      <xdr:row>42</xdr:row>
      <xdr:rowOff>15240</xdr:rowOff>
    </xdr:to>
    <xdr:cxnSp macro="">
      <xdr:nvCxnSpPr>
        <xdr:cNvPr id="51" name="Straight Arrow Connector 50">
          <a:extLst>
            <a:ext uri="{FF2B5EF4-FFF2-40B4-BE49-F238E27FC236}">
              <a16:creationId xmlns:a16="http://schemas.microsoft.com/office/drawing/2014/main" id="{AC1F9E37-C2BE-4710-83F8-0196C3D74170}"/>
            </a:ext>
          </a:extLst>
        </xdr:cNvPr>
        <xdr:cNvCxnSpPr/>
      </xdr:nvCxnSpPr>
      <xdr:spPr>
        <a:xfrm>
          <a:off x="5676900" y="6385560"/>
          <a:ext cx="60960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594360</xdr:colOff>
      <xdr:row>54</xdr:row>
      <xdr:rowOff>167640</xdr:rowOff>
    </xdr:from>
    <xdr:to>
      <xdr:col>5</xdr:col>
      <xdr:colOff>7620</xdr:colOff>
      <xdr:row>58</xdr:row>
      <xdr:rowOff>0</xdr:rowOff>
    </xdr:to>
    <xdr:cxnSp macro="">
      <xdr:nvCxnSpPr>
        <xdr:cNvPr id="53" name="Straight Arrow Connector 52">
          <a:extLst>
            <a:ext uri="{FF2B5EF4-FFF2-40B4-BE49-F238E27FC236}">
              <a16:creationId xmlns:a16="http://schemas.microsoft.com/office/drawing/2014/main" id="{977433A6-99CD-4D83-9E8D-87E513DE9F9B}"/>
            </a:ext>
          </a:extLst>
        </xdr:cNvPr>
        <xdr:cNvCxnSpPr/>
      </xdr:nvCxnSpPr>
      <xdr:spPr>
        <a:xfrm flipV="1">
          <a:off x="4145280" y="9128760"/>
          <a:ext cx="632460" cy="5638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xdr:colOff>
      <xdr:row>51</xdr:row>
      <xdr:rowOff>152400</xdr:rowOff>
    </xdr:from>
    <xdr:to>
      <xdr:col>7</xdr:col>
      <xdr:colOff>30480</xdr:colOff>
      <xdr:row>54</xdr:row>
      <xdr:rowOff>22860</xdr:rowOff>
    </xdr:to>
    <xdr:cxnSp macro="">
      <xdr:nvCxnSpPr>
        <xdr:cNvPr id="55" name="Straight Arrow Connector 54">
          <a:extLst>
            <a:ext uri="{FF2B5EF4-FFF2-40B4-BE49-F238E27FC236}">
              <a16:creationId xmlns:a16="http://schemas.microsoft.com/office/drawing/2014/main" id="{107EEE7C-C4E5-4A97-AA64-8A0DE98D1297}"/>
            </a:ext>
          </a:extLst>
        </xdr:cNvPr>
        <xdr:cNvCxnSpPr/>
      </xdr:nvCxnSpPr>
      <xdr:spPr>
        <a:xfrm flipV="1">
          <a:off x="5684520" y="8564880"/>
          <a:ext cx="624840" cy="419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54</xdr:row>
      <xdr:rowOff>114300</xdr:rowOff>
    </xdr:from>
    <xdr:to>
      <xdr:col>7</xdr:col>
      <xdr:colOff>15240</xdr:colOff>
      <xdr:row>54</xdr:row>
      <xdr:rowOff>114300</xdr:rowOff>
    </xdr:to>
    <xdr:cxnSp macro="">
      <xdr:nvCxnSpPr>
        <xdr:cNvPr id="57" name="Straight Arrow Connector 56">
          <a:extLst>
            <a:ext uri="{FF2B5EF4-FFF2-40B4-BE49-F238E27FC236}">
              <a16:creationId xmlns:a16="http://schemas.microsoft.com/office/drawing/2014/main" id="{9B62ABE2-2994-483A-B21E-DF01751314D8}"/>
            </a:ext>
          </a:extLst>
        </xdr:cNvPr>
        <xdr:cNvCxnSpPr/>
      </xdr:nvCxnSpPr>
      <xdr:spPr>
        <a:xfrm>
          <a:off x="5661660" y="9075420"/>
          <a:ext cx="63246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57</xdr:row>
      <xdr:rowOff>95250</xdr:rowOff>
    </xdr:from>
    <xdr:to>
      <xdr:col>4</xdr:col>
      <xdr:colOff>598714</xdr:colOff>
      <xdr:row>58</xdr:row>
      <xdr:rowOff>175260</xdr:rowOff>
    </xdr:to>
    <xdr:cxnSp macro="">
      <xdr:nvCxnSpPr>
        <xdr:cNvPr id="61" name="Straight Arrow Connector 60">
          <a:extLst>
            <a:ext uri="{FF2B5EF4-FFF2-40B4-BE49-F238E27FC236}">
              <a16:creationId xmlns:a16="http://schemas.microsoft.com/office/drawing/2014/main" id="{032BFF7C-D19A-4647-8A31-3EEF448A96A9}"/>
            </a:ext>
          </a:extLst>
        </xdr:cNvPr>
        <xdr:cNvCxnSpPr/>
      </xdr:nvCxnSpPr>
      <xdr:spPr>
        <a:xfrm flipV="1">
          <a:off x="2735036" y="8055429"/>
          <a:ext cx="598714" cy="25690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601980</xdr:colOff>
      <xdr:row>75</xdr:row>
      <xdr:rowOff>152400</xdr:rowOff>
    </xdr:from>
    <xdr:to>
      <xdr:col>3</xdr:col>
      <xdr:colOff>7620</xdr:colOff>
      <xdr:row>84</xdr:row>
      <xdr:rowOff>15240</xdr:rowOff>
    </xdr:to>
    <xdr:cxnSp macro="">
      <xdr:nvCxnSpPr>
        <xdr:cNvPr id="124" name="Straight Arrow Connector 123">
          <a:extLst>
            <a:ext uri="{FF2B5EF4-FFF2-40B4-BE49-F238E27FC236}">
              <a16:creationId xmlns:a16="http://schemas.microsoft.com/office/drawing/2014/main" id="{F0C35ECA-EBE0-4F70-9E05-283C5A7C5048}"/>
            </a:ext>
          </a:extLst>
        </xdr:cNvPr>
        <xdr:cNvCxnSpPr/>
      </xdr:nvCxnSpPr>
      <xdr:spPr>
        <a:xfrm flipV="1">
          <a:off x="2933700" y="1798320"/>
          <a:ext cx="624840" cy="9601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85</xdr:row>
      <xdr:rowOff>15240</xdr:rowOff>
    </xdr:from>
    <xdr:to>
      <xdr:col>3</xdr:col>
      <xdr:colOff>0</xdr:colOff>
      <xdr:row>91</xdr:row>
      <xdr:rowOff>0</xdr:rowOff>
    </xdr:to>
    <xdr:cxnSp macro="">
      <xdr:nvCxnSpPr>
        <xdr:cNvPr id="125" name="Straight Arrow Connector 124">
          <a:extLst>
            <a:ext uri="{FF2B5EF4-FFF2-40B4-BE49-F238E27FC236}">
              <a16:creationId xmlns:a16="http://schemas.microsoft.com/office/drawing/2014/main" id="{88EE35FD-DB30-406F-9FE2-924A5D61FE3D}"/>
            </a:ext>
          </a:extLst>
        </xdr:cNvPr>
        <xdr:cNvCxnSpPr/>
      </xdr:nvCxnSpPr>
      <xdr:spPr>
        <a:xfrm>
          <a:off x="1395549" y="11867061"/>
          <a:ext cx="604701" cy="104611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72</xdr:row>
      <xdr:rowOff>160020</xdr:rowOff>
    </xdr:from>
    <xdr:to>
      <xdr:col>4</xdr:col>
      <xdr:colOff>601980</xdr:colOff>
      <xdr:row>75</xdr:row>
      <xdr:rowOff>0</xdr:rowOff>
    </xdr:to>
    <xdr:cxnSp macro="">
      <xdr:nvCxnSpPr>
        <xdr:cNvPr id="126" name="Straight Arrow Connector 125">
          <a:extLst>
            <a:ext uri="{FF2B5EF4-FFF2-40B4-BE49-F238E27FC236}">
              <a16:creationId xmlns:a16="http://schemas.microsoft.com/office/drawing/2014/main" id="{5E1054B0-CB4B-41A5-A055-A0C96C183C47}"/>
            </a:ext>
          </a:extLst>
        </xdr:cNvPr>
        <xdr:cNvCxnSpPr/>
      </xdr:nvCxnSpPr>
      <xdr:spPr>
        <a:xfrm flipV="1">
          <a:off x="4160520" y="125730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30480</xdr:colOff>
      <xdr:row>75</xdr:row>
      <xdr:rowOff>99060</xdr:rowOff>
    </xdr:from>
    <xdr:to>
      <xdr:col>5</xdr:col>
      <xdr:colOff>22860</xdr:colOff>
      <xdr:row>78</xdr:row>
      <xdr:rowOff>22860</xdr:rowOff>
    </xdr:to>
    <xdr:cxnSp macro="">
      <xdr:nvCxnSpPr>
        <xdr:cNvPr id="127" name="Straight Arrow Connector 126">
          <a:extLst>
            <a:ext uri="{FF2B5EF4-FFF2-40B4-BE49-F238E27FC236}">
              <a16:creationId xmlns:a16="http://schemas.microsoft.com/office/drawing/2014/main" id="{449461A0-29D9-4E5E-BD4C-70BB100BB617}"/>
            </a:ext>
          </a:extLst>
        </xdr:cNvPr>
        <xdr:cNvCxnSpPr/>
      </xdr:nvCxnSpPr>
      <xdr:spPr>
        <a:xfrm>
          <a:off x="4191000" y="1744980"/>
          <a:ext cx="601980" cy="4724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69</xdr:row>
      <xdr:rowOff>160020</xdr:rowOff>
    </xdr:from>
    <xdr:to>
      <xdr:col>7</xdr:col>
      <xdr:colOff>7620</xdr:colOff>
      <xdr:row>72</xdr:row>
      <xdr:rowOff>0</xdr:rowOff>
    </xdr:to>
    <xdr:cxnSp macro="">
      <xdr:nvCxnSpPr>
        <xdr:cNvPr id="129" name="Straight Arrow Connector 128">
          <a:extLst>
            <a:ext uri="{FF2B5EF4-FFF2-40B4-BE49-F238E27FC236}">
              <a16:creationId xmlns:a16="http://schemas.microsoft.com/office/drawing/2014/main" id="{F24F383F-B994-4CE2-B494-C8912297156D}"/>
            </a:ext>
          </a:extLst>
        </xdr:cNvPr>
        <xdr:cNvCxnSpPr/>
      </xdr:nvCxnSpPr>
      <xdr:spPr>
        <a:xfrm flipV="1">
          <a:off x="5661660" y="70866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72</xdr:row>
      <xdr:rowOff>99060</xdr:rowOff>
    </xdr:from>
    <xdr:to>
      <xdr:col>7</xdr:col>
      <xdr:colOff>22860</xdr:colOff>
      <xdr:row>72</xdr:row>
      <xdr:rowOff>99060</xdr:rowOff>
    </xdr:to>
    <xdr:cxnSp macro="">
      <xdr:nvCxnSpPr>
        <xdr:cNvPr id="130" name="Straight Arrow Connector 129">
          <a:extLst>
            <a:ext uri="{FF2B5EF4-FFF2-40B4-BE49-F238E27FC236}">
              <a16:creationId xmlns:a16="http://schemas.microsoft.com/office/drawing/2014/main" id="{E4942D71-F397-458B-8328-0A11E5C49BFD}"/>
            </a:ext>
          </a:extLst>
        </xdr:cNvPr>
        <xdr:cNvCxnSpPr/>
      </xdr:nvCxnSpPr>
      <xdr:spPr>
        <a:xfrm>
          <a:off x="5676900" y="119634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73</xdr:row>
      <xdr:rowOff>0</xdr:rowOff>
    </xdr:from>
    <xdr:to>
      <xdr:col>6</xdr:col>
      <xdr:colOff>594360</xdr:colOff>
      <xdr:row>75</xdr:row>
      <xdr:rowOff>22860</xdr:rowOff>
    </xdr:to>
    <xdr:cxnSp macro="">
      <xdr:nvCxnSpPr>
        <xdr:cNvPr id="131" name="Straight Arrow Connector 130">
          <a:extLst>
            <a:ext uri="{FF2B5EF4-FFF2-40B4-BE49-F238E27FC236}">
              <a16:creationId xmlns:a16="http://schemas.microsoft.com/office/drawing/2014/main" id="{1223179C-C5DA-4C1D-BAAD-CA1733FB3367}"/>
            </a:ext>
          </a:extLst>
        </xdr:cNvPr>
        <xdr:cNvCxnSpPr/>
      </xdr:nvCxnSpPr>
      <xdr:spPr>
        <a:xfrm>
          <a:off x="5661660" y="128016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594360</xdr:colOff>
      <xdr:row>88</xdr:row>
      <xdr:rowOff>0</xdr:rowOff>
    </xdr:from>
    <xdr:to>
      <xdr:col>4</xdr:col>
      <xdr:colOff>594360</xdr:colOff>
      <xdr:row>91</xdr:row>
      <xdr:rowOff>0</xdr:rowOff>
    </xdr:to>
    <xdr:cxnSp macro="">
      <xdr:nvCxnSpPr>
        <xdr:cNvPr id="133" name="Straight Arrow Connector 132">
          <a:extLst>
            <a:ext uri="{FF2B5EF4-FFF2-40B4-BE49-F238E27FC236}">
              <a16:creationId xmlns:a16="http://schemas.microsoft.com/office/drawing/2014/main" id="{5111AD62-A468-4FEA-B8F8-25CC6D8819DD}"/>
            </a:ext>
          </a:extLst>
        </xdr:cNvPr>
        <xdr:cNvCxnSpPr/>
      </xdr:nvCxnSpPr>
      <xdr:spPr>
        <a:xfrm flipV="1">
          <a:off x="4145280" y="4008120"/>
          <a:ext cx="609600" cy="5638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0</xdr:colOff>
      <xdr:row>84</xdr:row>
      <xdr:rowOff>167640</xdr:rowOff>
    </xdr:from>
    <xdr:to>
      <xdr:col>6</xdr:col>
      <xdr:colOff>601980</xdr:colOff>
      <xdr:row>87</xdr:row>
      <xdr:rowOff>7620</xdr:rowOff>
    </xdr:to>
    <xdr:cxnSp macro="">
      <xdr:nvCxnSpPr>
        <xdr:cNvPr id="134" name="Straight Arrow Connector 133">
          <a:extLst>
            <a:ext uri="{FF2B5EF4-FFF2-40B4-BE49-F238E27FC236}">
              <a16:creationId xmlns:a16="http://schemas.microsoft.com/office/drawing/2014/main" id="{2723EC83-4440-47FE-AA7B-A2487E6C760E}"/>
            </a:ext>
          </a:extLst>
        </xdr:cNvPr>
        <xdr:cNvCxnSpPr/>
      </xdr:nvCxnSpPr>
      <xdr:spPr>
        <a:xfrm flipV="1">
          <a:off x="5669280" y="3459480"/>
          <a:ext cx="60198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87</xdr:row>
      <xdr:rowOff>91440</xdr:rowOff>
    </xdr:from>
    <xdr:to>
      <xdr:col>6</xdr:col>
      <xdr:colOff>601980</xdr:colOff>
      <xdr:row>87</xdr:row>
      <xdr:rowOff>99060</xdr:rowOff>
    </xdr:to>
    <xdr:cxnSp macro="">
      <xdr:nvCxnSpPr>
        <xdr:cNvPr id="135" name="Straight Arrow Connector 134">
          <a:extLst>
            <a:ext uri="{FF2B5EF4-FFF2-40B4-BE49-F238E27FC236}">
              <a16:creationId xmlns:a16="http://schemas.microsoft.com/office/drawing/2014/main" id="{4FEDBA54-AB47-49CB-8E31-07C25E0E6199}"/>
            </a:ext>
          </a:extLst>
        </xdr:cNvPr>
        <xdr:cNvCxnSpPr/>
      </xdr:nvCxnSpPr>
      <xdr:spPr>
        <a:xfrm flipV="1">
          <a:off x="5676900" y="3931920"/>
          <a:ext cx="594360" cy="7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15240</xdr:colOff>
      <xdr:row>90</xdr:row>
      <xdr:rowOff>95250</xdr:rowOff>
    </xdr:from>
    <xdr:to>
      <xdr:col>4</xdr:col>
      <xdr:colOff>544285</xdr:colOff>
      <xdr:row>91</xdr:row>
      <xdr:rowOff>175260</xdr:rowOff>
    </xdr:to>
    <xdr:cxnSp macro="">
      <xdr:nvCxnSpPr>
        <xdr:cNvPr id="137" name="Straight Arrow Connector 136">
          <a:extLst>
            <a:ext uri="{FF2B5EF4-FFF2-40B4-BE49-F238E27FC236}">
              <a16:creationId xmlns:a16="http://schemas.microsoft.com/office/drawing/2014/main" id="{15E5FC30-3F65-4E50-B217-93F1C5E12AF4}"/>
            </a:ext>
          </a:extLst>
        </xdr:cNvPr>
        <xdr:cNvCxnSpPr/>
      </xdr:nvCxnSpPr>
      <xdr:spPr>
        <a:xfrm flipV="1">
          <a:off x="2750276" y="12831536"/>
          <a:ext cx="529045" cy="25690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105</xdr:row>
      <xdr:rowOff>144780</xdr:rowOff>
    </xdr:from>
    <xdr:to>
      <xdr:col>5</xdr:col>
      <xdr:colOff>22860</xdr:colOff>
      <xdr:row>108</xdr:row>
      <xdr:rowOff>15240</xdr:rowOff>
    </xdr:to>
    <xdr:cxnSp macro="">
      <xdr:nvCxnSpPr>
        <xdr:cNvPr id="139" name="Straight Arrow Connector 138">
          <a:extLst>
            <a:ext uri="{FF2B5EF4-FFF2-40B4-BE49-F238E27FC236}">
              <a16:creationId xmlns:a16="http://schemas.microsoft.com/office/drawing/2014/main" id="{094B8F4D-DEEB-4C19-A252-558B8D5940D0}"/>
            </a:ext>
          </a:extLst>
        </xdr:cNvPr>
        <xdr:cNvCxnSpPr/>
      </xdr:nvCxnSpPr>
      <xdr:spPr>
        <a:xfrm flipV="1">
          <a:off x="4160520" y="6728460"/>
          <a:ext cx="632460" cy="419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594360</xdr:colOff>
      <xdr:row>110</xdr:row>
      <xdr:rowOff>152400</xdr:rowOff>
    </xdr:from>
    <xdr:to>
      <xdr:col>3</xdr:col>
      <xdr:colOff>30480</xdr:colOff>
      <xdr:row>117</xdr:row>
      <xdr:rowOff>7620</xdr:rowOff>
    </xdr:to>
    <xdr:cxnSp macro="">
      <xdr:nvCxnSpPr>
        <xdr:cNvPr id="141" name="Straight Arrow Connector 140">
          <a:extLst>
            <a:ext uri="{FF2B5EF4-FFF2-40B4-BE49-F238E27FC236}">
              <a16:creationId xmlns:a16="http://schemas.microsoft.com/office/drawing/2014/main" id="{47AC9350-1073-4212-89CB-F09C05AFD530}"/>
            </a:ext>
          </a:extLst>
        </xdr:cNvPr>
        <xdr:cNvCxnSpPr/>
      </xdr:nvCxnSpPr>
      <xdr:spPr>
        <a:xfrm flipV="1">
          <a:off x="1371600" y="20269200"/>
          <a:ext cx="655320" cy="11353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118</xdr:row>
      <xdr:rowOff>7620</xdr:rowOff>
    </xdr:from>
    <xdr:to>
      <xdr:col>2</xdr:col>
      <xdr:colOff>585107</xdr:colOff>
      <xdr:row>120</xdr:row>
      <xdr:rowOff>163286</xdr:rowOff>
    </xdr:to>
    <xdr:cxnSp macro="">
      <xdr:nvCxnSpPr>
        <xdr:cNvPr id="142" name="Straight Arrow Connector 141">
          <a:extLst>
            <a:ext uri="{FF2B5EF4-FFF2-40B4-BE49-F238E27FC236}">
              <a16:creationId xmlns:a16="http://schemas.microsoft.com/office/drawing/2014/main" id="{977F8843-740C-40FD-912F-585F40E8EFED}"/>
            </a:ext>
          </a:extLst>
        </xdr:cNvPr>
        <xdr:cNvCxnSpPr/>
      </xdr:nvCxnSpPr>
      <xdr:spPr>
        <a:xfrm>
          <a:off x="1395549" y="16635549"/>
          <a:ext cx="577487" cy="5094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7620</xdr:colOff>
      <xdr:row>108</xdr:row>
      <xdr:rowOff>129540</xdr:rowOff>
    </xdr:from>
    <xdr:to>
      <xdr:col>5</xdr:col>
      <xdr:colOff>22860</xdr:colOff>
      <xdr:row>111</xdr:row>
      <xdr:rowOff>0</xdr:rowOff>
    </xdr:to>
    <xdr:cxnSp macro="">
      <xdr:nvCxnSpPr>
        <xdr:cNvPr id="143" name="Straight Arrow Connector 142">
          <a:extLst>
            <a:ext uri="{FF2B5EF4-FFF2-40B4-BE49-F238E27FC236}">
              <a16:creationId xmlns:a16="http://schemas.microsoft.com/office/drawing/2014/main" id="{45EEB0B6-DFBE-41F8-8969-A48601328C96}"/>
            </a:ext>
          </a:extLst>
        </xdr:cNvPr>
        <xdr:cNvCxnSpPr/>
      </xdr:nvCxnSpPr>
      <xdr:spPr>
        <a:xfrm>
          <a:off x="4168140" y="7261860"/>
          <a:ext cx="624840" cy="4343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99</xdr:row>
      <xdr:rowOff>152400</xdr:rowOff>
    </xdr:from>
    <xdr:to>
      <xdr:col>7</xdr:col>
      <xdr:colOff>22860</xdr:colOff>
      <xdr:row>102</xdr:row>
      <xdr:rowOff>7620</xdr:rowOff>
    </xdr:to>
    <xdr:cxnSp macro="">
      <xdr:nvCxnSpPr>
        <xdr:cNvPr id="145" name="Straight Arrow Connector 144">
          <a:extLst>
            <a:ext uri="{FF2B5EF4-FFF2-40B4-BE49-F238E27FC236}">
              <a16:creationId xmlns:a16="http://schemas.microsoft.com/office/drawing/2014/main" id="{579305BF-30A4-422D-BC30-0AB14669F282}"/>
            </a:ext>
          </a:extLst>
        </xdr:cNvPr>
        <xdr:cNvCxnSpPr/>
      </xdr:nvCxnSpPr>
      <xdr:spPr>
        <a:xfrm flipV="1">
          <a:off x="5661660" y="6187440"/>
          <a:ext cx="640080" cy="40386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91440</xdr:rowOff>
    </xdr:from>
    <xdr:to>
      <xdr:col>7</xdr:col>
      <xdr:colOff>0</xdr:colOff>
      <xdr:row>102</xdr:row>
      <xdr:rowOff>91440</xdr:rowOff>
    </xdr:to>
    <xdr:cxnSp macro="">
      <xdr:nvCxnSpPr>
        <xdr:cNvPr id="146" name="Straight Arrow Connector 145">
          <a:extLst>
            <a:ext uri="{FF2B5EF4-FFF2-40B4-BE49-F238E27FC236}">
              <a16:creationId xmlns:a16="http://schemas.microsoft.com/office/drawing/2014/main" id="{ADF352E5-98DC-4A47-A92C-A56BD84670FA}"/>
            </a:ext>
          </a:extLst>
        </xdr:cNvPr>
        <xdr:cNvCxnSpPr/>
      </xdr:nvCxnSpPr>
      <xdr:spPr>
        <a:xfrm>
          <a:off x="5676900" y="667512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167640</xdr:rowOff>
    </xdr:from>
    <xdr:to>
      <xdr:col>7</xdr:col>
      <xdr:colOff>7620</xdr:colOff>
      <xdr:row>105</xdr:row>
      <xdr:rowOff>15240</xdr:rowOff>
    </xdr:to>
    <xdr:cxnSp macro="">
      <xdr:nvCxnSpPr>
        <xdr:cNvPr id="147" name="Straight Arrow Connector 146">
          <a:extLst>
            <a:ext uri="{FF2B5EF4-FFF2-40B4-BE49-F238E27FC236}">
              <a16:creationId xmlns:a16="http://schemas.microsoft.com/office/drawing/2014/main" id="{379FDA8A-6BD0-47BB-BA51-5E0A65F9C777}"/>
            </a:ext>
          </a:extLst>
        </xdr:cNvPr>
        <xdr:cNvCxnSpPr/>
      </xdr:nvCxnSpPr>
      <xdr:spPr>
        <a:xfrm>
          <a:off x="5676900" y="6751320"/>
          <a:ext cx="60960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40821</xdr:colOff>
      <xdr:row>120</xdr:row>
      <xdr:rowOff>167640</xdr:rowOff>
    </xdr:from>
    <xdr:to>
      <xdr:col>5</xdr:col>
      <xdr:colOff>7620</xdr:colOff>
      <xdr:row>121</xdr:row>
      <xdr:rowOff>122464</xdr:rowOff>
    </xdr:to>
    <xdr:cxnSp macro="">
      <xdr:nvCxnSpPr>
        <xdr:cNvPr id="148" name="Straight Arrow Connector 147">
          <a:extLst>
            <a:ext uri="{FF2B5EF4-FFF2-40B4-BE49-F238E27FC236}">
              <a16:creationId xmlns:a16="http://schemas.microsoft.com/office/drawing/2014/main" id="{73E7D3E3-79D9-40C0-B291-1B60DF40168B}"/>
            </a:ext>
          </a:extLst>
        </xdr:cNvPr>
        <xdr:cNvCxnSpPr/>
      </xdr:nvCxnSpPr>
      <xdr:spPr>
        <a:xfrm flipV="1">
          <a:off x="2775857" y="17149354"/>
          <a:ext cx="579120" cy="1317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xdr:colOff>
      <xdr:row>114</xdr:row>
      <xdr:rowOff>152400</xdr:rowOff>
    </xdr:from>
    <xdr:to>
      <xdr:col>7</xdr:col>
      <xdr:colOff>30480</xdr:colOff>
      <xdr:row>117</xdr:row>
      <xdr:rowOff>22860</xdr:rowOff>
    </xdr:to>
    <xdr:cxnSp macro="">
      <xdr:nvCxnSpPr>
        <xdr:cNvPr id="149" name="Straight Arrow Connector 148">
          <a:extLst>
            <a:ext uri="{FF2B5EF4-FFF2-40B4-BE49-F238E27FC236}">
              <a16:creationId xmlns:a16="http://schemas.microsoft.com/office/drawing/2014/main" id="{15BC78BF-570A-4E3C-BE8E-9FB3E75C1FCB}"/>
            </a:ext>
          </a:extLst>
        </xdr:cNvPr>
        <xdr:cNvCxnSpPr/>
      </xdr:nvCxnSpPr>
      <xdr:spPr>
        <a:xfrm flipV="1">
          <a:off x="5684520" y="8930640"/>
          <a:ext cx="624840" cy="419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891540</xdr:colOff>
      <xdr:row>117</xdr:row>
      <xdr:rowOff>114300</xdr:rowOff>
    </xdr:from>
    <xdr:to>
      <xdr:col>7</xdr:col>
      <xdr:colOff>15240</xdr:colOff>
      <xdr:row>117</xdr:row>
      <xdr:rowOff>114300</xdr:rowOff>
    </xdr:to>
    <xdr:cxnSp macro="">
      <xdr:nvCxnSpPr>
        <xdr:cNvPr id="150" name="Straight Arrow Connector 149">
          <a:extLst>
            <a:ext uri="{FF2B5EF4-FFF2-40B4-BE49-F238E27FC236}">
              <a16:creationId xmlns:a16="http://schemas.microsoft.com/office/drawing/2014/main" id="{1E199B8E-4F11-4BB2-90DA-B037D2140E98}"/>
            </a:ext>
          </a:extLst>
        </xdr:cNvPr>
        <xdr:cNvCxnSpPr/>
      </xdr:nvCxnSpPr>
      <xdr:spPr>
        <a:xfrm>
          <a:off x="5661660" y="9441180"/>
          <a:ext cx="63246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121</xdr:row>
      <xdr:rowOff>175260</xdr:rowOff>
    </xdr:from>
    <xdr:to>
      <xdr:col>5</xdr:col>
      <xdr:colOff>30480</xdr:colOff>
      <xdr:row>123</xdr:row>
      <xdr:rowOff>30480</xdr:rowOff>
    </xdr:to>
    <xdr:cxnSp macro="">
      <xdr:nvCxnSpPr>
        <xdr:cNvPr id="152" name="Straight Arrow Connector 151">
          <a:extLst>
            <a:ext uri="{FF2B5EF4-FFF2-40B4-BE49-F238E27FC236}">
              <a16:creationId xmlns:a16="http://schemas.microsoft.com/office/drawing/2014/main" id="{96526850-833B-4D1B-8F30-56A0443901BC}"/>
            </a:ext>
          </a:extLst>
        </xdr:cNvPr>
        <xdr:cNvCxnSpPr/>
      </xdr:nvCxnSpPr>
      <xdr:spPr>
        <a:xfrm>
          <a:off x="4160520" y="10233660"/>
          <a:ext cx="640080" cy="2209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39</xdr:row>
      <xdr:rowOff>99060</xdr:rowOff>
    </xdr:from>
    <xdr:to>
      <xdr:col>7</xdr:col>
      <xdr:colOff>22860</xdr:colOff>
      <xdr:row>39</xdr:row>
      <xdr:rowOff>99060</xdr:rowOff>
    </xdr:to>
    <xdr:cxnSp macro="">
      <xdr:nvCxnSpPr>
        <xdr:cNvPr id="184" name="Straight Arrow Connector 183">
          <a:extLst>
            <a:ext uri="{FF2B5EF4-FFF2-40B4-BE49-F238E27FC236}">
              <a16:creationId xmlns:a16="http://schemas.microsoft.com/office/drawing/2014/main" id="{76F26FEE-14F3-4E57-A2BD-3EAC2F1DC087}"/>
            </a:ext>
          </a:extLst>
        </xdr:cNvPr>
        <xdr:cNvCxnSpPr/>
      </xdr:nvCxnSpPr>
      <xdr:spPr>
        <a:xfrm>
          <a:off x="5676900" y="119634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73</xdr:row>
      <xdr:rowOff>7620</xdr:rowOff>
    </xdr:from>
    <xdr:to>
      <xdr:col>7</xdr:col>
      <xdr:colOff>22860</xdr:colOff>
      <xdr:row>75</xdr:row>
      <xdr:rowOff>38100</xdr:rowOff>
    </xdr:to>
    <xdr:cxnSp macro="">
      <xdr:nvCxnSpPr>
        <xdr:cNvPr id="191" name="Straight Arrow Connector 190">
          <a:extLst>
            <a:ext uri="{FF2B5EF4-FFF2-40B4-BE49-F238E27FC236}">
              <a16:creationId xmlns:a16="http://schemas.microsoft.com/office/drawing/2014/main" id="{7654BAF6-5331-4F4F-93B6-CA22EEB7D98C}"/>
            </a:ext>
          </a:extLst>
        </xdr:cNvPr>
        <xdr:cNvCxnSpPr/>
      </xdr:nvCxnSpPr>
      <xdr:spPr>
        <a:xfrm>
          <a:off x="5676900" y="17746980"/>
          <a:ext cx="62484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72</xdr:row>
      <xdr:rowOff>114300</xdr:rowOff>
    </xdr:from>
    <xdr:to>
      <xdr:col>7</xdr:col>
      <xdr:colOff>7620</xdr:colOff>
      <xdr:row>72</xdr:row>
      <xdr:rowOff>114300</xdr:rowOff>
    </xdr:to>
    <xdr:cxnSp macro="">
      <xdr:nvCxnSpPr>
        <xdr:cNvPr id="192" name="Straight Arrow Connector 191">
          <a:extLst>
            <a:ext uri="{FF2B5EF4-FFF2-40B4-BE49-F238E27FC236}">
              <a16:creationId xmlns:a16="http://schemas.microsoft.com/office/drawing/2014/main" id="{580AE273-3E8D-48F0-ADCA-A73C56B851D7}"/>
            </a:ext>
          </a:extLst>
        </xdr:cNvPr>
        <xdr:cNvCxnSpPr/>
      </xdr:nvCxnSpPr>
      <xdr:spPr>
        <a:xfrm>
          <a:off x="5676900" y="17670780"/>
          <a:ext cx="6096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xdr:colOff>
      <xdr:row>73</xdr:row>
      <xdr:rowOff>7620</xdr:rowOff>
    </xdr:from>
    <xdr:to>
      <xdr:col>7</xdr:col>
      <xdr:colOff>30480</xdr:colOff>
      <xdr:row>75</xdr:row>
      <xdr:rowOff>15240</xdr:rowOff>
    </xdr:to>
    <xdr:cxnSp macro="">
      <xdr:nvCxnSpPr>
        <xdr:cNvPr id="193" name="Straight Arrow Connector 192">
          <a:extLst>
            <a:ext uri="{FF2B5EF4-FFF2-40B4-BE49-F238E27FC236}">
              <a16:creationId xmlns:a16="http://schemas.microsoft.com/office/drawing/2014/main" id="{AC563FA0-CE7A-4E2E-B06C-13CE348D5AB7}"/>
            </a:ext>
          </a:extLst>
        </xdr:cNvPr>
        <xdr:cNvCxnSpPr/>
      </xdr:nvCxnSpPr>
      <xdr:spPr>
        <a:xfrm>
          <a:off x="5684520" y="17746980"/>
          <a:ext cx="624840" cy="3733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72</xdr:row>
      <xdr:rowOff>167640</xdr:rowOff>
    </xdr:from>
    <xdr:to>
      <xdr:col>7</xdr:col>
      <xdr:colOff>7620</xdr:colOff>
      <xdr:row>75</xdr:row>
      <xdr:rowOff>15240</xdr:rowOff>
    </xdr:to>
    <xdr:cxnSp macro="">
      <xdr:nvCxnSpPr>
        <xdr:cNvPr id="194" name="Straight Arrow Connector 193">
          <a:extLst>
            <a:ext uri="{FF2B5EF4-FFF2-40B4-BE49-F238E27FC236}">
              <a16:creationId xmlns:a16="http://schemas.microsoft.com/office/drawing/2014/main" id="{51FA575A-15B6-422A-BF5C-DDDCDF6CD267}"/>
            </a:ext>
          </a:extLst>
        </xdr:cNvPr>
        <xdr:cNvCxnSpPr/>
      </xdr:nvCxnSpPr>
      <xdr:spPr>
        <a:xfrm>
          <a:off x="5676900" y="17724120"/>
          <a:ext cx="60960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72</xdr:row>
      <xdr:rowOff>99060</xdr:rowOff>
    </xdr:from>
    <xdr:to>
      <xdr:col>7</xdr:col>
      <xdr:colOff>22860</xdr:colOff>
      <xdr:row>72</xdr:row>
      <xdr:rowOff>99060</xdr:rowOff>
    </xdr:to>
    <xdr:cxnSp macro="">
      <xdr:nvCxnSpPr>
        <xdr:cNvPr id="195" name="Straight Arrow Connector 194">
          <a:extLst>
            <a:ext uri="{FF2B5EF4-FFF2-40B4-BE49-F238E27FC236}">
              <a16:creationId xmlns:a16="http://schemas.microsoft.com/office/drawing/2014/main" id="{0B14F57B-3F81-406C-8E61-58C0AC767EEE}"/>
            </a:ext>
          </a:extLst>
        </xdr:cNvPr>
        <xdr:cNvCxnSpPr/>
      </xdr:nvCxnSpPr>
      <xdr:spPr>
        <a:xfrm>
          <a:off x="5676900" y="1765554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99060</xdr:rowOff>
    </xdr:from>
    <xdr:to>
      <xdr:col>7</xdr:col>
      <xdr:colOff>22860</xdr:colOff>
      <xdr:row>102</xdr:row>
      <xdr:rowOff>99060</xdr:rowOff>
    </xdr:to>
    <xdr:cxnSp macro="">
      <xdr:nvCxnSpPr>
        <xdr:cNvPr id="196" name="Straight Arrow Connector 195">
          <a:extLst>
            <a:ext uri="{FF2B5EF4-FFF2-40B4-BE49-F238E27FC236}">
              <a16:creationId xmlns:a16="http://schemas.microsoft.com/office/drawing/2014/main" id="{3890BC49-CB2E-47C4-B67D-E4A4AAFA278B}"/>
            </a:ext>
          </a:extLst>
        </xdr:cNvPr>
        <xdr:cNvCxnSpPr/>
      </xdr:nvCxnSpPr>
      <xdr:spPr>
        <a:xfrm>
          <a:off x="5676900" y="23507700"/>
          <a:ext cx="62484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103</xdr:row>
      <xdr:rowOff>7620</xdr:rowOff>
    </xdr:from>
    <xdr:to>
      <xdr:col>7</xdr:col>
      <xdr:colOff>22860</xdr:colOff>
      <xdr:row>105</xdr:row>
      <xdr:rowOff>38100</xdr:rowOff>
    </xdr:to>
    <xdr:cxnSp macro="">
      <xdr:nvCxnSpPr>
        <xdr:cNvPr id="197" name="Straight Arrow Connector 196">
          <a:extLst>
            <a:ext uri="{FF2B5EF4-FFF2-40B4-BE49-F238E27FC236}">
              <a16:creationId xmlns:a16="http://schemas.microsoft.com/office/drawing/2014/main" id="{E14D15D5-C67A-4A1C-B9C3-77A66529EF17}"/>
            </a:ext>
          </a:extLst>
        </xdr:cNvPr>
        <xdr:cNvCxnSpPr/>
      </xdr:nvCxnSpPr>
      <xdr:spPr>
        <a:xfrm>
          <a:off x="5676900" y="23599140"/>
          <a:ext cx="62484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114300</xdr:rowOff>
    </xdr:from>
    <xdr:to>
      <xdr:col>7</xdr:col>
      <xdr:colOff>7620</xdr:colOff>
      <xdr:row>102</xdr:row>
      <xdr:rowOff>114300</xdr:rowOff>
    </xdr:to>
    <xdr:cxnSp macro="">
      <xdr:nvCxnSpPr>
        <xdr:cNvPr id="198" name="Straight Arrow Connector 197">
          <a:extLst>
            <a:ext uri="{FF2B5EF4-FFF2-40B4-BE49-F238E27FC236}">
              <a16:creationId xmlns:a16="http://schemas.microsoft.com/office/drawing/2014/main" id="{C2CD6A1B-22E4-41AB-8BF7-156030B8D7EE}"/>
            </a:ext>
          </a:extLst>
        </xdr:cNvPr>
        <xdr:cNvCxnSpPr/>
      </xdr:nvCxnSpPr>
      <xdr:spPr>
        <a:xfrm>
          <a:off x="5676900" y="23522940"/>
          <a:ext cx="6096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15240</xdr:colOff>
      <xdr:row>103</xdr:row>
      <xdr:rowOff>7620</xdr:rowOff>
    </xdr:from>
    <xdr:to>
      <xdr:col>7</xdr:col>
      <xdr:colOff>30480</xdr:colOff>
      <xdr:row>105</xdr:row>
      <xdr:rowOff>15240</xdr:rowOff>
    </xdr:to>
    <xdr:cxnSp macro="">
      <xdr:nvCxnSpPr>
        <xdr:cNvPr id="199" name="Straight Arrow Connector 198">
          <a:extLst>
            <a:ext uri="{FF2B5EF4-FFF2-40B4-BE49-F238E27FC236}">
              <a16:creationId xmlns:a16="http://schemas.microsoft.com/office/drawing/2014/main" id="{09B5CCCB-151E-4672-8535-960EAB641BFA}"/>
            </a:ext>
          </a:extLst>
        </xdr:cNvPr>
        <xdr:cNvCxnSpPr/>
      </xdr:nvCxnSpPr>
      <xdr:spPr>
        <a:xfrm>
          <a:off x="5684520" y="23599140"/>
          <a:ext cx="624840" cy="3733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7620</xdr:colOff>
      <xdr:row>102</xdr:row>
      <xdr:rowOff>167640</xdr:rowOff>
    </xdr:from>
    <xdr:to>
      <xdr:col>7</xdr:col>
      <xdr:colOff>7620</xdr:colOff>
      <xdr:row>105</xdr:row>
      <xdr:rowOff>15240</xdr:rowOff>
    </xdr:to>
    <xdr:cxnSp macro="">
      <xdr:nvCxnSpPr>
        <xdr:cNvPr id="200" name="Straight Arrow Connector 199">
          <a:extLst>
            <a:ext uri="{FF2B5EF4-FFF2-40B4-BE49-F238E27FC236}">
              <a16:creationId xmlns:a16="http://schemas.microsoft.com/office/drawing/2014/main" id="{68F9DD64-4E65-4C77-8637-C774496F01A0}"/>
            </a:ext>
          </a:extLst>
        </xdr:cNvPr>
        <xdr:cNvCxnSpPr/>
      </xdr:nvCxnSpPr>
      <xdr:spPr>
        <a:xfrm>
          <a:off x="5676900" y="23576280"/>
          <a:ext cx="609600" cy="396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117</xdr:row>
      <xdr:rowOff>40822</xdr:rowOff>
    </xdr:from>
    <xdr:to>
      <xdr:col>5</xdr:col>
      <xdr:colOff>0</xdr:colOff>
      <xdr:row>121</xdr:row>
      <xdr:rowOff>27214</xdr:rowOff>
    </xdr:to>
    <xdr:cxnSp macro="">
      <xdr:nvCxnSpPr>
        <xdr:cNvPr id="201" name="Straight Arrow Connector 200">
          <a:extLst>
            <a:ext uri="{FF2B5EF4-FFF2-40B4-BE49-F238E27FC236}">
              <a16:creationId xmlns:a16="http://schemas.microsoft.com/office/drawing/2014/main" id="{82D21DBC-A69A-46DC-865B-CECDBD05E706}"/>
            </a:ext>
          </a:extLst>
        </xdr:cNvPr>
        <xdr:cNvCxnSpPr/>
      </xdr:nvCxnSpPr>
      <xdr:spPr>
        <a:xfrm flipV="1">
          <a:off x="2735036" y="16491858"/>
          <a:ext cx="612321" cy="69396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22860</xdr:colOff>
      <xdr:row>27</xdr:row>
      <xdr:rowOff>0</xdr:rowOff>
    </xdr:from>
    <xdr:to>
      <xdr:col>5</xdr:col>
      <xdr:colOff>22860</xdr:colOff>
      <xdr:row>30</xdr:row>
      <xdr:rowOff>15240</xdr:rowOff>
    </xdr:to>
    <xdr:cxnSp macro="">
      <xdr:nvCxnSpPr>
        <xdr:cNvPr id="202" name="Straight Arrow Connector 201">
          <a:extLst>
            <a:ext uri="{FF2B5EF4-FFF2-40B4-BE49-F238E27FC236}">
              <a16:creationId xmlns:a16="http://schemas.microsoft.com/office/drawing/2014/main" id="{168C18CA-6854-4C6F-A67F-F57FB3955032}"/>
            </a:ext>
          </a:extLst>
        </xdr:cNvPr>
        <xdr:cNvCxnSpPr/>
      </xdr:nvCxnSpPr>
      <xdr:spPr>
        <a:xfrm>
          <a:off x="2461260" y="4937760"/>
          <a:ext cx="609600" cy="56388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22860</xdr:colOff>
      <xdr:row>59</xdr:row>
      <xdr:rowOff>175260</xdr:rowOff>
    </xdr:from>
    <xdr:to>
      <xdr:col>4</xdr:col>
      <xdr:colOff>544285</xdr:colOff>
      <xdr:row>60</xdr:row>
      <xdr:rowOff>13607</xdr:rowOff>
    </xdr:to>
    <xdr:cxnSp macro="">
      <xdr:nvCxnSpPr>
        <xdr:cNvPr id="204" name="Straight Arrow Connector 203">
          <a:extLst>
            <a:ext uri="{FF2B5EF4-FFF2-40B4-BE49-F238E27FC236}">
              <a16:creationId xmlns:a16="http://schemas.microsoft.com/office/drawing/2014/main" id="{007EA385-3F92-4A0A-9BBD-8E5187D0564A}"/>
            </a:ext>
          </a:extLst>
        </xdr:cNvPr>
        <xdr:cNvCxnSpPr/>
      </xdr:nvCxnSpPr>
      <xdr:spPr>
        <a:xfrm>
          <a:off x="2757896" y="8489224"/>
          <a:ext cx="521425" cy="152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7620</xdr:colOff>
      <xdr:row>93</xdr:row>
      <xdr:rowOff>15240</xdr:rowOff>
    </xdr:from>
    <xdr:to>
      <xdr:col>5</xdr:col>
      <xdr:colOff>40822</xdr:colOff>
      <xdr:row>93</xdr:row>
      <xdr:rowOff>95250</xdr:rowOff>
    </xdr:to>
    <xdr:cxnSp macro="">
      <xdr:nvCxnSpPr>
        <xdr:cNvPr id="206" name="Straight Arrow Connector 205">
          <a:extLst>
            <a:ext uri="{FF2B5EF4-FFF2-40B4-BE49-F238E27FC236}">
              <a16:creationId xmlns:a16="http://schemas.microsoft.com/office/drawing/2014/main" id="{23B7A4BA-457B-401D-8865-C74AA3EEEA4D}"/>
            </a:ext>
          </a:extLst>
        </xdr:cNvPr>
        <xdr:cNvCxnSpPr/>
      </xdr:nvCxnSpPr>
      <xdr:spPr>
        <a:xfrm>
          <a:off x="2742656" y="13282204"/>
          <a:ext cx="645523" cy="8001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312420</xdr:colOff>
      <xdr:row>21</xdr:row>
      <xdr:rowOff>0</xdr:rowOff>
    </xdr:from>
    <xdr:to>
      <xdr:col>1</xdr:col>
      <xdr:colOff>15240</xdr:colOff>
      <xdr:row>27</xdr:row>
      <xdr:rowOff>0</xdr:rowOff>
    </xdr:to>
    <xdr:cxnSp macro="">
      <xdr:nvCxnSpPr>
        <xdr:cNvPr id="212" name="Straight Arrow Connector 211">
          <a:extLst>
            <a:ext uri="{FF2B5EF4-FFF2-40B4-BE49-F238E27FC236}">
              <a16:creationId xmlns:a16="http://schemas.microsoft.com/office/drawing/2014/main" id="{01F06C3C-EFF4-4C76-B8FC-A958EC325824}"/>
            </a:ext>
          </a:extLst>
        </xdr:cNvPr>
        <xdr:cNvCxnSpPr/>
      </xdr:nvCxnSpPr>
      <xdr:spPr>
        <a:xfrm flipV="1">
          <a:off x="312420" y="3063240"/>
          <a:ext cx="388620" cy="18440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297180</xdr:colOff>
      <xdr:row>29</xdr:row>
      <xdr:rowOff>45720</xdr:rowOff>
    </xdr:from>
    <xdr:to>
      <xdr:col>0</xdr:col>
      <xdr:colOff>678180</xdr:colOff>
      <xdr:row>51</xdr:row>
      <xdr:rowOff>0</xdr:rowOff>
    </xdr:to>
    <xdr:cxnSp macro="">
      <xdr:nvCxnSpPr>
        <xdr:cNvPr id="216" name="Straight Arrow Connector 215">
          <a:extLst>
            <a:ext uri="{FF2B5EF4-FFF2-40B4-BE49-F238E27FC236}">
              <a16:creationId xmlns:a16="http://schemas.microsoft.com/office/drawing/2014/main" id="{6B7CB613-A2EA-4BA3-BFCC-89B790712189}"/>
            </a:ext>
          </a:extLst>
        </xdr:cNvPr>
        <xdr:cNvCxnSpPr/>
      </xdr:nvCxnSpPr>
      <xdr:spPr>
        <a:xfrm>
          <a:off x="297180" y="5349240"/>
          <a:ext cx="381000" cy="291084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3</xdr:row>
      <xdr:rowOff>160020</xdr:rowOff>
    </xdr:from>
    <xdr:to>
      <xdr:col>9</xdr:col>
      <xdr:colOff>7620</xdr:colOff>
      <xdr:row>6</xdr:row>
      <xdr:rowOff>0</xdr:rowOff>
    </xdr:to>
    <xdr:cxnSp macro="">
      <xdr:nvCxnSpPr>
        <xdr:cNvPr id="63" name="Straight Arrow Connector 62">
          <a:extLst>
            <a:ext uri="{FF2B5EF4-FFF2-40B4-BE49-F238E27FC236}">
              <a16:creationId xmlns:a16="http://schemas.microsoft.com/office/drawing/2014/main" id="{A7C4F1AB-614F-4464-AD86-C7DB6C522C30}"/>
            </a:ext>
          </a:extLst>
        </xdr:cNvPr>
        <xdr:cNvCxnSpPr/>
      </xdr:nvCxnSpPr>
      <xdr:spPr>
        <a:xfrm flipV="1">
          <a:off x="6103620" y="70866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xdr:colOff>
      <xdr:row>6</xdr:row>
      <xdr:rowOff>91440</xdr:rowOff>
    </xdr:from>
    <xdr:to>
      <xdr:col>9</xdr:col>
      <xdr:colOff>0</xdr:colOff>
      <xdr:row>6</xdr:row>
      <xdr:rowOff>91440</xdr:rowOff>
    </xdr:to>
    <xdr:cxnSp macro="">
      <xdr:nvCxnSpPr>
        <xdr:cNvPr id="64" name="Straight Arrow Connector 63">
          <a:extLst>
            <a:ext uri="{FF2B5EF4-FFF2-40B4-BE49-F238E27FC236}">
              <a16:creationId xmlns:a16="http://schemas.microsoft.com/office/drawing/2014/main" id="{E80732A3-473D-4D22-8580-BDC274EED6D0}"/>
            </a:ext>
          </a:extLst>
        </xdr:cNvPr>
        <xdr:cNvCxnSpPr/>
      </xdr:nvCxnSpPr>
      <xdr:spPr>
        <a:xfrm>
          <a:off x="6118860" y="118872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33</xdr:row>
      <xdr:rowOff>160020</xdr:rowOff>
    </xdr:from>
    <xdr:to>
      <xdr:col>9</xdr:col>
      <xdr:colOff>7620</xdr:colOff>
      <xdr:row>36</xdr:row>
      <xdr:rowOff>0</xdr:rowOff>
    </xdr:to>
    <xdr:cxnSp macro="">
      <xdr:nvCxnSpPr>
        <xdr:cNvPr id="66" name="Straight Arrow Connector 65">
          <a:extLst>
            <a:ext uri="{FF2B5EF4-FFF2-40B4-BE49-F238E27FC236}">
              <a16:creationId xmlns:a16="http://schemas.microsoft.com/office/drawing/2014/main" id="{2B24864F-59A8-48C8-A98D-0253F62A6243}"/>
            </a:ext>
          </a:extLst>
        </xdr:cNvPr>
        <xdr:cNvCxnSpPr/>
      </xdr:nvCxnSpPr>
      <xdr:spPr>
        <a:xfrm flipV="1">
          <a:off x="6103620" y="564642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22860</xdr:colOff>
      <xdr:row>36</xdr:row>
      <xdr:rowOff>76200</xdr:rowOff>
    </xdr:from>
    <xdr:to>
      <xdr:col>9</xdr:col>
      <xdr:colOff>15240</xdr:colOff>
      <xdr:row>36</xdr:row>
      <xdr:rowOff>76200</xdr:rowOff>
    </xdr:to>
    <xdr:cxnSp macro="">
      <xdr:nvCxnSpPr>
        <xdr:cNvPr id="67" name="Straight Arrow Connector 66">
          <a:extLst>
            <a:ext uri="{FF2B5EF4-FFF2-40B4-BE49-F238E27FC236}">
              <a16:creationId xmlns:a16="http://schemas.microsoft.com/office/drawing/2014/main" id="{BF79C49F-42CA-4952-BAB2-24025EA9EED9}"/>
            </a:ext>
          </a:extLst>
        </xdr:cNvPr>
        <xdr:cNvCxnSpPr/>
      </xdr:nvCxnSpPr>
      <xdr:spPr>
        <a:xfrm>
          <a:off x="6134100" y="611124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69</xdr:row>
      <xdr:rowOff>76200</xdr:rowOff>
    </xdr:from>
    <xdr:to>
      <xdr:col>8</xdr:col>
      <xdr:colOff>594360</xdr:colOff>
      <xdr:row>69</xdr:row>
      <xdr:rowOff>76200</xdr:rowOff>
    </xdr:to>
    <xdr:cxnSp macro="">
      <xdr:nvCxnSpPr>
        <xdr:cNvPr id="68" name="Straight Arrow Connector 67">
          <a:extLst>
            <a:ext uri="{FF2B5EF4-FFF2-40B4-BE49-F238E27FC236}">
              <a16:creationId xmlns:a16="http://schemas.microsoft.com/office/drawing/2014/main" id="{EF242827-C16C-4B05-AA95-1FDBA56549CF}"/>
            </a:ext>
          </a:extLst>
        </xdr:cNvPr>
        <xdr:cNvCxnSpPr/>
      </xdr:nvCxnSpPr>
      <xdr:spPr>
        <a:xfrm>
          <a:off x="6103620" y="1159764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66</xdr:row>
      <xdr:rowOff>129540</xdr:rowOff>
    </xdr:from>
    <xdr:to>
      <xdr:col>9</xdr:col>
      <xdr:colOff>7620</xdr:colOff>
      <xdr:row>68</xdr:row>
      <xdr:rowOff>152400</xdr:rowOff>
    </xdr:to>
    <xdr:cxnSp macro="">
      <xdr:nvCxnSpPr>
        <xdr:cNvPr id="69" name="Straight Arrow Connector 68">
          <a:extLst>
            <a:ext uri="{FF2B5EF4-FFF2-40B4-BE49-F238E27FC236}">
              <a16:creationId xmlns:a16="http://schemas.microsoft.com/office/drawing/2014/main" id="{26B973C6-8CEA-476D-B78C-DBDADD5C6458}"/>
            </a:ext>
          </a:extLst>
        </xdr:cNvPr>
        <xdr:cNvCxnSpPr/>
      </xdr:nvCxnSpPr>
      <xdr:spPr>
        <a:xfrm flipV="1">
          <a:off x="6103620" y="1110234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38100</xdr:colOff>
      <xdr:row>96</xdr:row>
      <xdr:rowOff>114300</xdr:rowOff>
    </xdr:from>
    <xdr:to>
      <xdr:col>9</xdr:col>
      <xdr:colOff>53340</xdr:colOff>
      <xdr:row>98</xdr:row>
      <xdr:rowOff>137160</xdr:rowOff>
    </xdr:to>
    <xdr:cxnSp macro="">
      <xdr:nvCxnSpPr>
        <xdr:cNvPr id="70" name="Straight Arrow Connector 69">
          <a:extLst>
            <a:ext uri="{FF2B5EF4-FFF2-40B4-BE49-F238E27FC236}">
              <a16:creationId xmlns:a16="http://schemas.microsoft.com/office/drawing/2014/main" id="{8E504A1F-0726-45EE-AB3C-5CF6679963BB}"/>
            </a:ext>
          </a:extLst>
        </xdr:cNvPr>
        <xdr:cNvCxnSpPr/>
      </xdr:nvCxnSpPr>
      <xdr:spPr>
        <a:xfrm flipV="1">
          <a:off x="6149340" y="1602486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xdr:colOff>
      <xdr:row>99</xdr:row>
      <xdr:rowOff>91440</xdr:rowOff>
    </xdr:from>
    <xdr:to>
      <xdr:col>9</xdr:col>
      <xdr:colOff>0</xdr:colOff>
      <xdr:row>99</xdr:row>
      <xdr:rowOff>91440</xdr:rowOff>
    </xdr:to>
    <xdr:cxnSp macro="">
      <xdr:nvCxnSpPr>
        <xdr:cNvPr id="71" name="Straight Arrow Connector 70">
          <a:extLst>
            <a:ext uri="{FF2B5EF4-FFF2-40B4-BE49-F238E27FC236}">
              <a16:creationId xmlns:a16="http://schemas.microsoft.com/office/drawing/2014/main" id="{55E35EBB-EAA6-4624-BC3B-D3C8AA7C814C}"/>
            </a:ext>
          </a:extLst>
        </xdr:cNvPr>
        <xdr:cNvCxnSpPr/>
      </xdr:nvCxnSpPr>
      <xdr:spPr>
        <a:xfrm>
          <a:off x="6118860" y="1655064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18</xdr:row>
      <xdr:rowOff>144780</xdr:rowOff>
    </xdr:from>
    <xdr:to>
      <xdr:col>9</xdr:col>
      <xdr:colOff>7620</xdr:colOff>
      <xdr:row>20</xdr:row>
      <xdr:rowOff>167640</xdr:rowOff>
    </xdr:to>
    <xdr:cxnSp macro="">
      <xdr:nvCxnSpPr>
        <xdr:cNvPr id="72" name="Straight Arrow Connector 71">
          <a:extLst>
            <a:ext uri="{FF2B5EF4-FFF2-40B4-BE49-F238E27FC236}">
              <a16:creationId xmlns:a16="http://schemas.microsoft.com/office/drawing/2014/main" id="{7F841B95-CB56-4BF9-98C7-F7B94E9E1356}"/>
            </a:ext>
          </a:extLst>
        </xdr:cNvPr>
        <xdr:cNvCxnSpPr/>
      </xdr:nvCxnSpPr>
      <xdr:spPr>
        <a:xfrm flipV="1">
          <a:off x="6103620" y="343662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1226820</xdr:colOff>
      <xdr:row>21</xdr:row>
      <xdr:rowOff>121920</xdr:rowOff>
    </xdr:from>
    <xdr:to>
      <xdr:col>8</xdr:col>
      <xdr:colOff>579120</xdr:colOff>
      <xdr:row>21</xdr:row>
      <xdr:rowOff>121920</xdr:rowOff>
    </xdr:to>
    <xdr:cxnSp macro="">
      <xdr:nvCxnSpPr>
        <xdr:cNvPr id="74" name="Straight Arrow Connector 73">
          <a:extLst>
            <a:ext uri="{FF2B5EF4-FFF2-40B4-BE49-F238E27FC236}">
              <a16:creationId xmlns:a16="http://schemas.microsoft.com/office/drawing/2014/main" id="{245F8893-97D9-4E32-B25B-E79799ED185D}"/>
            </a:ext>
          </a:extLst>
        </xdr:cNvPr>
        <xdr:cNvCxnSpPr/>
      </xdr:nvCxnSpPr>
      <xdr:spPr>
        <a:xfrm>
          <a:off x="6088380" y="396240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48</xdr:row>
      <xdr:rowOff>144780</xdr:rowOff>
    </xdr:from>
    <xdr:to>
      <xdr:col>9</xdr:col>
      <xdr:colOff>7620</xdr:colOff>
      <xdr:row>50</xdr:row>
      <xdr:rowOff>167640</xdr:rowOff>
    </xdr:to>
    <xdr:cxnSp macro="">
      <xdr:nvCxnSpPr>
        <xdr:cNvPr id="75" name="Straight Arrow Connector 74">
          <a:extLst>
            <a:ext uri="{FF2B5EF4-FFF2-40B4-BE49-F238E27FC236}">
              <a16:creationId xmlns:a16="http://schemas.microsoft.com/office/drawing/2014/main" id="{03CC71C9-A688-4378-99A7-62C419FF7D25}"/>
            </a:ext>
          </a:extLst>
        </xdr:cNvPr>
        <xdr:cNvCxnSpPr/>
      </xdr:nvCxnSpPr>
      <xdr:spPr>
        <a:xfrm flipV="1">
          <a:off x="6103620" y="343662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1226820</xdr:colOff>
      <xdr:row>51</xdr:row>
      <xdr:rowOff>121920</xdr:rowOff>
    </xdr:from>
    <xdr:to>
      <xdr:col>8</xdr:col>
      <xdr:colOff>579120</xdr:colOff>
      <xdr:row>51</xdr:row>
      <xdr:rowOff>121920</xdr:rowOff>
    </xdr:to>
    <xdr:cxnSp macro="">
      <xdr:nvCxnSpPr>
        <xdr:cNvPr id="76" name="Straight Arrow Connector 75">
          <a:extLst>
            <a:ext uri="{FF2B5EF4-FFF2-40B4-BE49-F238E27FC236}">
              <a16:creationId xmlns:a16="http://schemas.microsoft.com/office/drawing/2014/main" id="{4DA5EFBA-EDE8-4EDC-9BD2-2E32DBE247D8}"/>
            </a:ext>
          </a:extLst>
        </xdr:cNvPr>
        <xdr:cNvCxnSpPr/>
      </xdr:nvCxnSpPr>
      <xdr:spPr>
        <a:xfrm>
          <a:off x="6088380" y="396240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81</xdr:row>
      <xdr:rowOff>144780</xdr:rowOff>
    </xdr:from>
    <xdr:to>
      <xdr:col>9</xdr:col>
      <xdr:colOff>7620</xdr:colOff>
      <xdr:row>83</xdr:row>
      <xdr:rowOff>167640</xdr:rowOff>
    </xdr:to>
    <xdr:cxnSp macro="">
      <xdr:nvCxnSpPr>
        <xdr:cNvPr id="77" name="Straight Arrow Connector 76">
          <a:extLst>
            <a:ext uri="{FF2B5EF4-FFF2-40B4-BE49-F238E27FC236}">
              <a16:creationId xmlns:a16="http://schemas.microsoft.com/office/drawing/2014/main" id="{B6F9E03A-A5A9-4FF3-8A06-AE1A9FEA2991}"/>
            </a:ext>
          </a:extLst>
        </xdr:cNvPr>
        <xdr:cNvCxnSpPr/>
      </xdr:nvCxnSpPr>
      <xdr:spPr>
        <a:xfrm flipV="1">
          <a:off x="6103620" y="892302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1226820</xdr:colOff>
      <xdr:row>84</xdr:row>
      <xdr:rowOff>121920</xdr:rowOff>
    </xdr:from>
    <xdr:to>
      <xdr:col>8</xdr:col>
      <xdr:colOff>579120</xdr:colOff>
      <xdr:row>84</xdr:row>
      <xdr:rowOff>121920</xdr:rowOff>
    </xdr:to>
    <xdr:cxnSp macro="">
      <xdr:nvCxnSpPr>
        <xdr:cNvPr id="78" name="Straight Arrow Connector 77">
          <a:extLst>
            <a:ext uri="{FF2B5EF4-FFF2-40B4-BE49-F238E27FC236}">
              <a16:creationId xmlns:a16="http://schemas.microsoft.com/office/drawing/2014/main" id="{60EBD83F-F902-4574-BFED-2971E96CB562}"/>
            </a:ext>
          </a:extLst>
        </xdr:cNvPr>
        <xdr:cNvCxnSpPr/>
      </xdr:nvCxnSpPr>
      <xdr:spPr>
        <a:xfrm>
          <a:off x="6088380" y="944880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1242060</xdr:colOff>
      <xdr:row>111</xdr:row>
      <xdr:rowOff>144780</xdr:rowOff>
    </xdr:from>
    <xdr:to>
      <xdr:col>9</xdr:col>
      <xdr:colOff>7620</xdr:colOff>
      <xdr:row>113</xdr:row>
      <xdr:rowOff>167640</xdr:rowOff>
    </xdr:to>
    <xdr:cxnSp macro="">
      <xdr:nvCxnSpPr>
        <xdr:cNvPr id="79" name="Straight Arrow Connector 78">
          <a:extLst>
            <a:ext uri="{FF2B5EF4-FFF2-40B4-BE49-F238E27FC236}">
              <a16:creationId xmlns:a16="http://schemas.microsoft.com/office/drawing/2014/main" id="{190F57EF-84F8-4970-B4CF-BB699BFAA9A6}"/>
            </a:ext>
          </a:extLst>
        </xdr:cNvPr>
        <xdr:cNvCxnSpPr/>
      </xdr:nvCxnSpPr>
      <xdr:spPr>
        <a:xfrm flipV="1">
          <a:off x="6103620" y="14958060"/>
          <a:ext cx="624840" cy="38862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1226820</xdr:colOff>
      <xdr:row>114</xdr:row>
      <xdr:rowOff>121920</xdr:rowOff>
    </xdr:from>
    <xdr:to>
      <xdr:col>8</xdr:col>
      <xdr:colOff>579120</xdr:colOff>
      <xdr:row>114</xdr:row>
      <xdr:rowOff>121920</xdr:rowOff>
    </xdr:to>
    <xdr:cxnSp macro="">
      <xdr:nvCxnSpPr>
        <xdr:cNvPr id="80" name="Straight Arrow Connector 79">
          <a:extLst>
            <a:ext uri="{FF2B5EF4-FFF2-40B4-BE49-F238E27FC236}">
              <a16:creationId xmlns:a16="http://schemas.microsoft.com/office/drawing/2014/main" id="{3FD6270D-FE9A-44F7-929D-2EBE4AEDE8F8}"/>
            </a:ext>
          </a:extLst>
        </xdr:cNvPr>
        <xdr:cNvCxnSpPr/>
      </xdr:nvCxnSpPr>
      <xdr:spPr>
        <a:xfrm>
          <a:off x="6088380" y="15483840"/>
          <a:ext cx="60198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603250</xdr:colOff>
      <xdr:row>5</xdr:row>
      <xdr:rowOff>0</xdr:rowOff>
    </xdr:from>
    <xdr:to>
      <xdr:col>2</xdr:col>
      <xdr:colOff>12700</xdr:colOff>
      <xdr:row>100</xdr:row>
      <xdr:rowOff>158750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flipV="1">
          <a:off x="603250" y="952500"/>
          <a:ext cx="628650" cy="1825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103</xdr:row>
      <xdr:rowOff>169333</xdr:rowOff>
    </xdr:from>
    <xdr:to>
      <xdr:col>1</xdr:col>
      <xdr:colOff>603250</xdr:colOff>
      <xdr:row>145</xdr:row>
      <xdr:rowOff>148167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603250" y="18520833"/>
          <a:ext cx="613833" cy="7535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78</xdr:row>
      <xdr:rowOff>158750</xdr:rowOff>
    </xdr:from>
    <xdr:to>
      <xdr:col>3</xdr:col>
      <xdr:colOff>603250</xdr:colOff>
      <xdr:row>146</xdr:row>
      <xdr:rowOff>10583</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flipV="1">
          <a:off x="2307167" y="14012333"/>
          <a:ext cx="592666" cy="12086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148</xdr:row>
      <xdr:rowOff>10583</xdr:rowOff>
    </xdr:from>
    <xdr:to>
      <xdr:col>4</xdr:col>
      <xdr:colOff>63500</xdr:colOff>
      <xdr:row>299</xdr:row>
      <xdr:rowOff>158750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41</xdr:row>
      <xdr:rowOff>1</xdr:rowOff>
    </xdr:from>
    <xdr:to>
      <xdr:col>6</xdr:col>
      <xdr:colOff>0</xdr:colOff>
      <xdr:row>75</xdr:row>
      <xdr:rowOff>116417</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flipV="1">
          <a:off x="3735917" y="7376584"/>
          <a:ext cx="666750" cy="6233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78</xdr:row>
      <xdr:rowOff>169334</xdr:rowOff>
    </xdr:from>
    <xdr:to>
      <xdr:col>5</xdr:col>
      <xdr:colOff>571500</xdr:colOff>
      <xdr:row>148</xdr:row>
      <xdr:rowOff>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xdr:row>
      <xdr:rowOff>148167</xdr:rowOff>
    </xdr:from>
    <xdr:to>
      <xdr:col>7</xdr:col>
      <xdr:colOff>603250</xdr:colOff>
      <xdr:row>38</xdr:row>
      <xdr:rowOff>31750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flipV="1">
          <a:off x="5207000" y="2846917"/>
          <a:ext cx="603250" cy="402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41</xdr:row>
      <xdr:rowOff>10584</xdr:rowOff>
    </xdr:from>
    <xdr:to>
      <xdr:col>8</xdr:col>
      <xdr:colOff>21167</xdr:colOff>
      <xdr:row>69</xdr:row>
      <xdr:rowOff>148166</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5207000" y="7387167"/>
          <a:ext cx="635000" cy="535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8</xdr:row>
      <xdr:rowOff>137583</xdr:rowOff>
    </xdr:from>
    <xdr:to>
      <xdr:col>9</xdr:col>
      <xdr:colOff>603250</xdr:colOff>
      <xdr:row>14</xdr:row>
      <xdr:rowOff>21166</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flipV="1">
          <a:off x="6434667" y="1397000"/>
          <a:ext cx="603250" cy="963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xdr:row>
      <xdr:rowOff>0</xdr:rowOff>
    </xdr:from>
    <xdr:to>
      <xdr:col>9</xdr:col>
      <xdr:colOff>582083</xdr:colOff>
      <xdr:row>25</xdr:row>
      <xdr:rowOff>10583</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6466417" y="2878667"/>
          <a:ext cx="550333" cy="1449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22</xdr:row>
      <xdr:rowOff>169333</xdr:rowOff>
    </xdr:from>
    <xdr:to>
      <xdr:col>11</xdr:col>
      <xdr:colOff>603250</xdr:colOff>
      <xdr:row>25</xdr:row>
      <xdr:rowOff>21167</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flipV="1">
          <a:off x="7683500" y="3947583"/>
          <a:ext cx="582083" cy="3915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28</xdr:row>
      <xdr:rowOff>42333</xdr:rowOff>
    </xdr:from>
    <xdr:to>
      <xdr:col>11</xdr:col>
      <xdr:colOff>603250</xdr:colOff>
      <xdr:row>40</xdr:row>
      <xdr:rowOff>10583</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7672917" y="4900083"/>
          <a:ext cx="592666" cy="2307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18</xdr:row>
      <xdr:rowOff>21167</xdr:rowOff>
    </xdr:from>
    <xdr:to>
      <xdr:col>13</xdr:col>
      <xdr:colOff>592667</xdr:colOff>
      <xdr:row>20</xdr:row>
      <xdr:rowOff>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flipV="1">
          <a:off x="8879417" y="3079750"/>
          <a:ext cx="603250"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23</xdr:row>
      <xdr:rowOff>21166</xdr:rowOff>
    </xdr:from>
    <xdr:to>
      <xdr:col>13</xdr:col>
      <xdr:colOff>592667</xdr:colOff>
      <xdr:row>24</xdr:row>
      <xdr:rowOff>169334</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8868833" y="3979333"/>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38</xdr:row>
      <xdr:rowOff>21167</xdr:rowOff>
    </xdr:from>
    <xdr:to>
      <xdr:col>13</xdr:col>
      <xdr:colOff>592667</xdr:colOff>
      <xdr:row>40</xdr:row>
      <xdr:rowOff>63500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flipV="1">
          <a:off x="8890000" y="6858000"/>
          <a:ext cx="592667" cy="40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43</xdr:row>
      <xdr:rowOff>0</xdr:rowOff>
    </xdr:from>
    <xdr:to>
      <xdr:col>14</xdr:col>
      <xdr:colOff>10584</xdr:colOff>
      <xdr:row>51</xdr:row>
      <xdr:rowOff>148167</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8900583" y="7736417"/>
          <a:ext cx="613834" cy="1587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xdr:row>
      <xdr:rowOff>0</xdr:rowOff>
    </xdr:from>
    <xdr:to>
      <xdr:col>15</xdr:col>
      <xdr:colOff>603250</xdr:colOff>
      <xdr:row>15</xdr:row>
      <xdr:rowOff>31750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flipV="1">
          <a:off x="10646833" y="1619250"/>
          <a:ext cx="613834" cy="931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xdr:row>
      <xdr:rowOff>52917</xdr:rowOff>
    </xdr:from>
    <xdr:to>
      <xdr:col>15</xdr:col>
      <xdr:colOff>603250</xdr:colOff>
      <xdr:row>15</xdr:row>
      <xdr:rowOff>95250</xdr:rowOff>
    </xdr:to>
    <xdr:cxnSp macro="">
      <xdr:nvCxnSpPr>
        <xdr:cNvPr id="41" name="Straight Arrow Connector 40">
          <a:extLst>
            <a:ext uri="{FF2B5EF4-FFF2-40B4-BE49-F238E27FC236}">
              <a16:creationId xmlns:a16="http://schemas.microsoft.com/office/drawing/2014/main" id="{00000000-0008-0000-1200-000029000000}"/>
            </a:ext>
          </a:extLst>
        </xdr:cNvPr>
        <xdr:cNvCxnSpPr/>
      </xdr:nvCxnSpPr>
      <xdr:spPr>
        <a:xfrm flipV="1">
          <a:off x="10699750" y="2211917"/>
          <a:ext cx="560917" cy="402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xdr:row>
      <xdr:rowOff>158750</xdr:rowOff>
    </xdr:from>
    <xdr:to>
      <xdr:col>15</xdr:col>
      <xdr:colOff>582083</xdr:colOff>
      <xdr:row>16</xdr:row>
      <xdr:rowOff>137583</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10720917" y="2677583"/>
          <a:ext cx="518583" cy="158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xdr:row>
      <xdr:rowOff>105834</xdr:rowOff>
    </xdr:from>
    <xdr:to>
      <xdr:col>16</xdr:col>
      <xdr:colOff>0</xdr:colOff>
      <xdr:row>19</xdr:row>
      <xdr:rowOff>84667</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10625667" y="2624667"/>
          <a:ext cx="645583" cy="698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23</xdr:row>
      <xdr:rowOff>52916</xdr:rowOff>
    </xdr:from>
    <xdr:to>
      <xdr:col>16</xdr:col>
      <xdr:colOff>0</xdr:colOff>
      <xdr:row>25</xdr:row>
      <xdr:rowOff>0</xdr:rowOff>
    </xdr:to>
    <xdr:cxnSp macro="">
      <xdr:nvCxnSpPr>
        <xdr:cNvPr id="48" name="Straight Arrow Connector 47">
          <a:extLst>
            <a:ext uri="{FF2B5EF4-FFF2-40B4-BE49-F238E27FC236}">
              <a16:creationId xmlns:a16="http://schemas.microsoft.com/office/drawing/2014/main" id="{00000000-0008-0000-1200-000030000000}"/>
            </a:ext>
          </a:extLst>
        </xdr:cNvPr>
        <xdr:cNvCxnSpPr/>
      </xdr:nvCxnSpPr>
      <xdr:spPr>
        <a:xfrm flipV="1">
          <a:off x="10646833" y="4011083"/>
          <a:ext cx="624417" cy="3069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25</xdr:row>
      <xdr:rowOff>21167</xdr:rowOff>
    </xdr:from>
    <xdr:to>
      <xdr:col>15</xdr:col>
      <xdr:colOff>582083</xdr:colOff>
      <xdr:row>26</xdr:row>
      <xdr:rowOff>42333</xdr:rowOff>
    </xdr:to>
    <xdr:cxnSp macro="">
      <xdr:nvCxnSpPr>
        <xdr:cNvPr id="50" name="Straight Arrow Connector 49">
          <a:extLst>
            <a:ext uri="{FF2B5EF4-FFF2-40B4-BE49-F238E27FC236}">
              <a16:creationId xmlns:a16="http://schemas.microsoft.com/office/drawing/2014/main" id="{00000000-0008-0000-1200-000032000000}"/>
            </a:ext>
          </a:extLst>
        </xdr:cNvPr>
        <xdr:cNvCxnSpPr/>
      </xdr:nvCxnSpPr>
      <xdr:spPr>
        <a:xfrm>
          <a:off x="10668000" y="4339167"/>
          <a:ext cx="571500" cy="201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25</xdr:row>
      <xdr:rowOff>21167</xdr:rowOff>
    </xdr:from>
    <xdr:to>
      <xdr:col>16</xdr:col>
      <xdr:colOff>42333</xdr:colOff>
      <xdr:row>30</xdr:row>
      <xdr:rowOff>21168</xdr:rowOff>
    </xdr:to>
    <xdr:cxnSp macro="">
      <xdr:nvCxnSpPr>
        <xdr:cNvPr id="52" name="Straight Arrow Connector 51">
          <a:extLst>
            <a:ext uri="{FF2B5EF4-FFF2-40B4-BE49-F238E27FC236}">
              <a16:creationId xmlns:a16="http://schemas.microsoft.com/office/drawing/2014/main" id="{00000000-0008-0000-1200-000034000000}"/>
            </a:ext>
          </a:extLst>
        </xdr:cNvPr>
        <xdr:cNvCxnSpPr/>
      </xdr:nvCxnSpPr>
      <xdr:spPr>
        <a:xfrm>
          <a:off x="10636250" y="4339167"/>
          <a:ext cx="677333" cy="8995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25</xdr:row>
      <xdr:rowOff>31750</xdr:rowOff>
    </xdr:from>
    <xdr:to>
      <xdr:col>16</xdr:col>
      <xdr:colOff>42334</xdr:colOff>
      <xdr:row>32</xdr:row>
      <xdr:rowOff>63501</xdr:rowOff>
    </xdr:to>
    <xdr:cxnSp macro="">
      <xdr:nvCxnSpPr>
        <xdr:cNvPr id="54" name="Straight Arrow Connector 53">
          <a:extLst>
            <a:ext uri="{FF2B5EF4-FFF2-40B4-BE49-F238E27FC236}">
              <a16:creationId xmlns:a16="http://schemas.microsoft.com/office/drawing/2014/main" id="{00000000-0008-0000-1200-000036000000}"/>
            </a:ext>
          </a:extLst>
        </xdr:cNvPr>
        <xdr:cNvCxnSpPr/>
      </xdr:nvCxnSpPr>
      <xdr:spPr>
        <a:xfrm>
          <a:off x="10646833" y="4349750"/>
          <a:ext cx="666751"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62</xdr:row>
      <xdr:rowOff>42333</xdr:rowOff>
    </xdr:from>
    <xdr:to>
      <xdr:col>9</xdr:col>
      <xdr:colOff>592666</xdr:colOff>
      <xdr:row>70</xdr:row>
      <xdr:rowOff>42333</xdr:rowOff>
    </xdr:to>
    <xdr:cxnSp macro="">
      <xdr:nvCxnSpPr>
        <xdr:cNvPr id="56" name="Straight Arrow Connector 55">
          <a:extLst>
            <a:ext uri="{FF2B5EF4-FFF2-40B4-BE49-F238E27FC236}">
              <a16:creationId xmlns:a16="http://schemas.microsoft.com/office/drawing/2014/main" id="{00000000-0008-0000-1200-000038000000}"/>
            </a:ext>
          </a:extLst>
        </xdr:cNvPr>
        <xdr:cNvCxnSpPr/>
      </xdr:nvCxnSpPr>
      <xdr:spPr>
        <a:xfrm flipV="1">
          <a:off x="6445250" y="7239000"/>
          <a:ext cx="582083" cy="143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72</xdr:row>
      <xdr:rowOff>169334</xdr:rowOff>
    </xdr:from>
    <xdr:to>
      <xdr:col>9</xdr:col>
      <xdr:colOff>603250</xdr:colOff>
      <xdr:row>81</xdr:row>
      <xdr:rowOff>31750</xdr:rowOff>
    </xdr:to>
    <xdr:cxnSp macro="">
      <xdr:nvCxnSpPr>
        <xdr:cNvPr id="58" name="Straight Arrow Connector 57">
          <a:extLst>
            <a:ext uri="{FF2B5EF4-FFF2-40B4-BE49-F238E27FC236}">
              <a16:creationId xmlns:a16="http://schemas.microsoft.com/office/drawing/2014/main" id="{00000000-0008-0000-1200-00003A000000}"/>
            </a:ext>
          </a:extLst>
        </xdr:cNvPr>
        <xdr:cNvCxnSpPr/>
      </xdr:nvCxnSpPr>
      <xdr:spPr>
        <a:xfrm>
          <a:off x="6466417" y="9165167"/>
          <a:ext cx="571500" cy="148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78</xdr:row>
      <xdr:rowOff>158750</xdr:rowOff>
    </xdr:from>
    <xdr:to>
      <xdr:col>11</xdr:col>
      <xdr:colOff>571500</xdr:colOff>
      <xdr:row>81</xdr:row>
      <xdr:rowOff>0</xdr:rowOff>
    </xdr:to>
    <xdr:cxnSp macro="">
      <xdr:nvCxnSpPr>
        <xdr:cNvPr id="60" name="Straight Arrow Connector 59">
          <a:extLst>
            <a:ext uri="{FF2B5EF4-FFF2-40B4-BE49-F238E27FC236}">
              <a16:creationId xmlns:a16="http://schemas.microsoft.com/office/drawing/2014/main" id="{00000000-0008-0000-1200-00003C000000}"/>
            </a:ext>
          </a:extLst>
        </xdr:cNvPr>
        <xdr:cNvCxnSpPr/>
      </xdr:nvCxnSpPr>
      <xdr:spPr>
        <a:xfrm flipV="1">
          <a:off x="7620000" y="10234083"/>
          <a:ext cx="613833" cy="381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36</xdr:row>
      <xdr:rowOff>0</xdr:rowOff>
    </xdr:from>
    <xdr:to>
      <xdr:col>15</xdr:col>
      <xdr:colOff>603250</xdr:colOff>
      <xdr:row>38</xdr:row>
      <xdr:rowOff>1</xdr:rowOff>
    </xdr:to>
    <xdr:cxnSp macro="">
      <xdr:nvCxnSpPr>
        <xdr:cNvPr id="74" name="Straight Arrow Connector 73">
          <a:extLst>
            <a:ext uri="{FF2B5EF4-FFF2-40B4-BE49-F238E27FC236}">
              <a16:creationId xmlns:a16="http://schemas.microsoft.com/office/drawing/2014/main" id="{00000000-0008-0000-1200-00004A000000}"/>
            </a:ext>
          </a:extLst>
        </xdr:cNvPr>
        <xdr:cNvCxnSpPr/>
      </xdr:nvCxnSpPr>
      <xdr:spPr>
        <a:xfrm flipV="1">
          <a:off x="10636250" y="6477000"/>
          <a:ext cx="624417" cy="35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38</xdr:row>
      <xdr:rowOff>10584</xdr:rowOff>
    </xdr:from>
    <xdr:to>
      <xdr:col>15</xdr:col>
      <xdr:colOff>592666</xdr:colOff>
      <xdr:row>39</xdr:row>
      <xdr:rowOff>95250</xdr:rowOff>
    </xdr:to>
    <xdr:cxnSp macro="">
      <xdr:nvCxnSpPr>
        <xdr:cNvPr id="76" name="Straight Arrow Connector 75">
          <a:extLst>
            <a:ext uri="{FF2B5EF4-FFF2-40B4-BE49-F238E27FC236}">
              <a16:creationId xmlns:a16="http://schemas.microsoft.com/office/drawing/2014/main" id="{00000000-0008-0000-1200-00004C000000}"/>
            </a:ext>
          </a:extLst>
        </xdr:cNvPr>
        <xdr:cNvCxnSpPr/>
      </xdr:nvCxnSpPr>
      <xdr:spPr>
        <a:xfrm>
          <a:off x="10689167" y="6847417"/>
          <a:ext cx="560916" cy="26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38</xdr:row>
      <xdr:rowOff>10584</xdr:rowOff>
    </xdr:from>
    <xdr:to>
      <xdr:col>15</xdr:col>
      <xdr:colOff>560916</xdr:colOff>
      <xdr:row>42</xdr:row>
      <xdr:rowOff>52917</xdr:rowOff>
    </xdr:to>
    <xdr:cxnSp macro="">
      <xdr:nvCxnSpPr>
        <xdr:cNvPr id="78" name="Straight Arrow Connector 77">
          <a:extLst>
            <a:ext uri="{FF2B5EF4-FFF2-40B4-BE49-F238E27FC236}">
              <a16:creationId xmlns:a16="http://schemas.microsoft.com/office/drawing/2014/main" id="{00000000-0008-0000-1200-00004E000000}"/>
            </a:ext>
          </a:extLst>
        </xdr:cNvPr>
        <xdr:cNvCxnSpPr/>
      </xdr:nvCxnSpPr>
      <xdr:spPr>
        <a:xfrm>
          <a:off x="10668000" y="6847417"/>
          <a:ext cx="550333" cy="762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38</xdr:row>
      <xdr:rowOff>31750</xdr:rowOff>
    </xdr:from>
    <xdr:to>
      <xdr:col>16</xdr:col>
      <xdr:colOff>21167</xdr:colOff>
      <xdr:row>45</xdr:row>
      <xdr:rowOff>95250</xdr:rowOff>
    </xdr:to>
    <xdr:cxnSp macro="">
      <xdr:nvCxnSpPr>
        <xdr:cNvPr id="80" name="Straight Arrow Connector 79">
          <a:extLst>
            <a:ext uri="{FF2B5EF4-FFF2-40B4-BE49-F238E27FC236}">
              <a16:creationId xmlns:a16="http://schemas.microsoft.com/office/drawing/2014/main" id="{00000000-0008-0000-1200-000050000000}"/>
            </a:ext>
          </a:extLst>
        </xdr:cNvPr>
        <xdr:cNvCxnSpPr/>
      </xdr:nvCxnSpPr>
      <xdr:spPr>
        <a:xfrm>
          <a:off x="10699750" y="6868583"/>
          <a:ext cx="592667" cy="13229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52</xdr:row>
      <xdr:rowOff>0</xdr:rowOff>
    </xdr:from>
    <xdr:to>
      <xdr:col>16</xdr:col>
      <xdr:colOff>0</xdr:colOff>
      <xdr:row>52</xdr:row>
      <xdr:rowOff>42334</xdr:rowOff>
    </xdr:to>
    <xdr:cxnSp macro="">
      <xdr:nvCxnSpPr>
        <xdr:cNvPr id="82" name="Straight Arrow Connector 81">
          <a:extLst>
            <a:ext uri="{FF2B5EF4-FFF2-40B4-BE49-F238E27FC236}">
              <a16:creationId xmlns:a16="http://schemas.microsoft.com/office/drawing/2014/main" id="{00000000-0008-0000-1200-000052000000}"/>
            </a:ext>
          </a:extLst>
        </xdr:cNvPr>
        <xdr:cNvCxnSpPr/>
      </xdr:nvCxnSpPr>
      <xdr:spPr>
        <a:xfrm>
          <a:off x="10678583" y="9355667"/>
          <a:ext cx="592667"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52</xdr:row>
      <xdr:rowOff>21166</xdr:rowOff>
    </xdr:from>
    <xdr:to>
      <xdr:col>15</xdr:col>
      <xdr:colOff>560916</xdr:colOff>
      <xdr:row>55</xdr:row>
      <xdr:rowOff>84667</xdr:rowOff>
    </xdr:to>
    <xdr:cxnSp macro="">
      <xdr:nvCxnSpPr>
        <xdr:cNvPr id="84" name="Straight Arrow Connector 83">
          <a:extLst>
            <a:ext uri="{FF2B5EF4-FFF2-40B4-BE49-F238E27FC236}">
              <a16:creationId xmlns:a16="http://schemas.microsoft.com/office/drawing/2014/main" id="{00000000-0008-0000-1200-000054000000}"/>
            </a:ext>
          </a:extLst>
        </xdr:cNvPr>
        <xdr:cNvCxnSpPr/>
      </xdr:nvCxnSpPr>
      <xdr:spPr>
        <a:xfrm>
          <a:off x="10731500" y="9376833"/>
          <a:ext cx="486833" cy="603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52</xdr:row>
      <xdr:rowOff>52916</xdr:rowOff>
    </xdr:from>
    <xdr:to>
      <xdr:col>15</xdr:col>
      <xdr:colOff>592666</xdr:colOff>
      <xdr:row>58</xdr:row>
      <xdr:rowOff>63501</xdr:rowOff>
    </xdr:to>
    <xdr:cxnSp macro="">
      <xdr:nvCxnSpPr>
        <xdr:cNvPr id="86" name="Straight Arrow Connector 85">
          <a:extLst>
            <a:ext uri="{FF2B5EF4-FFF2-40B4-BE49-F238E27FC236}">
              <a16:creationId xmlns:a16="http://schemas.microsoft.com/office/drawing/2014/main" id="{00000000-0008-0000-1200-000056000000}"/>
            </a:ext>
          </a:extLst>
        </xdr:cNvPr>
        <xdr:cNvCxnSpPr/>
      </xdr:nvCxnSpPr>
      <xdr:spPr>
        <a:xfrm>
          <a:off x="10689167" y="9408583"/>
          <a:ext cx="560916" cy="10900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66</xdr:row>
      <xdr:rowOff>116416</xdr:rowOff>
    </xdr:from>
    <xdr:to>
      <xdr:col>15</xdr:col>
      <xdr:colOff>592666</xdr:colOff>
      <xdr:row>69</xdr:row>
      <xdr:rowOff>158750</xdr:rowOff>
    </xdr:to>
    <xdr:cxnSp macro="">
      <xdr:nvCxnSpPr>
        <xdr:cNvPr id="110" name="Straight Arrow Connector 109">
          <a:extLst>
            <a:ext uri="{FF2B5EF4-FFF2-40B4-BE49-F238E27FC236}">
              <a16:creationId xmlns:a16="http://schemas.microsoft.com/office/drawing/2014/main" id="{00000000-0008-0000-1200-00006E000000}"/>
            </a:ext>
          </a:extLst>
        </xdr:cNvPr>
        <xdr:cNvCxnSpPr/>
      </xdr:nvCxnSpPr>
      <xdr:spPr>
        <a:xfrm flipV="1">
          <a:off x="10678583" y="12170833"/>
          <a:ext cx="571500" cy="582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68</xdr:row>
      <xdr:rowOff>95250</xdr:rowOff>
    </xdr:from>
    <xdr:to>
      <xdr:col>15</xdr:col>
      <xdr:colOff>582083</xdr:colOff>
      <xdr:row>70</xdr:row>
      <xdr:rowOff>52917</xdr:rowOff>
    </xdr:to>
    <xdr:cxnSp macro="">
      <xdr:nvCxnSpPr>
        <xdr:cNvPr id="112" name="Straight Arrow Connector 111">
          <a:extLst>
            <a:ext uri="{FF2B5EF4-FFF2-40B4-BE49-F238E27FC236}">
              <a16:creationId xmlns:a16="http://schemas.microsoft.com/office/drawing/2014/main" id="{00000000-0008-0000-1200-000070000000}"/>
            </a:ext>
          </a:extLst>
        </xdr:cNvPr>
        <xdr:cNvCxnSpPr/>
      </xdr:nvCxnSpPr>
      <xdr:spPr>
        <a:xfrm flipV="1">
          <a:off x="10720917" y="14848417"/>
          <a:ext cx="518583" cy="317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70</xdr:row>
      <xdr:rowOff>116417</xdr:rowOff>
    </xdr:from>
    <xdr:to>
      <xdr:col>15</xdr:col>
      <xdr:colOff>592666</xdr:colOff>
      <xdr:row>74</xdr:row>
      <xdr:rowOff>95250</xdr:rowOff>
    </xdr:to>
    <xdr:cxnSp macro="">
      <xdr:nvCxnSpPr>
        <xdr:cNvPr id="116" name="Straight Arrow Connector 115">
          <a:extLst>
            <a:ext uri="{FF2B5EF4-FFF2-40B4-BE49-F238E27FC236}">
              <a16:creationId xmlns:a16="http://schemas.microsoft.com/office/drawing/2014/main" id="{00000000-0008-0000-1200-000074000000}"/>
            </a:ext>
          </a:extLst>
        </xdr:cNvPr>
        <xdr:cNvCxnSpPr/>
      </xdr:nvCxnSpPr>
      <xdr:spPr>
        <a:xfrm>
          <a:off x="10710333" y="15229417"/>
          <a:ext cx="539750" cy="698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81</xdr:row>
      <xdr:rowOff>116416</xdr:rowOff>
    </xdr:from>
    <xdr:to>
      <xdr:col>16</xdr:col>
      <xdr:colOff>0</xdr:colOff>
      <xdr:row>88</xdr:row>
      <xdr:rowOff>74084</xdr:rowOff>
    </xdr:to>
    <xdr:cxnSp macro="">
      <xdr:nvCxnSpPr>
        <xdr:cNvPr id="122" name="Straight Arrow Connector 121">
          <a:extLst>
            <a:ext uri="{FF2B5EF4-FFF2-40B4-BE49-F238E27FC236}">
              <a16:creationId xmlns:a16="http://schemas.microsoft.com/office/drawing/2014/main" id="{00000000-0008-0000-1200-00007A000000}"/>
            </a:ext>
          </a:extLst>
        </xdr:cNvPr>
        <xdr:cNvCxnSpPr/>
      </xdr:nvCxnSpPr>
      <xdr:spPr>
        <a:xfrm>
          <a:off x="10689167" y="14869583"/>
          <a:ext cx="582083" cy="1217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49</xdr:row>
      <xdr:rowOff>52917</xdr:rowOff>
    </xdr:from>
    <xdr:to>
      <xdr:col>15</xdr:col>
      <xdr:colOff>603250</xdr:colOff>
      <xdr:row>51</xdr:row>
      <xdr:rowOff>148167</xdr:rowOff>
    </xdr:to>
    <xdr:cxnSp macro="">
      <xdr:nvCxnSpPr>
        <xdr:cNvPr id="138" name="Straight Arrow Connector 137">
          <a:extLst>
            <a:ext uri="{FF2B5EF4-FFF2-40B4-BE49-F238E27FC236}">
              <a16:creationId xmlns:a16="http://schemas.microsoft.com/office/drawing/2014/main" id="{00000000-0008-0000-1200-00008A000000}"/>
            </a:ext>
          </a:extLst>
        </xdr:cNvPr>
        <xdr:cNvCxnSpPr/>
      </xdr:nvCxnSpPr>
      <xdr:spPr>
        <a:xfrm flipV="1">
          <a:off x="10699750" y="8868834"/>
          <a:ext cx="560917" cy="45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84</xdr:row>
      <xdr:rowOff>42333</xdr:rowOff>
    </xdr:from>
    <xdr:to>
      <xdr:col>11</xdr:col>
      <xdr:colOff>603250</xdr:colOff>
      <xdr:row>97</xdr:row>
      <xdr:rowOff>10583</xdr:rowOff>
    </xdr:to>
    <xdr:cxnSp macro="">
      <xdr:nvCxnSpPr>
        <xdr:cNvPr id="153" name="Straight Arrow Connector 152">
          <a:extLst>
            <a:ext uri="{FF2B5EF4-FFF2-40B4-BE49-F238E27FC236}">
              <a16:creationId xmlns:a16="http://schemas.microsoft.com/office/drawing/2014/main" id="{00000000-0008-0000-1200-000099000000}"/>
            </a:ext>
          </a:extLst>
        </xdr:cNvPr>
        <xdr:cNvCxnSpPr/>
      </xdr:nvCxnSpPr>
      <xdr:spPr>
        <a:xfrm>
          <a:off x="7672917" y="4900083"/>
          <a:ext cx="592666" cy="2307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74</xdr:row>
      <xdr:rowOff>21167</xdr:rowOff>
    </xdr:from>
    <xdr:to>
      <xdr:col>13</xdr:col>
      <xdr:colOff>592667</xdr:colOff>
      <xdr:row>76</xdr:row>
      <xdr:rowOff>0</xdr:rowOff>
    </xdr:to>
    <xdr:cxnSp macro="">
      <xdr:nvCxnSpPr>
        <xdr:cNvPr id="154" name="Straight Arrow Connector 153">
          <a:extLst>
            <a:ext uri="{FF2B5EF4-FFF2-40B4-BE49-F238E27FC236}">
              <a16:creationId xmlns:a16="http://schemas.microsoft.com/office/drawing/2014/main" id="{00000000-0008-0000-1200-00009A000000}"/>
            </a:ext>
          </a:extLst>
        </xdr:cNvPr>
        <xdr:cNvCxnSpPr/>
      </xdr:nvCxnSpPr>
      <xdr:spPr>
        <a:xfrm flipV="1">
          <a:off x="8879417" y="3079750"/>
          <a:ext cx="603250"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79</xdr:row>
      <xdr:rowOff>21166</xdr:rowOff>
    </xdr:from>
    <xdr:to>
      <xdr:col>13</xdr:col>
      <xdr:colOff>592667</xdr:colOff>
      <xdr:row>80</xdr:row>
      <xdr:rowOff>169334</xdr:rowOff>
    </xdr:to>
    <xdr:cxnSp macro="">
      <xdr:nvCxnSpPr>
        <xdr:cNvPr id="155" name="Straight Arrow Connector 154">
          <a:extLst>
            <a:ext uri="{FF2B5EF4-FFF2-40B4-BE49-F238E27FC236}">
              <a16:creationId xmlns:a16="http://schemas.microsoft.com/office/drawing/2014/main" id="{00000000-0008-0000-1200-00009B000000}"/>
            </a:ext>
          </a:extLst>
        </xdr:cNvPr>
        <xdr:cNvCxnSpPr/>
      </xdr:nvCxnSpPr>
      <xdr:spPr>
        <a:xfrm>
          <a:off x="8868833" y="3979333"/>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95</xdr:row>
      <xdr:rowOff>21167</xdr:rowOff>
    </xdr:from>
    <xdr:to>
      <xdr:col>13</xdr:col>
      <xdr:colOff>592667</xdr:colOff>
      <xdr:row>97</xdr:row>
      <xdr:rowOff>63500</xdr:rowOff>
    </xdr:to>
    <xdr:cxnSp macro="">
      <xdr:nvCxnSpPr>
        <xdr:cNvPr id="156" name="Straight Arrow Connector 155">
          <a:extLst>
            <a:ext uri="{FF2B5EF4-FFF2-40B4-BE49-F238E27FC236}">
              <a16:creationId xmlns:a16="http://schemas.microsoft.com/office/drawing/2014/main" id="{00000000-0008-0000-1200-00009C000000}"/>
            </a:ext>
          </a:extLst>
        </xdr:cNvPr>
        <xdr:cNvCxnSpPr/>
      </xdr:nvCxnSpPr>
      <xdr:spPr>
        <a:xfrm flipV="1">
          <a:off x="8890000" y="6858000"/>
          <a:ext cx="592667" cy="40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xdr:row>
      <xdr:rowOff>0</xdr:rowOff>
    </xdr:from>
    <xdr:to>
      <xdr:col>14</xdr:col>
      <xdr:colOff>10584</xdr:colOff>
      <xdr:row>108</xdr:row>
      <xdr:rowOff>148167</xdr:rowOff>
    </xdr:to>
    <xdr:cxnSp macro="">
      <xdr:nvCxnSpPr>
        <xdr:cNvPr id="157" name="Straight Arrow Connector 156">
          <a:extLst>
            <a:ext uri="{FF2B5EF4-FFF2-40B4-BE49-F238E27FC236}">
              <a16:creationId xmlns:a16="http://schemas.microsoft.com/office/drawing/2014/main" id="{00000000-0008-0000-1200-00009D000000}"/>
            </a:ext>
          </a:extLst>
        </xdr:cNvPr>
        <xdr:cNvCxnSpPr/>
      </xdr:nvCxnSpPr>
      <xdr:spPr>
        <a:xfrm>
          <a:off x="8900583" y="7736417"/>
          <a:ext cx="613834" cy="15875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70</xdr:row>
      <xdr:rowOff>95250</xdr:rowOff>
    </xdr:from>
    <xdr:to>
      <xdr:col>15</xdr:col>
      <xdr:colOff>582083</xdr:colOff>
      <xdr:row>72</xdr:row>
      <xdr:rowOff>137583</xdr:rowOff>
    </xdr:to>
    <xdr:cxnSp macro="">
      <xdr:nvCxnSpPr>
        <xdr:cNvPr id="160" name="Straight Arrow Connector 159">
          <a:extLst>
            <a:ext uri="{FF2B5EF4-FFF2-40B4-BE49-F238E27FC236}">
              <a16:creationId xmlns:a16="http://schemas.microsoft.com/office/drawing/2014/main" id="{00000000-0008-0000-1200-0000A0000000}"/>
            </a:ext>
          </a:extLst>
        </xdr:cNvPr>
        <xdr:cNvCxnSpPr/>
      </xdr:nvCxnSpPr>
      <xdr:spPr>
        <a:xfrm>
          <a:off x="10710333" y="12869333"/>
          <a:ext cx="529167" cy="40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79</xdr:row>
      <xdr:rowOff>52916</xdr:rowOff>
    </xdr:from>
    <xdr:to>
      <xdr:col>16</xdr:col>
      <xdr:colOff>0</xdr:colOff>
      <xdr:row>81</xdr:row>
      <xdr:rowOff>0</xdr:rowOff>
    </xdr:to>
    <xdr:cxnSp macro="">
      <xdr:nvCxnSpPr>
        <xdr:cNvPr id="162" name="Straight Arrow Connector 161">
          <a:extLst>
            <a:ext uri="{FF2B5EF4-FFF2-40B4-BE49-F238E27FC236}">
              <a16:creationId xmlns:a16="http://schemas.microsoft.com/office/drawing/2014/main" id="{00000000-0008-0000-1200-0000A2000000}"/>
            </a:ext>
          </a:extLst>
        </xdr:cNvPr>
        <xdr:cNvCxnSpPr/>
      </xdr:nvCxnSpPr>
      <xdr:spPr>
        <a:xfrm flipV="1">
          <a:off x="10646833" y="4011083"/>
          <a:ext cx="624417" cy="3069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81</xdr:row>
      <xdr:rowOff>21167</xdr:rowOff>
    </xdr:from>
    <xdr:to>
      <xdr:col>15</xdr:col>
      <xdr:colOff>592666</xdr:colOff>
      <xdr:row>82</xdr:row>
      <xdr:rowOff>84667</xdr:rowOff>
    </xdr:to>
    <xdr:cxnSp macro="">
      <xdr:nvCxnSpPr>
        <xdr:cNvPr id="164" name="Straight Arrow Connector 163">
          <a:extLst>
            <a:ext uri="{FF2B5EF4-FFF2-40B4-BE49-F238E27FC236}">
              <a16:creationId xmlns:a16="http://schemas.microsoft.com/office/drawing/2014/main" id="{00000000-0008-0000-1200-0000A4000000}"/>
            </a:ext>
          </a:extLst>
        </xdr:cNvPr>
        <xdr:cNvCxnSpPr/>
      </xdr:nvCxnSpPr>
      <xdr:spPr>
        <a:xfrm>
          <a:off x="10636250" y="14774334"/>
          <a:ext cx="613833" cy="24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81</xdr:row>
      <xdr:rowOff>0</xdr:rowOff>
    </xdr:from>
    <xdr:to>
      <xdr:col>16</xdr:col>
      <xdr:colOff>0</xdr:colOff>
      <xdr:row>85</xdr:row>
      <xdr:rowOff>42334</xdr:rowOff>
    </xdr:to>
    <xdr:cxnSp macro="">
      <xdr:nvCxnSpPr>
        <xdr:cNvPr id="165" name="Straight Arrow Connector 164">
          <a:extLst>
            <a:ext uri="{FF2B5EF4-FFF2-40B4-BE49-F238E27FC236}">
              <a16:creationId xmlns:a16="http://schemas.microsoft.com/office/drawing/2014/main" id="{00000000-0008-0000-1200-0000A5000000}"/>
            </a:ext>
          </a:extLst>
        </xdr:cNvPr>
        <xdr:cNvCxnSpPr/>
      </xdr:nvCxnSpPr>
      <xdr:spPr>
        <a:xfrm>
          <a:off x="10636250" y="14753167"/>
          <a:ext cx="635000" cy="762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xdr:row>
      <xdr:rowOff>0</xdr:rowOff>
    </xdr:from>
    <xdr:to>
      <xdr:col>15</xdr:col>
      <xdr:colOff>603250</xdr:colOff>
      <xdr:row>95</xdr:row>
      <xdr:rowOff>1</xdr:rowOff>
    </xdr:to>
    <xdr:cxnSp macro="">
      <xdr:nvCxnSpPr>
        <xdr:cNvPr id="166" name="Straight Arrow Connector 165">
          <a:extLst>
            <a:ext uri="{FF2B5EF4-FFF2-40B4-BE49-F238E27FC236}">
              <a16:creationId xmlns:a16="http://schemas.microsoft.com/office/drawing/2014/main" id="{00000000-0008-0000-1200-0000A6000000}"/>
            </a:ext>
          </a:extLst>
        </xdr:cNvPr>
        <xdr:cNvCxnSpPr/>
      </xdr:nvCxnSpPr>
      <xdr:spPr>
        <a:xfrm flipV="1">
          <a:off x="10636250" y="6477000"/>
          <a:ext cx="624417" cy="35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xdr:row>
      <xdr:rowOff>10584</xdr:rowOff>
    </xdr:from>
    <xdr:to>
      <xdr:col>15</xdr:col>
      <xdr:colOff>592666</xdr:colOff>
      <xdr:row>96</xdr:row>
      <xdr:rowOff>95250</xdr:rowOff>
    </xdr:to>
    <xdr:cxnSp macro="">
      <xdr:nvCxnSpPr>
        <xdr:cNvPr id="167" name="Straight Arrow Connector 166">
          <a:extLst>
            <a:ext uri="{FF2B5EF4-FFF2-40B4-BE49-F238E27FC236}">
              <a16:creationId xmlns:a16="http://schemas.microsoft.com/office/drawing/2014/main" id="{00000000-0008-0000-1200-0000A7000000}"/>
            </a:ext>
          </a:extLst>
        </xdr:cNvPr>
        <xdr:cNvCxnSpPr/>
      </xdr:nvCxnSpPr>
      <xdr:spPr>
        <a:xfrm>
          <a:off x="10689167" y="6847417"/>
          <a:ext cx="560916" cy="26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95</xdr:row>
      <xdr:rowOff>10584</xdr:rowOff>
    </xdr:from>
    <xdr:to>
      <xdr:col>15</xdr:col>
      <xdr:colOff>560916</xdr:colOff>
      <xdr:row>99</xdr:row>
      <xdr:rowOff>52917</xdr:rowOff>
    </xdr:to>
    <xdr:cxnSp macro="">
      <xdr:nvCxnSpPr>
        <xdr:cNvPr id="168" name="Straight Arrow Connector 167">
          <a:extLst>
            <a:ext uri="{FF2B5EF4-FFF2-40B4-BE49-F238E27FC236}">
              <a16:creationId xmlns:a16="http://schemas.microsoft.com/office/drawing/2014/main" id="{00000000-0008-0000-1200-0000A8000000}"/>
            </a:ext>
          </a:extLst>
        </xdr:cNvPr>
        <xdr:cNvCxnSpPr/>
      </xdr:nvCxnSpPr>
      <xdr:spPr>
        <a:xfrm>
          <a:off x="10668000" y="6847417"/>
          <a:ext cx="550333" cy="762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xdr:row>
      <xdr:rowOff>31750</xdr:rowOff>
    </xdr:from>
    <xdr:to>
      <xdr:col>16</xdr:col>
      <xdr:colOff>21167</xdr:colOff>
      <xdr:row>102</xdr:row>
      <xdr:rowOff>95250</xdr:rowOff>
    </xdr:to>
    <xdr:cxnSp macro="">
      <xdr:nvCxnSpPr>
        <xdr:cNvPr id="169" name="Straight Arrow Connector 168">
          <a:extLst>
            <a:ext uri="{FF2B5EF4-FFF2-40B4-BE49-F238E27FC236}">
              <a16:creationId xmlns:a16="http://schemas.microsoft.com/office/drawing/2014/main" id="{00000000-0008-0000-1200-0000A9000000}"/>
            </a:ext>
          </a:extLst>
        </xdr:cNvPr>
        <xdr:cNvCxnSpPr/>
      </xdr:nvCxnSpPr>
      <xdr:spPr>
        <a:xfrm>
          <a:off x="10699750" y="6868583"/>
          <a:ext cx="592667" cy="132291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109</xdr:row>
      <xdr:rowOff>0</xdr:rowOff>
    </xdr:from>
    <xdr:to>
      <xdr:col>16</xdr:col>
      <xdr:colOff>0</xdr:colOff>
      <xdr:row>109</xdr:row>
      <xdr:rowOff>42334</xdr:rowOff>
    </xdr:to>
    <xdr:cxnSp macro="">
      <xdr:nvCxnSpPr>
        <xdr:cNvPr id="170" name="Straight Arrow Connector 169">
          <a:extLst>
            <a:ext uri="{FF2B5EF4-FFF2-40B4-BE49-F238E27FC236}">
              <a16:creationId xmlns:a16="http://schemas.microsoft.com/office/drawing/2014/main" id="{00000000-0008-0000-1200-0000AA000000}"/>
            </a:ext>
          </a:extLst>
        </xdr:cNvPr>
        <xdr:cNvCxnSpPr/>
      </xdr:nvCxnSpPr>
      <xdr:spPr>
        <a:xfrm>
          <a:off x="10678583" y="9355667"/>
          <a:ext cx="592667"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109</xdr:row>
      <xdr:rowOff>21166</xdr:rowOff>
    </xdr:from>
    <xdr:to>
      <xdr:col>15</xdr:col>
      <xdr:colOff>560916</xdr:colOff>
      <xdr:row>112</xdr:row>
      <xdr:rowOff>84667</xdr:rowOff>
    </xdr:to>
    <xdr:cxnSp macro="">
      <xdr:nvCxnSpPr>
        <xdr:cNvPr id="171" name="Straight Arrow Connector 170">
          <a:extLst>
            <a:ext uri="{FF2B5EF4-FFF2-40B4-BE49-F238E27FC236}">
              <a16:creationId xmlns:a16="http://schemas.microsoft.com/office/drawing/2014/main" id="{00000000-0008-0000-1200-0000AB000000}"/>
            </a:ext>
          </a:extLst>
        </xdr:cNvPr>
        <xdr:cNvCxnSpPr/>
      </xdr:nvCxnSpPr>
      <xdr:spPr>
        <a:xfrm>
          <a:off x="10731500" y="9376833"/>
          <a:ext cx="486833" cy="603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xdr:row>
      <xdr:rowOff>52916</xdr:rowOff>
    </xdr:from>
    <xdr:to>
      <xdr:col>15</xdr:col>
      <xdr:colOff>592666</xdr:colOff>
      <xdr:row>115</xdr:row>
      <xdr:rowOff>63501</xdr:rowOff>
    </xdr:to>
    <xdr:cxnSp macro="">
      <xdr:nvCxnSpPr>
        <xdr:cNvPr id="172" name="Straight Arrow Connector 171">
          <a:extLst>
            <a:ext uri="{FF2B5EF4-FFF2-40B4-BE49-F238E27FC236}">
              <a16:creationId xmlns:a16="http://schemas.microsoft.com/office/drawing/2014/main" id="{00000000-0008-0000-1200-0000AC000000}"/>
            </a:ext>
          </a:extLst>
        </xdr:cNvPr>
        <xdr:cNvCxnSpPr/>
      </xdr:nvCxnSpPr>
      <xdr:spPr>
        <a:xfrm>
          <a:off x="10689167" y="9408583"/>
          <a:ext cx="560916" cy="10900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xdr:row>
      <xdr:rowOff>52917</xdr:rowOff>
    </xdr:from>
    <xdr:to>
      <xdr:col>15</xdr:col>
      <xdr:colOff>603250</xdr:colOff>
      <xdr:row>108</xdr:row>
      <xdr:rowOff>148167</xdr:rowOff>
    </xdr:to>
    <xdr:cxnSp macro="">
      <xdr:nvCxnSpPr>
        <xdr:cNvPr id="173" name="Straight Arrow Connector 172">
          <a:extLst>
            <a:ext uri="{FF2B5EF4-FFF2-40B4-BE49-F238E27FC236}">
              <a16:creationId xmlns:a16="http://schemas.microsoft.com/office/drawing/2014/main" id="{00000000-0008-0000-1200-0000AD000000}"/>
            </a:ext>
          </a:extLst>
        </xdr:cNvPr>
        <xdr:cNvCxnSpPr/>
      </xdr:nvCxnSpPr>
      <xdr:spPr>
        <a:xfrm flipV="1">
          <a:off x="10699750" y="8868834"/>
          <a:ext cx="560917" cy="45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xdr:row>
      <xdr:rowOff>95250</xdr:rowOff>
    </xdr:from>
    <xdr:to>
      <xdr:col>8</xdr:col>
      <xdr:colOff>21167</xdr:colOff>
      <xdr:row>182</xdr:row>
      <xdr:rowOff>148166</xdr:rowOff>
    </xdr:to>
    <xdr:cxnSp macro="">
      <xdr:nvCxnSpPr>
        <xdr:cNvPr id="261" name="Straight Arrow Connector 260">
          <a:extLst>
            <a:ext uri="{FF2B5EF4-FFF2-40B4-BE49-F238E27FC236}">
              <a16:creationId xmlns:a16="http://schemas.microsoft.com/office/drawing/2014/main" id="{00000000-0008-0000-1200-00000501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121</xdr:row>
      <xdr:rowOff>137583</xdr:rowOff>
    </xdr:from>
    <xdr:to>
      <xdr:col>9</xdr:col>
      <xdr:colOff>603250</xdr:colOff>
      <xdr:row>127</xdr:row>
      <xdr:rowOff>21166</xdr:rowOff>
    </xdr:to>
    <xdr:cxnSp macro="">
      <xdr:nvCxnSpPr>
        <xdr:cNvPr id="262" name="Straight Arrow Connector 261">
          <a:extLst>
            <a:ext uri="{FF2B5EF4-FFF2-40B4-BE49-F238E27FC236}">
              <a16:creationId xmlns:a16="http://schemas.microsoft.com/office/drawing/2014/main" id="{00000000-0008-0000-1200-00000601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130</xdr:row>
      <xdr:rowOff>0</xdr:rowOff>
    </xdr:from>
    <xdr:to>
      <xdr:col>9</xdr:col>
      <xdr:colOff>582083</xdr:colOff>
      <xdr:row>138</xdr:row>
      <xdr:rowOff>10583</xdr:rowOff>
    </xdr:to>
    <xdr:cxnSp macro="">
      <xdr:nvCxnSpPr>
        <xdr:cNvPr id="263" name="Straight Arrow Connector 262">
          <a:extLst>
            <a:ext uri="{FF2B5EF4-FFF2-40B4-BE49-F238E27FC236}">
              <a16:creationId xmlns:a16="http://schemas.microsoft.com/office/drawing/2014/main" id="{00000000-0008-0000-1200-00000701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135</xdr:row>
      <xdr:rowOff>169333</xdr:rowOff>
    </xdr:from>
    <xdr:to>
      <xdr:col>11</xdr:col>
      <xdr:colOff>603250</xdr:colOff>
      <xdr:row>138</xdr:row>
      <xdr:rowOff>21167</xdr:rowOff>
    </xdr:to>
    <xdr:cxnSp macro="">
      <xdr:nvCxnSpPr>
        <xdr:cNvPr id="264" name="Straight Arrow Connector 263">
          <a:extLst>
            <a:ext uri="{FF2B5EF4-FFF2-40B4-BE49-F238E27FC236}">
              <a16:creationId xmlns:a16="http://schemas.microsoft.com/office/drawing/2014/main" id="{00000000-0008-0000-1200-00000801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141</xdr:row>
      <xdr:rowOff>42333</xdr:rowOff>
    </xdr:from>
    <xdr:to>
      <xdr:col>11</xdr:col>
      <xdr:colOff>603250</xdr:colOff>
      <xdr:row>153</xdr:row>
      <xdr:rowOff>10583</xdr:rowOff>
    </xdr:to>
    <xdr:cxnSp macro="">
      <xdr:nvCxnSpPr>
        <xdr:cNvPr id="265" name="Straight Arrow Connector 264">
          <a:extLst>
            <a:ext uri="{FF2B5EF4-FFF2-40B4-BE49-F238E27FC236}">
              <a16:creationId xmlns:a16="http://schemas.microsoft.com/office/drawing/2014/main" id="{00000000-0008-0000-1200-00000901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xdr:row>
      <xdr:rowOff>21167</xdr:rowOff>
    </xdr:from>
    <xdr:to>
      <xdr:col>13</xdr:col>
      <xdr:colOff>592667</xdr:colOff>
      <xdr:row>133</xdr:row>
      <xdr:rowOff>0</xdr:rowOff>
    </xdr:to>
    <xdr:cxnSp macro="">
      <xdr:nvCxnSpPr>
        <xdr:cNvPr id="266" name="Straight Arrow Connector 265">
          <a:extLst>
            <a:ext uri="{FF2B5EF4-FFF2-40B4-BE49-F238E27FC236}">
              <a16:creationId xmlns:a16="http://schemas.microsoft.com/office/drawing/2014/main" id="{00000000-0008-0000-1200-00000A01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136</xdr:row>
      <xdr:rowOff>21166</xdr:rowOff>
    </xdr:from>
    <xdr:to>
      <xdr:col>13</xdr:col>
      <xdr:colOff>592667</xdr:colOff>
      <xdr:row>137</xdr:row>
      <xdr:rowOff>169334</xdr:rowOff>
    </xdr:to>
    <xdr:cxnSp macro="">
      <xdr:nvCxnSpPr>
        <xdr:cNvPr id="267" name="Straight Arrow Connector 266">
          <a:extLst>
            <a:ext uri="{FF2B5EF4-FFF2-40B4-BE49-F238E27FC236}">
              <a16:creationId xmlns:a16="http://schemas.microsoft.com/office/drawing/2014/main" id="{00000000-0008-0000-1200-00000B01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151</xdr:row>
      <xdr:rowOff>21167</xdr:rowOff>
    </xdr:from>
    <xdr:to>
      <xdr:col>13</xdr:col>
      <xdr:colOff>592667</xdr:colOff>
      <xdr:row>153</xdr:row>
      <xdr:rowOff>63500</xdr:rowOff>
    </xdr:to>
    <xdr:cxnSp macro="">
      <xdr:nvCxnSpPr>
        <xdr:cNvPr id="268" name="Straight Arrow Connector 267">
          <a:extLst>
            <a:ext uri="{FF2B5EF4-FFF2-40B4-BE49-F238E27FC236}">
              <a16:creationId xmlns:a16="http://schemas.microsoft.com/office/drawing/2014/main" id="{00000000-0008-0000-1200-00000C01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xdr:row>
      <xdr:rowOff>0</xdr:rowOff>
    </xdr:from>
    <xdr:to>
      <xdr:col>14</xdr:col>
      <xdr:colOff>10584</xdr:colOff>
      <xdr:row>164</xdr:row>
      <xdr:rowOff>148167</xdr:rowOff>
    </xdr:to>
    <xdr:cxnSp macro="">
      <xdr:nvCxnSpPr>
        <xdr:cNvPr id="269" name="Straight Arrow Connector 268">
          <a:extLst>
            <a:ext uri="{FF2B5EF4-FFF2-40B4-BE49-F238E27FC236}">
              <a16:creationId xmlns:a16="http://schemas.microsoft.com/office/drawing/2014/main" id="{00000000-0008-0000-1200-00000D01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123</xdr:row>
      <xdr:rowOff>0</xdr:rowOff>
    </xdr:from>
    <xdr:to>
      <xdr:col>15</xdr:col>
      <xdr:colOff>603250</xdr:colOff>
      <xdr:row>128</xdr:row>
      <xdr:rowOff>31750</xdr:rowOff>
    </xdr:to>
    <xdr:cxnSp macro="">
      <xdr:nvCxnSpPr>
        <xdr:cNvPr id="270" name="Straight Arrow Connector 269">
          <a:extLst>
            <a:ext uri="{FF2B5EF4-FFF2-40B4-BE49-F238E27FC236}">
              <a16:creationId xmlns:a16="http://schemas.microsoft.com/office/drawing/2014/main" id="{00000000-0008-0000-1200-00000E01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126</xdr:row>
      <xdr:rowOff>52917</xdr:rowOff>
    </xdr:from>
    <xdr:to>
      <xdr:col>15</xdr:col>
      <xdr:colOff>603250</xdr:colOff>
      <xdr:row>128</xdr:row>
      <xdr:rowOff>95250</xdr:rowOff>
    </xdr:to>
    <xdr:cxnSp macro="">
      <xdr:nvCxnSpPr>
        <xdr:cNvPr id="271" name="Straight Arrow Connector 270">
          <a:extLst>
            <a:ext uri="{FF2B5EF4-FFF2-40B4-BE49-F238E27FC236}">
              <a16:creationId xmlns:a16="http://schemas.microsoft.com/office/drawing/2014/main" id="{00000000-0008-0000-1200-00000F01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128</xdr:row>
      <xdr:rowOff>158750</xdr:rowOff>
    </xdr:from>
    <xdr:to>
      <xdr:col>15</xdr:col>
      <xdr:colOff>582083</xdr:colOff>
      <xdr:row>129</xdr:row>
      <xdr:rowOff>137583</xdr:rowOff>
    </xdr:to>
    <xdr:cxnSp macro="">
      <xdr:nvCxnSpPr>
        <xdr:cNvPr id="272" name="Straight Arrow Connector 271">
          <a:extLst>
            <a:ext uri="{FF2B5EF4-FFF2-40B4-BE49-F238E27FC236}">
              <a16:creationId xmlns:a16="http://schemas.microsoft.com/office/drawing/2014/main" id="{00000000-0008-0000-1200-00001001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128</xdr:row>
      <xdr:rowOff>105834</xdr:rowOff>
    </xdr:from>
    <xdr:to>
      <xdr:col>16</xdr:col>
      <xdr:colOff>0</xdr:colOff>
      <xdr:row>132</xdr:row>
      <xdr:rowOff>84667</xdr:rowOff>
    </xdr:to>
    <xdr:cxnSp macro="">
      <xdr:nvCxnSpPr>
        <xdr:cNvPr id="273" name="Straight Arrow Connector 272">
          <a:extLst>
            <a:ext uri="{FF2B5EF4-FFF2-40B4-BE49-F238E27FC236}">
              <a16:creationId xmlns:a16="http://schemas.microsoft.com/office/drawing/2014/main" id="{00000000-0008-0000-1200-00001101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xdr:row>
      <xdr:rowOff>52916</xdr:rowOff>
    </xdr:from>
    <xdr:to>
      <xdr:col>16</xdr:col>
      <xdr:colOff>0</xdr:colOff>
      <xdr:row>138</xdr:row>
      <xdr:rowOff>0</xdr:rowOff>
    </xdr:to>
    <xdr:cxnSp macro="">
      <xdr:nvCxnSpPr>
        <xdr:cNvPr id="274" name="Straight Arrow Connector 273">
          <a:extLst>
            <a:ext uri="{FF2B5EF4-FFF2-40B4-BE49-F238E27FC236}">
              <a16:creationId xmlns:a16="http://schemas.microsoft.com/office/drawing/2014/main" id="{00000000-0008-0000-1200-00001201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xdr:row>
      <xdr:rowOff>21167</xdr:rowOff>
    </xdr:from>
    <xdr:to>
      <xdr:col>15</xdr:col>
      <xdr:colOff>582083</xdr:colOff>
      <xdr:row>139</xdr:row>
      <xdr:rowOff>42333</xdr:rowOff>
    </xdr:to>
    <xdr:cxnSp macro="">
      <xdr:nvCxnSpPr>
        <xdr:cNvPr id="275" name="Straight Arrow Connector 274">
          <a:extLst>
            <a:ext uri="{FF2B5EF4-FFF2-40B4-BE49-F238E27FC236}">
              <a16:creationId xmlns:a16="http://schemas.microsoft.com/office/drawing/2014/main" id="{00000000-0008-0000-1200-00001301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xdr:row>
      <xdr:rowOff>21167</xdr:rowOff>
    </xdr:from>
    <xdr:to>
      <xdr:col>16</xdr:col>
      <xdr:colOff>42333</xdr:colOff>
      <xdr:row>143</xdr:row>
      <xdr:rowOff>21168</xdr:rowOff>
    </xdr:to>
    <xdr:cxnSp macro="">
      <xdr:nvCxnSpPr>
        <xdr:cNvPr id="276" name="Straight Arrow Connector 275">
          <a:extLst>
            <a:ext uri="{FF2B5EF4-FFF2-40B4-BE49-F238E27FC236}">
              <a16:creationId xmlns:a16="http://schemas.microsoft.com/office/drawing/2014/main" id="{00000000-0008-0000-1200-00001401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xdr:row>
      <xdr:rowOff>31750</xdr:rowOff>
    </xdr:from>
    <xdr:to>
      <xdr:col>16</xdr:col>
      <xdr:colOff>42334</xdr:colOff>
      <xdr:row>145</xdr:row>
      <xdr:rowOff>63501</xdr:rowOff>
    </xdr:to>
    <xdr:cxnSp macro="">
      <xdr:nvCxnSpPr>
        <xdr:cNvPr id="277" name="Straight Arrow Connector 276">
          <a:extLst>
            <a:ext uri="{FF2B5EF4-FFF2-40B4-BE49-F238E27FC236}">
              <a16:creationId xmlns:a16="http://schemas.microsoft.com/office/drawing/2014/main" id="{00000000-0008-0000-1200-00001501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xdr:row>
      <xdr:rowOff>42333</xdr:rowOff>
    </xdr:from>
    <xdr:to>
      <xdr:col>9</xdr:col>
      <xdr:colOff>592666</xdr:colOff>
      <xdr:row>183</xdr:row>
      <xdr:rowOff>42333</xdr:rowOff>
    </xdr:to>
    <xdr:cxnSp macro="">
      <xdr:nvCxnSpPr>
        <xdr:cNvPr id="278" name="Straight Arrow Connector 277">
          <a:extLst>
            <a:ext uri="{FF2B5EF4-FFF2-40B4-BE49-F238E27FC236}">
              <a16:creationId xmlns:a16="http://schemas.microsoft.com/office/drawing/2014/main" id="{00000000-0008-0000-1200-00001601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185</xdr:row>
      <xdr:rowOff>169334</xdr:rowOff>
    </xdr:from>
    <xdr:to>
      <xdr:col>9</xdr:col>
      <xdr:colOff>603250</xdr:colOff>
      <xdr:row>194</xdr:row>
      <xdr:rowOff>31750</xdr:rowOff>
    </xdr:to>
    <xdr:cxnSp macro="">
      <xdr:nvCxnSpPr>
        <xdr:cNvPr id="279" name="Straight Arrow Connector 278">
          <a:extLst>
            <a:ext uri="{FF2B5EF4-FFF2-40B4-BE49-F238E27FC236}">
              <a16:creationId xmlns:a16="http://schemas.microsoft.com/office/drawing/2014/main" id="{00000000-0008-0000-1200-00001701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191</xdr:row>
      <xdr:rowOff>158750</xdr:rowOff>
    </xdr:from>
    <xdr:to>
      <xdr:col>11</xdr:col>
      <xdr:colOff>571500</xdr:colOff>
      <xdr:row>194</xdr:row>
      <xdr:rowOff>0</xdr:rowOff>
    </xdr:to>
    <xdr:cxnSp macro="">
      <xdr:nvCxnSpPr>
        <xdr:cNvPr id="280" name="Straight Arrow Connector 279">
          <a:extLst>
            <a:ext uri="{FF2B5EF4-FFF2-40B4-BE49-F238E27FC236}">
              <a16:creationId xmlns:a16="http://schemas.microsoft.com/office/drawing/2014/main" id="{00000000-0008-0000-1200-00001801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xdr:row>
      <xdr:rowOff>0</xdr:rowOff>
    </xdr:from>
    <xdr:to>
      <xdr:col>15</xdr:col>
      <xdr:colOff>603250</xdr:colOff>
      <xdr:row>151</xdr:row>
      <xdr:rowOff>1</xdr:rowOff>
    </xdr:to>
    <xdr:cxnSp macro="">
      <xdr:nvCxnSpPr>
        <xdr:cNvPr id="281" name="Straight Arrow Connector 280">
          <a:extLst>
            <a:ext uri="{FF2B5EF4-FFF2-40B4-BE49-F238E27FC236}">
              <a16:creationId xmlns:a16="http://schemas.microsoft.com/office/drawing/2014/main" id="{00000000-0008-0000-1200-000019010000}"/>
            </a:ext>
          </a:extLst>
        </xdr:cNvPr>
        <xdr:cNvCxnSpPr/>
      </xdr:nvCxnSpPr>
      <xdr:spPr>
        <a:xfrm flipV="1">
          <a:off x="11765781" y="27524364"/>
          <a:ext cx="625378" cy="36945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151</xdr:row>
      <xdr:rowOff>10584</xdr:rowOff>
    </xdr:from>
    <xdr:to>
      <xdr:col>15</xdr:col>
      <xdr:colOff>592666</xdr:colOff>
      <xdr:row>152</xdr:row>
      <xdr:rowOff>95250</xdr:rowOff>
    </xdr:to>
    <xdr:cxnSp macro="">
      <xdr:nvCxnSpPr>
        <xdr:cNvPr id="282" name="Straight Arrow Connector 281">
          <a:extLst>
            <a:ext uri="{FF2B5EF4-FFF2-40B4-BE49-F238E27FC236}">
              <a16:creationId xmlns:a16="http://schemas.microsoft.com/office/drawing/2014/main" id="{00000000-0008-0000-1200-00001A01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151</xdr:row>
      <xdr:rowOff>10584</xdr:rowOff>
    </xdr:from>
    <xdr:to>
      <xdr:col>15</xdr:col>
      <xdr:colOff>560916</xdr:colOff>
      <xdr:row>155</xdr:row>
      <xdr:rowOff>52917</xdr:rowOff>
    </xdr:to>
    <xdr:cxnSp macro="">
      <xdr:nvCxnSpPr>
        <xdr:cNvPr id="283" name="Straight Arrow Connector 282">
          <a:extLst>
            <a:ext uri="{FF2B5EF4-FFF2-40B4-BE49-F238E27FC236}">
              <a16:creationId xmlns:a16="http://schemas.microsoft.com/office/drawing/2014/main" id="{00000000-0008-0000-1200-00001B01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xdr:row>
      <xdr:rowOff>31750</xdr:rowOff>
    </xdr:from>
    <xdr:to>
      <xdr:col>16</xdr:col>
      <xdr:colOff>21167</xdr:colOff>
      <xdr:row>158</xdr:row>
      <xdr:rowOff>95250</xdr:rowOff>
    </xdr:to>
    <xdr:cxnSp macro="">
      <xdr:nvCxnSpPr>
        <xdr:cNvPr id="284" name="Straight Arrow Connector 283">
          <a:extLst>
            <a:ext uri="{FF2B5EF4-FFF2-40B4-BE49-F238E27FC236}">
              <a16:creationId xmlns:a16="http://schemas.microsoft.com/office/drawing/2014/main" id="{00000000-0008-0000-1200-00001C01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165</xdr:row>
      <xdr:rowOff>0</xdr:rowOff>
    </xdr:from>
    <xdr:to>
      <xdr:col>16</xdr:col>
      <xdr:colOff>0</xdr:colOff>
      <xdr:row>165</xdr:row>
      <xdr:rowOff>42334</xdr:rowOff>
    </xdr:to>
    <xdr:cxnSp macro="">
      <xdr:nvCxnSpPr>
        <xdr:cNvPr id="285" name="Straight Arrow Connector 284">
          <a:extLst>
            <a:ext uri="{FF2B5EF4-FFF2-40B4-BE49-F238E27FC236}">
              <a16:creationId xmlns:a16="http://schemas.microsoft.com/office/drawing/2014/main" id="{00000000-0008-0000-1200-00001D01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165</xdr:row>
      <xdr:rowOff>21166</xdr:rowOff>
    </xdr:from>
    <xdr:to>
      <xdr:col>15</xdr:col>
      <xdr:colOff>560916</xdr:colOff>
      <xdr:row>168</xdr:row>
      <xdr:rowOff>84667</xdr:rowOff>
    </xdr:to>
    <xdr:cxnSp macro="">
      <xdr:nvCxnSpPr>
        <xdr:cNvPr id="286" name="Straight Arrow Connector 285">
          <a:extLst>
            <a:ext uri="{FF2B5EF4-FFF2-40B4-BE49-F238E27FC236}">
              <a16:creationId xmlns:a16="http://schemas.microsoft.com/office/drawing/2014/main" id="{00000000-0008-0000-1200-00001E01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165</xdr:row>
      <xdr:rowOff>52916</xdr:rowOff>
    </xdr:from>
    <xdr:to>
      <xdr:col>15</xdr:col>
      <xdr:colOff>592666</xdr:colOff>
      <xdr:row>171</xdr:row>
      <xdr:rowOff>63501</xdr:rowOff>
    </xdr:to>
    <xdr:cxnSp macro="">
      <xdr:nvCxnSpPr>
        <xdr:cNvPr id="287" name="Straight Arrow Connector 286">
          <a:extLst>
            <a:ext uri="{FF2B5EF4-FFF2-40B4-BE49-F238E27FC236}">
              <a16:creationId xmlns:a16="http://schemas.microsoft.com/office/drawing/2014/main" id="{00000000-0008-0000-1200-00001F01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179</xdr:row>
      <xdr:rowOff>116416</xdr:rowOff>
    </xdr:from>
    <xdr:to>
      <xdr:col>15</xdr:col>
      <xdr:colOff>592666</xdr:colOff>
      <xdr:row>182</xdr:row>
      <xdr:rowOff>158750</xdr:rowOff>
    </xdr:to>
    <xdr:cxnSp macro="">
      <xdr:nvCxnSpPr>
        <xdr:cNvPr id="288" name="Straight Arrow Connector 287">
          <a:extLst>
            <a:ext uri="{FF2B5EF4-FFF2-40B4-BE49-F238E27FC236}">
              <a16:creationId xmlns:a16="http://schemas.microsoft.com/office/drawing/2014/main" id="{00000000-0008-0000-1200-00002001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181</xdr:row>
      <xdr:rowOff>95250</xdr:rowOff>
    </xdr:from>
    <xdr:to>
      <xdr:col>15</xdr:col>
      <xdr:colOff>582083</xdr:colOff>
      <xdr:row>183</xdr:row>
      <xdr:rowOff>52917</xdr:rowOff>
    </xdr:to>
    <xdr:cxnSp macro="">
      <xdr:nvCxnSpPr>
        <xdr:cNvPr id="289" name="Straight Arrow Connector 288">
          <a:extLst>
            <a:ext uri="{FF2B5EF4-FFF2-40B4-BE49-F238E27FC236}">
              <a16:creationId xmlns:a16="http://schemas.microsoft.com/office/drawing/2014/main" id="{00000000-0008-0000-1200-00002101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183</xdr:row>
      <xdr:rowOff>116417</xdr:rowOff>
    </xdr:from>
    <xdr:to>
      <xdr:col>15</xdr:col>
      <xdr:colOff>592666</xdr:colOff>
      <xdr:row>187</xdr:row>
      <xdr:rowOff>95250</xdr:rowOff>
    </xdr:to>
    <xdr:cxnSp macro="">
      <xdr:nvCxnSpPr>
        <xdr:cNvPr id="290" name="Straight Arrow Connector 289">
          <a:extLst>
            <a:ext uri="{FF2B5EF4-FFF2-40B4-BE49-F238E27FC236}">
              <a16:creationId xmlns:a16="http://schemas.microsoft.com/office/drawing/2014/main" id="{00000000-0008-0000-1200-00002201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194</xdr:row>
      <xdr:rowOff>116416</xdr:rowOff>
    </xdr:from>
    <xdr:to>
      <xdr:col>16</xdr:col>
      <xdr:colOff>0</xdr:colOff>
      <xdr:row>201</xdr:row>
      <xdr:rowOff>74084</xdr:rowOff>
    </xdr:to>
    <xdr:cxnSp macro="">
      <xdr:nvCxnSpPr>
        <xdr:cNvPr id="291" name="Straight Arrow Connector 290">
          <a:extLst>
            <a:ext uri="{FF2B5EF4-FFF2-40B4-BE49-F238E27FC236}">
              <a16:creationId xmlns:a16="http://schemas.microsoft.com/office/drawing/2014/main" id="{00000000-0008-0000-1200-00002301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xdr:row>
      <xdr:rowOff>52917</xdr:rowOff>
    </xdr:from>
    <xdr:to>
      <xdr:col>15</xdr:col>
      <xdr:colOff>603250</xdr:colOff>
      <xdr:row>164</xdr:row>
      <xdr:rowOff>148167</xdr:rowOff>
    </xdr:to>
    <xdr:cxnSp macro="">
      <xdr:nvCxnSpPr>
        <xdr:cNvPr id="292" name="Straight Arrow Connector 291">
          <a:extLst>
            <a:ext uri="{FF2B5EF4-FFF2-40B4-BE49-F238E27FC236}">
              <a16:creationId xmlns:a16="http://schemas.microsoft.com/office/drawing/2014/main" id="{00000000-0008-0000-1200-00002401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197</xdr:row>
      <xdr:rowOff>42333</xdr:rowOff>
    </xdr:from>
    <xdr:to>
      <xdr:col>11</xdr:col>
      <xdr:colOff>603250</xdr:colOff>
      <xdr:row>209</xdr:row>
      <xdr:rowOff>10583</xdr:rowOff>
    </xdr:to>
    <xdr:cxnSp macro="">
      <xdr:nvCxnSpPr>
        <xdr:cNvPr id="293" name="Straight Arrow Connector 292">
          <a:extLst>
            <a:ext uri="{FF2B5EF4-FFF2-40B4-BE49-F238E27FC236}">
              <a16:creationId xmlns:a16="http://schemas.microsoft.com/office/drawing/2014/main" id="{00000000-0008-0000-1200-00002501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187</xdr:row>
      <xdr:rowOff>21167</xdr:rowOff>
    </xdr:from>
    <xdr:to>
      <xdr:col>13</xdr:col>
      <xdr:colOff>592667</xdr:colOff>
      <xdr:row>189</xdr:row>
      <xdr:rowOff>0</xdr:rowOff>
    </xdr:to>
    <xdr:cxnSp macro="">
      <xdr:nvCxnSpPr>
        <xdr:cNvPr id="294" name="Straight Arrow Connector 293">
          <a:extLst>
            <a:ext uri="{FF2B5EF4-FFF2-40B4-BE49-F238E27FC236}">
              <a16:creationId xmlns:a16="http://schemas.microsoft.com/office/drawing/2014/main" id="{00000000-0008-0000-1200-00002601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192</xdr:row>
      <xdr:rowOff>21166</xdr:rowOff>
    </xdr:from>
    <xdr:to>
      <xdr:col>13</xdr:col>
      <xdr:colOff>592667</xdr:colOff>
      <xdr:row>193</xdr:row>
      <xdr:rowOff>169334</xdr:rowOff>
    </xdr:to>
    <xdr:cxnSp macro="">
      <xdr:nvCxnSpPr>
        <xdr:cNvPr id="295" name="Straight Arrow Connector 294">
          <a:extLst>
            <a:ext uri="{FF2B5EF4-FFF2-40B4-BE49-F238E27FC236}">
              <a16:creationId xmlns:a16="http://schemas.microsoft.com/office/drawing/2014/main" id="{00000000-0008-0000-1200-00002701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207</xdr:row>
      <xdr:rowOff>21167</xdr:rowOff>
    </xdr:from>
    <xdr:to>
      <xdr:col>13</xdr:col>
      <xdr:colOff>592667</xdr:colOff>
      <xdr:row>209</xdr:row>
      <xdr:rowOff>63500</xdr:rowOff>
    </xdr:to>
    <xdr:cxnSp macro="">
      <xdr:nvCxnSpPr>
        <xdr:cNvPr id="296" name="Straight Arrow Connector 295">
          <a:extLst>
            <a:ext uri="{FF2B5EF4-FFF2-40B4-BE49-F238E27FC236}">
              <a16:creationId xmlns:a16="http://schemas.microsoft.com/office/drawing/2014/main" id="{00000000-0008-0000-1200-00002801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212</xdr:row>
      <xdr:rowOff>0</xdr:rowOff>
    </xdr:from>
    <xdr:to>
      <xdr:col>14</xdr:col>
      <xdr:colOff>10584</xdr:colOff>
      <xdr:row>220</xdr:row>
      <xdr:rowOff>148167</xdr:rowOff>
    </xdr:to>
    <xdr:cxnSp macro="">
      <xdr:nvCxnSpPr>
        <xdr:cNvPr id="297" name="Straight Arrow Connector 296">
          <a:extLst>
            <a:ext uri="{FF2B5EF4-FFF2-40B4-BE49-F238E27FC236}">
              <a16:creationId xmlns:a16="http://schemas.microsoft.com/office/drawing/2014/main" id="{00000000-0008-0000-1200-00002901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183</xdr:row>
      <xdr:rowOff>95250</xdr:rowOff>
    </xdr:from>
    <xdr:to>
      <xdr:col>15</xdr:col>
      <xdr:colOff>582083</xdr:colOff>
      <xdr:row>185</xdr:row>
      <xdr:rowOff>137583</xdr:rowOff>
    </xdr:to>
    <xdr:cxnSp macro="">
      <xdr:nvCxnSpPr>
        <xdr:cNvPr id="298" name="Straight Arrow Connector 297">
          <a:extLst>
            <a:ext uri="{FF2B5EF4-FFF2-40B4-BE49-F238E27FC236}">
              <a16:creationId xmlns:a16="http://schemas.microsoft.com/office/drawing/2014/main" id="{00000000-0008-0000-1200-00002A01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192</xdr:row>
      <xdr:rowOff>52916</xdr:rowOff>
    </xdr:from>
    <xdr:to>
      <xdr:col>16</xdr:col>
      <xdr:colOff>0</xdr:colOff>
      <xdr:row>194</xdr:row>
      <xdr:rowOff>0</xdr:rowOff>
    </xdr:to>
    <xdr:cxnSp macro="">
      <xdr:nvCxnSpPr>
        <xdr:cNvPr id="299" name="Straight Arrow Connector 298">
          <a:extLst>
            <a:ext uri="{FF2B5EF4-FFF2-40B4-BE49-F238E27FC236}">
              <a16:creationId xmlns:a16="http://schemas.microsoft.com/office/drawing/2014/main" id="{00000000-0008-0000-1200-00002B01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194</xdr:row>
      <xdr:rowOff>0</xdr:rowOff>
    </xdr:from>
    <xdr:to>
      <xdr:col>16</xdr:col>
      <xdr:colOff>0</xdr:colOff>
      <xdr:row>198</xdr:row>
      <xdr:rowOff>42334</xdr:rowOff>
    </xdr:to>
    <xdr:cxnSp macro="">
      <xdr:nvCxnSpPr>
        <xdr:cNvPr id="301" name="Straight Arrow Connector 300">
          <a:extLst>
            <a:ext uri="{FF2B5EF4-FFF2-40B4-BE49-F238E27FC236}">
              <a16:creationId xmlns:a16="http://schemas.microsoft.com/office/drawing/2014/main" id="{00000000-0008-0000-1200-00002D01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205</xdr:row>
      <xdr:rowOff>0</xdr:rowOff>
    </xdr:from>
    <xdr:to>
      <xdr:col>15</xdr:col>
      <xdr:colOff>603250</xdr:colOff>
      <xdr:row>207</xdr:row>
      <xdr:rowOff>1</xdr:rowOff>
    </xdr:to>
    <xdr:cxnSp macro="">
      <xdr:nvCxnSpPr>
        <xdr:cNvPr id="302" name="Straight Arrow Connector 301">
          <a:extLst>
            <a:ext uri="{FF2B5EF4-FFF2-40B4-BE49-F238E27FC236}">
              <a16:creationId xmlns:a16="http://schemas.microsoft.com/office/drawing/2014/main" id="{00000000-0008-0000-1200-00002E01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207</xdr:row>
      <xdr:rowOff>10584</xdr:rowOff>
    </xdr:from>
    <xdr:to>
      <xdr:col>15</xdr:col>
      <xdr:colOff>592666</xdr:colOff>
      <xdr:row>208</xdr:row>
      <xdr:rowOff>95250</xdr:rowOff>
    </xdr:to>
    <xdr:cxnSp macro="">
      <xdr:nvCxnSpPr>
        <xdr:cNvPr id="303" name="Straight Arrow Connector 302">
          <a:extLst>
            <a:ext uri="{FF2B5EF4-FFF2-40B4-BE49-F238E27FC236}">
              <a16:creationId xmlns:a16="http://schemas.microsoft.com/office/drawing/2014/main" id="{00000000-0008-0000-1200-00002F01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207</xdr:row>
      <xdr:rowOff>10584</xdr:rowOff>
    </xdr:from>
    <xdr:to>
      <xdr:col>15</xdr:col>
      <xdr:colOff>560916</xdr:colOff>
      <xdr:row>211</xdr:row>
      <xdr:rowOff>52917</xdr:rowOff>
    </xdr:to>
    <xdr:cxnSp macro="">
      <xdr:nvCxnSpPr>
        <xdr:cNvPr id="304" name="Straight Arrow Connector 303">
          <a:extLst>
            <a:ext uri="{FF2B5EF4-FFF2-40B4-BE49-F238E27FC236}">
              <a16:creationId xmlns:a16="http://schemas.microsoft.com/office/drawing/2014/main" id="{00000000-0008-0000-1200-00003001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207</xdr:row>
      <xdr:rowOff>31750</xdr:rowOff>
    </xdr:from>
    <xdr:to>
      <xdr:col>16</xdr:col>
      <xdr:colOff>21167</xdr:colOff>
      <xdr:row>214</xdr:row>
      <xdr:rowOff>95250</xdr:rowOff>
    </xdr:to>
    <xdr:cxnSp macro="">
      <xdr:nvCxnSpPr>
        <xdr:cNvPr id="305" name="Straight Arrow Connector 304">
          <a:extLst>
            <a:ext uri="{FF2B5EF4-FFF2-40B4-BE49-F238E27FC236}">
              <a16:creationId xmlns:a16="http://schemas.microsoft.com/office/drawing/2014/main" id="{00000000-0008-0000-1200-00003101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221</xdr:row>
      <xdr:rowOff>0</xdr:rowOff>
    </xdr:from>
    <xdr:to>
      <xdr:col>16</xdr:col>
      <xdr:colOff>0</xdr:colOff>
      <xdr:row>221</xdr:row>
      <xdr:rowOff>42334</xdr:rowOff>
    </xdr:to>
    <xdr:cxnSp macro="">
      <xdr:nvCxnSpPr>
        <xdr:cNvPr id="306" name="Straight Arrow Connector 305">
          <a:extLst>
            <a:ext uri="{FF2B5EF4-FFF2-40B4-BE49-F238E27FC236}">
              <a16:creationId xmlns:a16="http://schemas.microsoft.com/office/drawing/2014/main" id="{00000000-0008-0000-1200-00003201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221</xdr:row>
      <xdr:rowOff>21166</xdr:rowOff>
    </xdr:from>
    <xdr:to>
      <xdr:col>15</xdr:col>
      <xdr:colOff>560916</xdr:colOff>
      <xdr:row>224</xdr:row>
      <xdr:rowOff>84667</xdr:rowOff>
    </xdr:to>
    <xdr:cxnSp macro="">
      <xdr:nvCxnSpPr>
        <xdr:cNvPr id="307" name="Straight Arrow Connector 306">
          <a:extLst>
            <a:ext uri="{FF2B5EF4-FFF2-40B4-BE49-F238E27FC236}">
              <a16:creationId xmlns:a16="http://schemas.microsoft.com/office/drawing/2014/main" id="{00000000-0008-0000-1200-00003301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221</xdr:row>
      <xdr:rowOff>52916</xdr:rowOff>
    </xdr:from>
    <xdr:to>
      <xdr:col>15</xdr:col>
      <xdr:colOff>592666</xdr:colOff>
      <xdr:row>227</xdr:row>
      <xdr:rowOff>63501</xdr:rowOff>
    </xdr:to>
    <xdr:cxnSp macro="">
      <xdr:nvCxnSpPr>
        <xdr:cNvPr id="308" name="Straight Arrow Connector 307">
          <a:extLst>
            <a:ext uri="{FF2B5EF4-FFF2-40B4-BE49-F238E27FC236}">
              <a16:creationId xmlns:a16="http://schemas.microsoft.com/office/drawing/2014/main" id="{00000000-0008-0000-1200-00003401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218</xdr:row>
      <xdr:rowOff>52917</xdr:rowOff>
    </xdr:from>
    <xdr:to>
      <xdr:col>15</xdr:col>
      <xdr:colOff>603250</xdr:colOff>
      <xdr:row>220</xdr:row>
      <xdr:rowOff>148167</xdr:rowOff>
    </xdr:to>
    <xdr:cxnSp macro="">
      <xdr:nvCxnSpPr>
        <xdr:cNvPr id="309" name="Straight Arrow Connector 308">
          <a:extLst>
            <a:ext uri="{FF2B5EF4-FFF2-40B4-BE49-F238E27FC236}">
              <a16:creationId xmlns:a16="http://schemas.microsoft.com/office/drawing/2014/main" id="{00000000-0008-0000-1200-00003501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129</xdr:row>
      <xdr:rowOff>127000</xdr:rowOff>
    </xdr:from>
    <xdr:to>
      <xdr:col>8</xdr:col>
      <xdr:colOff>63500</xdr:colOff>
      <xdr:row>148</xdr:row>
      <xdr:rowOff>0</xdr:rowOff>
    </xdr:to>
    <xdr:cxnSp macro="">
      <xdr:nvCxnSpPr>
        <xdr:cNvPr id="312" name="Straight Arrow Connector 311">
          <a:extLst>
            <a:ext uri="{FF2B5EF4-FFF2-40B4-BE49-F238E27FC236}">
              <a16:creationId xmlns:a16="http://schemas.microsoft.com/office/drawing/2014/main" id="{00000000-0008-0000-1200-00003801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266</xdr:row>
      <xdr:rowOff>1</xdr:rowOff>
    </xdr:from>
    <xdr:to>
      <xdr:col>6</xdr:col>
      <xdr:colOff>0</xdr:colOff>
      <xdr:row>300</xdr:row>
      <xdr:rowOff>116417</xdr:rowOff>
    </xdr:to>
    <xdr:cxnSp macro="">
      <xdr:nvCxnSpPr>
        <xdr:cNvPr id="313" name="Straight Arrow Connector 312">
          <a:extLst>
            <a:ext uri="{FF2B5EF4-FFF2-40B4-BE49-F238E27FC236}">
              <a16:creationId xmlns:a16="http://schemas.microsoft.com/office/drawing/2014/main" id="{00000000-0008-0000-1200-00003901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303</xdr:row>
      <xdr:rowOff>169334</xdr:rowOff>
    </xdr:from>
    <xdr:to>
      <xdr:col>5</xdr:col>
      <xdr:colOff>571500</xdr:colOff>
      <xdr:row>372</xdr:row>
      <xdr:rowOff>0</xdr:rowOff>
    </xdr:to>
    <xdr:cxnSp macro="">
      <xdr:nvCxnSpPr>
        <xdr:cNvPr id="314" name="Straight Arrow Connector 313">
          <a:extLst>
            <a:ext uri="{FF2B5EF4-FFF2-40B4-BE49-F238E27FC236}">
              <a16:creationId xmlns:a16="http://schemas.microsoft.com/office/drawing/2014/main" id="{00000000-0008-0000-1200-00003A01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241</xdr:row>
      <xdr:rowOff>148167</xdr:rowOff>
    </xdr:from>
    <xdr:to>
      <xdr:col>7</xdr:col>
      <xdr:colOff>603250</xdr:colOff>
      <xdr:row>263</xdr:row>
      <xdr:rowOff>31750</xdr:rowOff>
    </xdr:to>
    <xdr:cxnSp macro="">
      <xdr:nvCxnSpPr>
        <xdr:cNvPr id="315" name="Straight Arrow Connector 314">
          <a:extLst>
            <a:ext uri="{FF2B5EF4-FFF2-40B4-BE49-F238E27FC236}">
              <a16:creationId xmlns:a16="http://schemas.microsoft.com/office/drawing/2014/main" id="{00000000-0008-0000-1200-00003B01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266</xdr:row>
      <xdr:rowOff>10584</xdr:rowOff>
    </xdr:from>
    <xdr:to>
      <xdr:col>8</xdr:col>
      <xdr:colOff>21167</xdr:colOff>
      <xdr:row>294</xdr:row>
      <xdr:rowOff>148166</xdr:rowOff>
    </xdr:to>
    <xdr:cxnSp macro="">
      <xdr:nvCxnSpPr>
        <xdr:cNvPr id="316" name="Straight Arrow Connector 315">
          <a:extLst>
            <a:ext uri="{FF2B5EF4-FFF2-40B4-BE49-F238E27FC236}">
              <a16:creationId xmlns:a16="http://schemas.microsoft.com/office/drawing/2014/main" id="{00000000-0008-0000-1200-00003C01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233</xdr:row>
      <xdr:rowOff>137583</xdr:rowOff>
    </xdr:from>
    <xdr:to>
      <xdr:col>9</xdr:col>
      <xdr:colOff>603250</xdr:colOff>
      <xdr:row>239</xdr:row>
      <xdr:rowOff>21166</xdr:rowOff>
    </xdr:to>
    <xdr:cxnSp macro="">
      <xdr:nvCxnSpPr>
        <xdr:cNvPr id="317" name="Straight Arrow Connector 316">
          <a:extLst>
            <a:ext uri="{FF2B5EF4-FFF2-40B4-BE49-F238E27FC236}">
              <a16:creationId xmlns:a16="http://schemas.microsoft.com/office/drawing/2014/main" id="{00000000-0008-0000-1200-00003D01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242</xdr:row>
      <xdr:rowOff>0</xdr:rowOff>
    </xdr:from>
    <xdr:to>
      <xdr:col>9</xdr:col>
      <xdr:colOff>582083</xdr:colOff>
      <xdr:row>250</xdr:row>
      <xdr:rowOff>10583</xdr:rowOff>
    </xdr:to>
    <xdr:cxnSp macro="">
      <xdr:nvCxnSpPr>
        <xdr:cNvPr id="318" name="Straight Arrow Connector 317">
          <a:extLst>
            <a:ext uri="{FF2B5EF4-FFF2-40B4-BE49-F238E27FC236}">
              <a16:creationId xmlns:a16="http://schemas.microsoft.com/office/drawing/2014/main" id="{00000000-0008-0000-1200-00003E01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247</xdr:row>
      <xdr:rowOff>169333</xdr:rowOff>
    </xdr:from>
    <xdr:to>
      <xdr:col>11</xdr:col>
      <xdr:colOff>603250</xdr:colOff>
      <xdr:row>250</xdr:row>
      <xdr:rowOff>21167</xdr:rowOff>
    </xdr:to>
    <xdr:cxnSp macro="">
      <xdr:nvCxnSpPr>
        <xdr:cNvPr id="319" name="Straight Arrow Connector 318">
          <a:extLst>
            <a:ext uri="{FF2B5EF4-FFF2-40B4-BE49-F238E27FC236}">
              <a16:creationId xmlns:a16="http://schemas.microsoft.com/office/drawing/2014/main" id="{00000000-0008-0000-1200-00003F01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253</xdr:row>
      <xdr:rowOff>42333</xdr:rowOff>
    </xdr:from>
    <xdr:to>
      <xdr:col>11</xdr:col>
      <xdr:colOff>603250</xdr:colOff>
      <xdr:row>265</xdr:row>
      <xdr:rowOff>10583</xdr:rowOff>
    </xdr:to>
    <xdr:cxnSp macro="">
      <xdr:nvCxnSpPr>
        <xdr:cNvPr id="320" name="Straight Arrow Connector 319">
          <a:extLst>
            <a:ext uri="{FF2B5EF4-FFF2-40B4-BE49-F238E27FC236}">
              <a16:creationId xmlns:a16="http://schemas.microsoft.com/office/drawing/2014/main" id="{00000000-0008-0000-1200-00004001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243</xdr:row>
      <xdr:rowOff>21167</xdr:rowOff>
    </xdr:from>
    <xdr:to>
      <xdr:col>13</xdr:col>
      <xdr:colOff>592667</xdr:colOff>
      <xdr:row>245</xdr:row>
      <xdr:rowOff>0</xdr:rowOff>
    </xdr:to>
    <xdr:cxnSp macro="">
      <xdr:nvCxnSpPr>
        <xdr:cNvPr id="321" name="Straight Arrow Connector 320">
          <a:extLst>
            <a:ext uri="{FF2B5EF4-FFF2-40B4-BE49-F238E27FC236}">
              <a16:creationId xmlns:a16="http://schemas.microsoft.com/office/drawing/2014/main" id="{00000000-0008-0000-1200-00004101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248</xdr:row>
      <xdr:rowOff>21166</xdr:rowOff>
    </xdr:from>
    <xdr:to>
      <xdr:col>13</xdr:col>
      <xdr:colOff>592667</xdr:colOff>
      <xdr:row>249</xdr:row>
      <xdr:rowOff>169334</xdr:rowOff>
    </xdr:to>
    <xdr:cxnSp macro="">
      <xdr:nvCxnSpPr>
        <xdr:cNvPr id="322" name="Straight Arrow Connector 321">
          <a:extLst>
            <a:ext uri="{FF2B5EF4-FFF2-40B4-BE49-F238E27FC236}">
              <a16:creationId xmlns:a16="http://schemas.microsoft.com/office/drawing/2014/main" id="{00000000-0008-0000-1200-00004201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263</xdr:row>
      <xdr:rowOff>21167</xdr:rowOff>
    </xdr:from>
    <xdr:to>
      <xdr:col>13</xdr:col>
      <xdr:colOff>592667</xdr:colOff>
      <xdr:row>265</xdr:row>
      <xdr:rowOff>63500</xdr:rowOff>
    </xdr:to>
    <xdr:cxnSp macro="">
      <xdr:nvCxnSpPr>
        <xdr:cNvPr id="323" name="Straight Arrow Connector 322">
          <a:extLst>
            <a:ext uri="{FF2B5EF4-FFF2-40B4-BE49-F238E27FC236}">
              <a16:creationId xmlns:a16="http://schemas.microsoft.com/office/drawing/2014/main" id="{00000000-0008-0000-1200-00004301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268</xdr:row>
      <xdr:rowOff>0</xdr:rowOff>
    </xdr:from>
    <xdr:to>
      <xdr:col>14</xdr:col>
      <xdr:colOff>10584</xdr:colOff>
      <xdr:row>276</xdr:row>
      <xdr:rowOff>148167</xdr:rowOff>
    </xdr:to>
    <xdr:cxnSp macro="">
      <xdr:nvCxnSpPr>
        <xdr:cNvPr id="324" name="Straight Arrow Connector 323">
          <a:extLst>
            <a:ext uri="{FF2B5EF4-FFF2-40B4-BE49-F238E27FC236}">
              <a16:creationId xmlns:a16="http://schemas.microsoft.com/office/drawing/2014/main" id="{00000000-0008-0000-1200-00004401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235</xdr:row>
      <xdr:rowOff>0</xdr:rowOff>
    </xdr:from>
    <xdr:to>
      <xdr:col>15</xdr:col>
      <xdr:colOff>603250</xdr:colOff>
      <xdr:row>240</xdr:row>
      <xdr:rowOff>31750</xdr:rowOff>
    </xdr:to>
    <xdr:cxnSp macro="">
      <xdr:nvCxnSpPr>
        <xdr:cNvPr id="325" name="Straight Arrow Connector 324">
          <a:extLst>
            <a:ext uri="{FF2B5EF4-FFF2-40B4-BE49-F238E27FC236}">
              <a16:creationId xmlns:a16="http://schemas.microsoft.com/office/drawing/2014/main" id="{00000000-0008-0000-1200-00004501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238</xdr:row>
      <xdr:rowOff>52917</xdr:rowOff>
    </xdr:from>
    <xdr:to>
      <xdr:col>15</xdr:col>
      <xdr:colOff>603250</xdr:colOff>
      <xdr:row>240</xdr:row>
      <xdr:rowOff>95250</xdr:rowOff>
    </xdr:to>
    <xdr:cxnSp macro="">
      <xdr:nvCxnSpPr>
        <xdr:cNvPr id="326" name="Straight Arrow Connector 325">
          <a:extLst>
            <a:ext uri="{FF2B5EF4-FFF2-40B4-BE49-F238E27FC236}">
              <a16:creationId xmlns:a16="http://schemas.microsoft.com/office/drawing/2014/main" id="{00000000-0008-0000-1200-00004601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240</xdr:row>
      <xdr:rowOff>158750</xdr:rowOff>
    </xdr:from>
    <xdr:to>
      <xdr:col>15</xdr:col>
      <xdr:colOff>582083</xdr:colOff>
      <xdr:row>241</xdr:row>
      <xdr:rowOff>137583</xdr:rowOff>
    </xdr:to>
    <xdr:cxnSp macro="">
      <xdr:nvCxnSpPr>
        <xdr:cNvPr id="327" name="Straight Arrow Connector 326">
          <a:extLst>
            <a:ext uri="{FF2B5EF4-FFF2-40B4-BE49-F238E27FC236}">
              <a16:creationId xmlns:a16="http://schemas.microsoft.com/office/drawing/2014/main" id="{00000000-0008-0000-1200-00004701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240</xdr:row>
      <xdr:rowOff>105834</xdr:rowOff>
    </xdr:from>
    <xdr:to>
      <xdr:col>16</xdr:col>
      <xdr:colOff>0</xdr:colOff>
      <xdr:row>244</xdr:row>
      <xdr:rowOff>84667</xdr:rowOff>
    </xdr:to>
    <xdr:cxnSp macro="">
      <xdr:nvCxnSpPr>
        <xdr:cNvPr id="328" name="Straight Arrow Connector 327">
          <a:extLst>
            <a:ext uri="{FF2B5EF4-FFF2-40B4-BE49-F238E27FC236}">
              <a16:creationId xmlns:a16="http://schemas.microsoft.com/office/drawing/2014/main" id="{00000000-0008-0000-1200-00004801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248</xdr:row>
      <xdr:rowOff>52916</xdr:rowOff>
    </xdr:from>
    <xdr:to>
      <xdr:col>16</xdr:col>
      <xdr:colOff>0</xdr:colOff>
      <xdr:row>250</xdr:row>
      <xdr:rowOff>0</xdr:rowOff>
    </xdr:to>
    <xdr:cxnSp macro="">
      <xdr:nvCxnSpPr>
        <xdr:cNvPr id="329" name="Straight Arrow Connector 328">
          <a:extLst>
            <a:ext uri="{FF2B5EF4-FFF2-40B4-BE49-F238E27FC236}">
              <a16:creationId xmlns:a16="http://schemas.microsoft.com/office/drawing/2014/main" id="{00000000-0008-0000-1200-00004901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250</xdr:row>
      <xdr:rowOff>21167</xdr:rowOff>
    </xdr:from>
    <xdr:to>
      <xdr:col>15</xdr:col>
      <xdr:colOff>582083</xdr:colOff>
      <xdr:row>251</xdr:row>
      <xdr:rowOff>42333</xdr:rowOff>
    </xdr:to>
    <xdr:cxnSp macro="">
      <xdr:nvCxnSpPr>
        <xdr:cNvPr id="330" name="Straight Arrow Connector 329">
          <a:extLst>
            <a:ext uri="{FF2B5EF4-FFF2-40B4-BE49-F238E27FC236}">
              <a16:creationId xmlns:a16="http://schemas.microsoft.com/office/drawing/2014/main" id="{00000000-0008-0000-1200-00004A01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250</xdr:row>
      <xdr:rowOff>21167</xdr:rowOff>
    </xdr:from>
    <xdr:to>
      <xdr:col>16</xdr:col>
      <xdr:colOff>42333</xdr:colOff>
      <xdr:row>255</xdr:row>
      <xdr:rowOff>21168</xdr:rowOff>
    </xdr:to>
    <xdr:cxnSp macro="">
      <xdr:nvCxnSpPr>
        <xdr:cNvPr id="331" name="Straight Arrow Connector 330">
          <a:extLst>
            <a:ext uri="{FF2B5EF4-FFF2-40B4-BE49-F238E27FC236}">
              <a16:creationId xmlns:a16="http://schemas.microsoft.com/office/drawing/2014/main" id="{00000000-0008-0000-1200-00004B01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287</xdr:row>
      <xdr:rowOff>42333</xdr:rowOff>
    </xdr:from>
    <xdr:to>
      <xdr:col>9</xdr:col>
      <xdr:colOff>592666</xdr:colOff>
      <xdr:row>295</xdr:row>
      <xdr:rowOff>42333</xdr:rowOff>
    </xdr:to>
    <xdr:cxnSp macro="">
      <xdr:nvCxnSpPr>
        <xdr:cNvPr id="333" name="Straight Arrow Connector 332">
          <a:extLst>
            <a:ext uri="{FF2B5EF4-FFF2-40B4-BE49-F238E27FC236}">
              <a16:creationId xmlns:a16="http://schemas.microsoft.com/office/drawing/2014/main" id="{00000000-0008-0000-1200-00004D01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297</xdr:row>
      <xdr:rowOff>169334</xdr:rowOff>
    </xdr:from>
    <xdr:to>
      <xdr:col>9</xdr:col>
      <xdr:colOff>603250</xdr:colOff>
      <xdr:row>306</xdr:row>
      <xdr:rowOff>31750</xdr:rowOff>
    </xdr:to>
    <xdr:cxnSp macro="">
      <xdr:nvCxnSpPr>
        <xdr:cNvPr id="334" name="Straight Arrow Connector 333">
          <a:extLst>
            <a:ext uri="{FF2B5EF4-FFF2-40B4-BE49-F238E27FC236}">
              <a16:creationId xmlns:a16="http://schemas.microsoft.com/office/drawing/2014/main" id="{00000000-0008-0000-1200-00004E01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303</xdr:row>
      <xdr:rowOff>158750</xdr:rowOff>
    </xdr:from>
    <xdr:to>
      <xdr:col>11</xdr:col>
      <xdr:colOff>571500</xdr:colOff>
      <xdr:row>306</xdr:row>
      <xdr:rowOff>0</xdr:rowOff>
    </xdr:to>
    <xdr:cxnSp macro="">
      <xdr:nvCxnSpPr>
        <xdr:cNvPr id="335" name="Straight Arrow Connector 334">
          <a:extLst>
            <a:ext uri="{FF2B5EF4-FFF2-40B4-BE49-F238E27FC236}">
              <a16:creationId xmlns:a16="http://schemas.microsoft.com/office/drawing/2014/main" id="{00000000-0008-0000-1200-00004F01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261</xdr:row>
      <xdr:rowOff>0</xdr:rowOff>
    </xdr:from>
    <xdr:to>
      <xdr:col>15</xdr:col>
      <xdr:colOff>603250</xdr:colOff>
      <xdr:row>263</xdr:row>
      <xdr:rowOff>1</xdr:rowOff>
    </xdr:to>
    <xdr:cxnSp macro="">
      <xdr:nvCxnSpPr>
        <xdr:cNvPr id="336" name="Straight Arrow Connector 335">
          <a:extLst>
            <a:ext uri="{FF2B5EF4-FFF2-40B4-BE49-F238E27FC236}">
              <a16:creationId xmlns:a16="http://schemas.microsoft.com/office/drawing/2014/main" id="{00000000-0008-0000-1200-00005001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263</xdr:row>
      <xdr:rowOff>10584</xdr:rowOff>
    </xdr:from>
    <xdr:to>
      <xdr:col>15</xdr:col>
      <xdr:colOff>592666</xdr:colOff>
      <xdr:row>264</xdr:row>
      <xdr:rowOff>95250</xdr:rowOff>
    </xdr:to>
    <xdr:cxnSp macro="">
      <xdr:nvCxnSpPr>
        <xdr:cNvPr id="337" name="Straight Arrow Connector 336">
          <a:extLst>
            <a:ext uri="{FF2B5EF4-FFF2-40B4-BE49-F238E27FC236}">
              <a16:creationId xmlns:a16="http://schemas.microsoft.com/office/drawing/2014/main" id="{00000000-0008-0000-1200-00005101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263</xdr:row>
      <xdr:rowOff>10584</xdr:rowOff>
    </xdr:from>
    <xdr:to>
      <xdr:col>15</xdr:col>
      <xdr:colOff>560916</xdr:colOff>
      <xdr:row>267</xdr:row>
      <xdr:rowOff>52917</xdr:rowOff>
    </xdr:to>
    <xdr:cxnSp macro="">
      <xdr:nvCxnSpPr>
        <xdr:cNvPr id="338" name="Straight Arrow Connector 337">
          <a:extLst>
            <a:ext uri="{FF2B5EF4-FFF2-40B4-BE49-F238E27FC236}">
              <a16:creationId xmlns:a16="http://schemas.microsoft.com/office/drawing/2014/main" id="{00000000-0008-0000-1200-00005201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263</xdr:row>
      <xdr:rowOff>31750</xdr:rowOff>
    </xdr:from>
    <xdr:to>
      <xdr:col>16</xdr:col>
      <xdr:colOff>21167</xdr:colOff>
      <xdr:row>270</xdr:row>
      <xdr:rowOff>95250</xdr:rowOff>
    </xdr:to>
    <xdr:cxnSp macro="">
      <xdr:nvCxnSpPr>
        <xdr:cNvPr id="339" name="Straight Arrow Connector 338">
          <a:extLst>
            <a:ext uri="{FF2B5EF4-FFF2-40B4-BE49-F238E27FC236}">
              <a16:creationId xmlns:a16="http://schemas.microsoft.com/office/drawing/2014/main" id="{00000000-0008-0000-1200-00005301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277</xdr:row>
      <xdr:rowOff>0</xdr:rowOff>
    </xdr:from>
    <xdr:to>
      <xdr:col>16</xdr:col>
      <xdr:colOff>0</xdr:colOff>
      <xdr:row>277</xdr:row>
      <xdr:rowOff>42334</xdr:rowOff>
    </xdr:to>
    <xdr:cxnSp macro="">
      <xdr:nvCxnSpPr>
        <xdr:cNvPr id="340" name="Straight Arrow Connector 339">
          <a:extLst>
            <a:ext uri="{FF2B5EF4-FFF2-40B4-BE49-F238E27FC236}">
              <a16:creationId xmlns:a16="http://schemas.microsoft.com/office/drawing/2014/main" id="{00000000-0008-0000-1200-00005401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277</xdr:row>
      <xdr:rowOff>21166</xdr:rowOff>
    </xdr:from>
    <xdr:to>
      <xdr:col>15</xdr:col>
      <xdr:colOff>560916</xdr:colOff>
      <xdr:row>280</xdr:row>
      <xdr:rowOff>84667</xdr:rowOff>
    </xdr:to>
    <xdr:cxnSp macro="">
      <xdr:nvCxnSpPr>
        <xdr:cNvPr id="341" name="Straight Arrow Connector 340">
          <a:extLst>
            <a:ext uri="{FF2B5EF4-FFF2-40B4-BE49-F238E27FC236}">
              <a16:creationId xmlns:a16="http://schemas.microsoft.com/office/drawing/2014/main" id="{00000000-0008-0000-1200-00005501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277</xdr:row>
      <xdr:rowOff>52916</xdr:rowOff>
    </xdr:from>
    <xdr:to>
      <xdr:col>15</xdr:col>
      <xdr:colOff>592666</xdr:colOff>
      <xdr:row>283</xdr:row>
      <xdr:rowOff>63501</xdr:rowOff>
    </xdr:to>
    <xdr:cxnSp macro="">
      <xdr:nvCxnSpPr>
        <xdr:cNvPr id="342" name="Straight Arrow Connector 341">
          <a:extLst>
            <a:ext uri="{FF2B5EF4-FFF2-40B4-BE49-F238E27FC236}">
              <a16:creationId xmlns:a16="http://schemas.microsoft.com/office/drawing/2014/main" id="{00000000-0008-0000-1200-00005601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291</xdr:row>
      <xdr:rowOff>116416</xdr:rowOff>
    </xdr:from>
    <xdr:to>
      <xdr:col>15</xdr:col>
      <xdr:colOff>592666</xdr:colOff>
      <xdr:row>294</xdr:row>
      <xdr:rowOff>158750</xdr:rowOff>
    </xdr:to>
    <xdr:cxnSp macro="">
      <xdr:nvCxnSpPr>
        <xdr:cNvPr id="343" name="Straight Arrow Connector 342">
          <a:extLst>
            <a:ext uri="{FF2B5EF4-FFF2-40B4-BE49-F238E27FC236}">
              <a16:creationId xmlns:a16="http://schemas.microsoft.com/office/drawing/2014/main" id="{00000000-0008-0000-1200-00005701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293</xdr:row>
      <xdr:rowOff>95250</xdr:rowOff>
    </xdr:from>
    <xdr:to>
      <xdr:col>15</xdr:col>
      <xdr:colOff>582083</xdr:colOff>
      <xdr:row>295</xdr:row>
      <xdr:rowOff>52917</xdr:rowOff>
    </xdr:to>
    <xdr:cxnSp macro="">
      <xdr:nvCxnSpPr>
        <xdr:cNvPr id="344" name="Straight Arrow Connector 343">
          <a:extLst>
            <a:ext uri="{FF2B5EF4-FFF2-40B4-BE49-F238E27FC236}">
              <a16:creationId xmlns:a16="http://schemas.microsoft.com/office/drawing/2014/main" id="{00000000-0008-0000-1200-00005801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295</xdr:row>
      <xdr:rowOff>116417</xdr:rowOff>
    </xdr:from>
    <xdr:to>
      <xdr:col>15</xdr:col>
      <xdr:colOff>592666</xdr:colOff>
      <xdr:row>299</xdr:row>
      <xdr:rowOff>95250</xdr:rowOff>
    </xdr:to>
    <xdr:cxnSp macro="">
      <xdr:nvCxnSpPr>
        <xdr:cNvPr id="345" name="Straight Arrow Connector 344">
          <a:extLst>
            <a:ext uri="{FF2B5EF4-FFF2-40B4-BE49-F238E27FC236}">
              <a16:creationId xmlns:a16="http://schemas.microsoft.com/office/drawing/2014/main" id="{00000000-0008-0000-1200-00005901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306</xdr:row>
      <xdr:rowOff>116416</xdr:rowOff>
    </xdr:from>
    <xdr:to>
      <xdr:col>16</xdr:col>
      <xdr:colOff>0</xdr:colOff>
      <xdr:row>313</xdr:row>
      <xdr:rowOff>74084</xdr:rowOff>
    </xdr:to>
    <xdr:cxnSp macro="">
      <xdr:nvCxnSpPr>
        <xdr:cNvPr id="346" name="Straight Arrow Connector 345">
          <a:extLst>
            <a:ext uri="{FF2B5EF4-FFF2-40B4-BE49-F238E27FC236}">
              <a16:creationId xmlns:a16="http://schemas.microsoft.com/office/drawing/2014/main" id="{00000000-0008-0000-1200-00005A01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274</xdr:row>
      <xdr:rowOff>52917</xdr:rowOff>
    </xdr:from>
    <xdr:to>
      <xdr:col>15</xdr:col>
      <xdr:colOff>603250</xdr:colOff>
      <xdr:row>276</xdr:row>
      <xdr:rowOff>148167</xdr:rowOff>
    </xdr:to>
    <xdr:cxnSp macro="">
      <xdr:nvCxnSpPr>
        <xdr:cNvPr id="347" name="Straight Arrow Connector 346">
          <a:extLst>
            <a:ext uri="{FF2B5EF4-FFF2-40B4-BE49-F238E27FC236}">
              <a16:creationId xmlns:a16="http://schemas.microsoft.com/office/drawing/2014/main" id="{00000000-0008-0000-1200-00005B01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309</xdr:row>
      <xdr:rowOff>42333</xdr:rowOff>
    </xdr:from>
    <xdr:to>
      <xdr:col>11</xdr:col>
      <xdr:colOff>603250</xdr:colOff>
      <xdr:row>321</xdr:row>
      <xdr:rowOff>10583</xdr:rowOff>
    </xdr:to>
    <xdr:cxnSp macro="">
      <xdr:nvCxnSpPr>
        <xdr:cNvPr id="348" name="Straight Arrow Connector 347">
          <a:extLst>
            <a:ext uri="{FF2B5EF4-FFF2-40B4-BE49-F238E27FC236}">
              <a16:creationId xmlns:a16="http://schemas.microsoft.com/office/drawing/2014/main" id="{00000000-0008-0000-1200-00005C01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299</xdr:row>
      <xdr:rowOff>21167</xdr:rowOff>
    </xdr:from>
    <xdr:to>
      <xdr:col>13</xdr:col>
      <xdr:colOff>592667</xdr:colOff>
      <xdr:row>301</xdr:row>
      <xdr:rowOff>0</xdr:rowOff>
    </xdr:to>
    <xdr:cxnSp macro="">
      <xdr:nvCxnSpPr>
        <xdr:cNvPr id="349" name="Straight Arrow Connector 348">
          <a:extLst>
            <a:ext uri="{FF2B5EF4-FFF2-40B4-BE49-F238E27FC236}">
              <a16:creationId xmlns:a16="http://schemas.microsoft.com/office/drawing/2014/main" id="{00000000-0008-0000-1200-00005D01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304</xdr:row>
      <xdr:rowOff>21166</xdr:rowOff>
    </xdr:from>
    <xdr:to>
      <xdr:col>13</xdr:col>
      <xdr:colOff>592667</xdr:colOff>
      <xdr:row>305</xdr:row>
      <xdr:rowOff>169334</xdr:rowOff>
    </xdr:to>
    <xdr:cxnSp macro="">
      <xdr:nvCxnSpPr>
        <xdr:cNvPr id="350" name="Straight Arrow Connector 349">
          <a:extLst>
            <a:ext uri="{FF2B5EF4-FFF2-40B4-BE49-F238E27FC236}">
              <a16:creationId xmlns:a16="http://schemas.microsoft.com/office/drawing/2014/main" id="{00000000-0008-0000-1200-00005E01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319</xdr:row>
      <xdr:rowOff>21167</xdr:rowOff>
    </xdr:from>
    <xdr:to>
      <xdr:col>13</xdr:col>
      <xdr:colOff>592667</xdr:colOff>
      <xdr:row>321</xdr:row>
      <xdr:rowOff>63500</xdr:rowOff>
    </xdr:to>
    <xdr:cxnSp macro="">
      <xdr:nvCxnSpPr>
        <xdr:cNvPr id="351" name="Straight Arrow Connector 350">
          <a:extLst>
            <a:ext uri="{FF2B5EF4-FFF2-40B4-BE49-F238E27FC236}">
              <a16:creationId xmlns:a16="http://schemas.microsoft.com/office/drawing/2014/main" id="{00000000-0008-0000-1200-00005F01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324</xdr:row>
      <xdr:rowOff>0</xdr:rowOff>
    </xdr:from>
    <xdr:to>
      <xdr:col>14</xdr:col>
      <xdr:colOff>10584</xdr:colOff>
      <xdr:row>332</xdr:row>
      <xdr:rowOff>148167</xdr:rowOff>
    </xdr:to>
    <xdr:cxnSp macro="">
      <xdr:nvCxnSpPr>
        <xdr:cNvPr id="352" name="Straight Arrow Connector 351">
          <a:extLst>
            <a:ext uri="{FF2B5EF4-FFF2-40B4-BE49-F238E27FC236}">
              <a16:creationId xmlns:a16="http://schemas.microsoft.com/office/drawing/2014/main" id="{00000000-0008-0000-1200-00006001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295</xdr:row>
      <xdr:rowOff>95250</xdr:rowOff>
    </xdr:from>
    <xdr:to>
      <xdr:col>15</xdr:col>
      <xdr:colOff>582083</xdr:colOff>
      <xdr:row>297</xdr:row>
      <xdr:rowOff>137583</xdr:rowOff>
    </xdr:to>
    <xdr:cxnSp macro="">
      <xdr:nvCxnSpPr>
        <xdr:cNvPr id="353" name="Straight Arrow Connector 352">
          <a:extLst>
            <a:ext uri="{FF2B5EF4-FFF2-40B4-BE49-F238E27FC236}">
              <a16:creationId xmlns:a16="http://schemas.microsoft.com/office/drawing/2014/main" id="{00000000-0008-0000-1200-00006101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304</xdr:row>
      <xdr:rowOff>52916</xdr:rowOff>
    </xdr:from>
    <xdr:to>
      <xdr:col>16</xdr:col>
      <xdr:colOff>0</xdr:colOff>
      <xdr:row>306</xdr:row>
      <xdr:rowOff>0</xdr:rowOff>
    </xdr:to>
    <xdr:cxnSp macro="">
      <xdr:nvCxnSpPr>
        <xdr:cNvPr id="354" name="Straight Arrow Connector 353">
          <a:extLst>
            <a:ext uri="{FF2B5EF4-FFF2-40B4-BE49-F238E27FC236}">
              <a16:creationId xmlns:a16="http://schemas.microsoft.com/office/drawing/2014/main" id="{00000000-0008-0000-1200-00006201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306</xdr:row>
      <xdr:rowOff>21167</xdr:rowOff>
    </xdr:from>
    <xdr:to>
      <xdr:col>15</xdr:col>
      <xdr:colOff>592666</xdr:colOff>
      <xdr:row>307</xdr:row>
      <xdr:rowOff>84667</xdr:rowOff>
    </xdr:to>
    <xdr:cxnSp macro="">
      <xdr:nvCxnSpPr>
        <xdr:cNvPr id="355" name="Straight Arrow Connector 354">
          <a:extLst>
            <a:ext uri="{FF2B5EF4-FFF2-40B4-BE49-F238E27FC236}">
              <a16:creationId xmlns:a16="http://schemas.microsoft.com/office/drawing/2014/main" id="{00000000-0008-0000-1200-00006301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306</xdr:row>
      <xdr:rowOff>0</xdr:rowOff>
    </xdr:from>
    <xdr:to>
      <xdr:col>16</xdr:col>
      <xdr:colOff>0</xdr:colOff>
      <xdr:row>310</xdr:row>
      <xdr:rowOff>42334</xdr:rowOff>
    </xdr:to>
    <xdr:cxnSp macro="">
      <xdr:nvCxnSpPr>
        <xdr:cNvPr id="356" name="Straight Arrow Connector 355">
          <a:extLst>
            <a:ext uri="{FF2B5EF4-FFF2-40B4-BE49-F238E27FC236}">
              <a16:creationId xmlns:a16="http://schemas.microsoft.com/office/drawing/2014/main" id="{00000000-0008-0000-1200-00006401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317</xdr:row>
      <xdr:rowOff>0</xdr:rowOff>
    </xdr:from>
    <xdr:to>
      <xdr:col>15</xdr:col>
      <xdr:colOff>603250</xdr:colOff>
      <xdr:row>319</xdr:row>
      <xdr:rowOff>1</xdr:rowOff>
    </xdr:to>
    <xdr:cxnSp macro="">
      <xdr:nvCxnSpPr>
        <xdr:cNvPr id="357" name="Straight Arrow Connector 356">
          <a:extLst>
            <a:ext uri="{FF2B5EF4-FFF2-40B4-BE49-F238E27FC236}">
              <a16:creationId xmlns:a16="http://schemas.microsoft.com/office/drawing/2014/main" id="{00000000-0008-0000-1200-00006501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319</xdr:row>
      <xdr:rowOff>10584</xdr:rowOff>
    </xdr:from>
    <xdr:to>
      <xdr:col>15</xdr:col>
      <xdr:colOff>592666</xdr:colOff>
      <xdr:row>320</xdr:row>
      <xdr:rowOff>95250</xdr:rowOff>
    </xdr:to>
    <xdr:cxnSp macro="">
      <xdr:nvCxnSpPr>
        <xdr:cNvPr id="358" name="Straight Arrow Connector 357">
          <a:extLst>
            <a:ext uri="{FF2B5EF4-FFF2-40B4-BE49-F238E27FC236}">
              <a16:creationId xmlns:a16="http://schemas.microsoft.com/office/drawing/2014/main" id="{00000000-0008-0000-1200-00006601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319</xdr:row>
      <xdr:rowOff>10584</xdr:rowOff>
    </xdr:from>
    <xdr:to>
      <xdr:col>15</xdr:col>
      <xdr:colOff>560916</xdr:colOff>
      <xdr:row>323</xdr:row>
      <xdr:rowOff>52917</xdr:rowOff>
    </xdr:to>
    <xdr:cxnSp macro="">
      <xdr:nvCxnSpPr>
        <xdr:cNvPr id="359" name="Straight Arrow Connector 358">
          <a:extLst>
            <a:ext uri="{FF2B5EF4-FFF2-40B4-BE49-F238E27FC236}">
              <a16:creationId xmlns:a16="http://schemas.microsoft.com/office/drawing/2014/main" id="{00000000-0008-0000-1200-00006701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319</xdr:row>
      <xdr:rowOff>31750</xdr:rowOff>
    </xdr:from>
    <xdr:to>
      <xdr:col>16</xdr:col>
      <xdr:colOff>21167</xdr:colOff>
      <xdr:row>326</xdr:row>
      <xdr:rowOff>95250</xdr:rowOff>
    </xdr:to>
    <xdr:cxnSp macro="">
      <xdr:nvCxnSpPr>
        <xdr:cNvPr id="360" name="Straight Arrow Connector 359">
          <a:extLst>
            <a:ext uri="{FF2B5EF4-FFF2-40B4-BE49-F238E27FC236}">
              <a16:creationId xmlns:a16="http://schemas.microsoft.com/office/drawing/2014/main" id="{00000000-0008-0000-1200-00006801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333</xdr:row>
      <xdr:rowOff>0</xdr:rowOff>
    </xdr:from>
    <xdr:to>
      <xdr:col>16</xdr:col>
      <xdr:colOff>0</xdr:colOff>
      <xdr:row>333</xdr:row>
      <xdr:rowOff>42334</xdr:rowOff>
    </xdr:to>
    <xdr:cxnSp macro="">
      <xdr:nvCxnSpPr>
        <xdr:cNvPr id="361" name="Straight Arrow Connector 360">
          <a:extLst>
            <a:ext uri="{FF2B5EF4-FFF2-40B4-BE49-F238E27FC236}">
              <a16:creationId xmlns:a16="http://schemas.microsoft.com/office/drawing/2014/main" id="{00000000-0008-0000-1200-00006901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333</xdr:row>
      <xdr:rowOff>21166</xdr:rowOff>
    </xdr:from>
    <xdr:to>
      <xdr:col>15</xdr:col>
      <xdr:colOff>560916</xdr:colOff>
      <xdr:row>336</xdr:row>
      <xdr:rowOff>84667</xdr:rowOff>
    </xdr:to>
    <xdr:cxnSp macro="">
      <xdr:nvCxnSpPr>
        <xdr:cNvPr id="362" name="Straight Arrow Connector 361">
          <a:extLst>
            <a:ext uri="{FF2B5EF4-FFF2-40B4-BE49-F238E27FC236}">
              <a16:creationId xmlns:a16="http://schemas.microsoft.com/office/drawing/2014/main" id="{00000000-0008-0000-1200-00006A01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333</xdr:row>
      <xdr:rowOff>52916</xdr:rowOff>
    </xdr:from>
    <xdr:to>
      <xdr:col>15</xdr:col>
      <xdr:colOff>592666</xdr:colOff>
      <xdr:row>339</xdr:row>
      <xdr:rowOff>63501</xdr:rowOff>
    </xdr:to>
    <xdr:cxnSp macro="">
      <xdr:nvCxnSpPr>
        <xdr:cNvPr id="363" name="Straight Arrow Connector 362">
          <a:extLst>
            <a:ext uri="{FF2B5EF4-FFF2-40B4-BE49-F238E27FC236}">
              <a16:creationId xmlns:a16="http://schemas.microsoft.com/office/drawing/2014/main" id="{00000000-0008-0000-1200-00006B01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330</xdr:row>
      <xdr:rowOff>52917</xdr:rowOff>
    </xdr:from>
    <xdr:to>
      <xdr:col>15</xdr:col>
      <xdr:colOff>603250</xdr:colOff>
      <xdr:row>332</xdr:row>
      <xdr:rowOff>148167</xdr:rowOff>
    </xdr:to>
    <xdr:cxnSp macro="">
      <xdr:nvCxnSpPr>
        <xdr:cNvPr id="364" name="Straight Arrow Connector 363">
          <a:extLst>
            <a:ext uri="{FF2B5EF4-FFF2-40B4-BE49-F238E27FC236}">
              <a16:creationId xmlns:a16="http://schemas.microsoft.com/office/drawing/2014/main" id="{00000000-0008-0000-1200-00006C01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374</xdr:row>
      <xdr:rowOff>95250</xdr:rowOff>
    </xdr:from>
    <xdr:to>
      <xdr:col>8</xdr:col>
      <xdr:colOff>21167</xdr:colOff>
      <xdr:row>406</xdr:row>
      <xdr:rowOff>148166</xdr:rowOff>
    </xdr:to>
    <xdr:cxnSp macro="">
      <xdr:nvCxnSpPr>
        <xdr:cNvPr id="365" name="Straight Arrow Connector 364">
          <a:extLst>
            <a:ext uri="{FF2B5EF4-FFF2-40B4-BE49-F238E27FC236}">
              <a16:creationId xmlns:a16="http://schemas.microsoft.com/office/drawing/2014/main" id="{00000000-0008-0000-1200-00006D01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345</xdr:row>
      <xdr:rowOff>137583</xdr:rowOff>
    </xdr:from>
    <xdr:to>
      <xdr:col>9</xdr:col>
      <xdr:colOff>603250</xdr:colOff>
      <xdr:row>351</xdr:row>
      <xdr:rowOff>21166</xdr:rowOff>
    </xdr:to>
    <xdr:cxnSp macro="">
      <xdr:nvCxnSpPr>
        <xdr:cNvPr id="366" name="Straight Arrow Connector 365">
          <a:extLst>
            <a:ext uri="{FF2B5EF4-FFF2-40B4-BE49-F238E27FC236}">
              <a16:creationId xmlns:a16="http://schemas.microsoft.com/office/drawing/2014/main" id="{00000000-0008-0000-1200-00006E01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354</xdr:row>
      <xdr:rowOff>0</xdr:rowOff>
    </xdr:from>
    <xdr:to>
      <xdr:col>9</xdr:col>
      <xdr:colOff>582083</xdr:colOff>
      <xdr:row>362</xdr:row>
      <xdr:rowOff>10583</xdr:rowOff>
    </xdr:to>
    <xdr:cxnSp macro="">
      <xdr:nvCxnSpPr>
        <xdr:cNvPr id="367" name="Straight Arrow Connector 366">
          <a:extLst>
            <a:ext uri="{FF2B5EF4-FFF2-40B4-BE49-F238E27FC236}">
              <a16:creationId xmlns:a16="http://schemas.microsoft.com/office/drawing/2014/main" id="{00000000-0008-0000-1200-00006F01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359</xdr:row>
      <xdr:rowOff>169333</xdr:rowOff>
    </xdr:from>
    <xdr:to>
      <xdr:col>11</xdr:col>
      <xdr:colOff>603250</xdr:colOff>
      <xdr:row>362</xdr:row>
      <xdr:rowOff>21167</xdr:rowOff>
    </xdr:to>
    <xdr:cxnSp macro="">
      <xdr:nvCxnSpPr>
        <xdr:cNvPr id="368" name="Straight Arrow Connector 367">
          <a:extLst>
            <a:ext uri="{FF2B5EF4-FFF2-40B4-BE49-F238E27FC236}">
              <a16:creationId xmlns:a16="http://schemas.microsoft.com/office/drawing/2014/main" id="{00000000-0008-0000-1200-00007001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365</xdr:row>
      <xdr:rowOff>42333</xdr:rowOff>
    </xdr:from>
    <xdr:to>
      <xdr:col>11</xdr:col>
      <xdr:colOff>603250</xdr:colOff>
      <xdr:row>377</xdr:row>
      <xdr:rowOff>10583</xdr:rowOff>
    </xdr:to>
    <xdr:cxnSp macro="">
      <xdr:nvCxnSpPr>
        <xdr:cNvPr id="369" name="Straight Arrow Connector 368">
          <a:extLst>
            <a:ext uri="{FF2B5EF4-FFF2-40B4-BE49-F238E27FC236}">
              <a16:creationId xmlns:a16="http://schemas.microsoft.com/office/drawing/2014/main" id="{00000000-0008-0000-1200-00007101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355</xdr:row>
      <xdr:rowOff>21167</xdr:rowOff>
    </xdr:from>
    <xdr:to>
      <xdr:col>13</xdr:col>
      <xdr:colOff>592667</xdr:colOff>
      <xdr:row>357</xdr:row>
      <xdr:rowOff>0</xdr:rowOff>
    </xdr:to>
    <xdr:cxnSp macro="">
      <xdr:nvCxnSpPr>
        <xdr:cNvPr id="370" name="Straight Arrow Connector 369">
          <a:extLst>
            <a:ext uri="{FF2B5EF4-FFF2-40B4-BE49-F238E27FC236}">
              <a16:creationId xmlns:a16="http://schemas.microsoft.com/office/drawing/2014/main" id="{00000000-0008-0000-1200-00007201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375</xdr:row>
      <xdr:rowOff>21167</xdr:rowOff>
    </xdr:from>
    <xdr:to>
      <xdr:col>13</xdr:col>
      <xdr:colOff>592667</xdr:colOff>
      <xdr:row>377</xdr:row>
      <xdr:rowOff>63500</xdr:rowOff>
    </xdr:to>
    <xdr:cxnSp macro="">
      <xdr:nvCxnSpPr>
        <xdr:cNvPr id="372" name="Straight Arrow Connector 371">
          <a:extLst>
            <a:ext uri="{FF2B5EF4-FFF2-40B4-BE49-F238E27FC236}">
              <a16:creationId xmlns:a16="http://schemas.microsoft.com/office/drawing/2014/main" id="{00000000-0008-0000-1200-00007401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380</xdr:row>
      <xdr:rowOff>0</xdr:rowOff>
    </xdr:from>
    <xdr:to>
      <xdr:col>14</xdr:col>
      <xdr:colOff>10584</xdr:colOff>
      <xdr:row>388</xdr:row>
      <xdr:rowOff>148167</xdr:rowOff>
    </xdr:to>
    <xdr:cxnSp macro="">
      <xdr:nvCxnSpPr>
        <xdr:cNvPr id="373" name="Straight Arrow Connector 372">
          <a:extLst>
            <a:ext uri="{FF2B5EF4-FFF2-40B4-BE49-F238E27FC236}">
              <a16:creationId xmlns:a16="http://schemas.microsoft.com/office/drawing/2014/main" id="{00000000-0008-0000-1200-00007501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347</xdr:row>
      <xdr:rowOff>0</xdr:rowOff>
    </xdr:from>
    <xdr:to>
      <xdr:col>15</xdr:col>
      <xdr:colOff>603250</xdr:colOff>
      <xdr:row>352</xdr:row>
      <xdr:rowOff>31750</xdr:rowOff>
    </xdr:to>
    <xdr:cxnSp macro="">
      <xdr:nvCxnSpPr>
        <xdr:cNvPr id="374" name="Straight Arrow Connector 373">
          <a:extLst>
            <a:ext uri="{FF2B5EF4-FFF2-40B4-BE49-F238E27FC236}">
              <a16:creationId xmlns:a16="http://schemas.microsoft.com/office/drawing/2014/main" id="{00000000-0008-0000-1200-00007601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350</xdr:row>
      <xdr:rowOff>52917</xdr:rowOff>
    </xdr:from>
    <xdr:to>
      <xdr:col>15</xdr:col>
      <xdr:colOff>603250</xdr:colOff>
      <xdr:row>352</xdr:row>
      <xdr:rowOff>95250</xdr:rowOff>
    </xdr:to>
    <xdr:cxnSp macro="">
      <xdr:nvCxnSpPr>
        <xdr:cNvPr id="375" name="Straight Arrow Connector 374">
          <a:extLst>
            <a:ext uri="{FF2B5EF4-FFF2-40B4-BE49-F238E27FC236}">
              <a16:creationId xmlns:a16="http://schemas.microsoft.com/office/drawing/2014/main" id="{00000000-0008-0000-1200-00007701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352</xdr:row>
      <xdr:rowOff>158750</xdr:rowOff>
    </xdr:from>
    <xdr:to>
      <xdr:col>15</xdr:col>
      <xdr:colOff>582083</xdr:colOff>
      <xdr:row>353</xdr:row>
      <xdr:rowOff>137583</xdr:rowOff>
    </xdr:to>
    <xdr:cxnSp macro="">
      <xdr:nvCxnSpPr>
        <xdr:cNvPr id="376" name="Straight Arrow Connector 375">
          <a:extLst>
            <a:ext uri="{FF2B5EF4-FFF2-40B4-BE49-F238E27FC236}">
              <a16:creationId xmlns:a16="http://schemas.microsoft.com/office/drawing/2014/main" id="{00000000-0008-0000-1200-00007801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352</xdr:row>
      <xdr:rowOff>105834</xdr:rowOff>
    </xdr:from>
    <xdr:to>
      <xdr:col>16</xdr:col>
      <xdr:colOff>0</xdr:colOff>
      <xdr:row>356</xdr:row>
      <xdr:rowOff>84667</xdr:rowOff>
    </xdr:to>
    <xdr:cxnSp macro="">
      <xdr:nvCxnSpPr>
        <xdr:cNvPr id="377" name="Straight Arrow Connector 376">
          <a:extLst>
            <a:ext uri="{FF2B5EF4-FFF2-40B4-BE49-F238E27FC236}">
              <a16:creationId xmlns:a16="http://schemas.microsoft.com/office/drawing/2014/main" id="{00000000-0008-0000-1200-00007901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360</xdr:row>
      <xdr:rowOff>52916</xdr:rowOff>
    </xdr:from>
    <xdr:to>
      <xdr:col>16</xdr:col>
      <xdr:colOff>0</xdr:colOff>
      <xdr:row>362</xdr:row>
      <xdr:rowOff>0</xdr:rowOff>
    </xdr:to>
    <xdr:cxnSp macro="">
      <xdr:nvCxnSpPr>
        <xdr:cNvPr id="378" name="Straight Arrow Connector 377">
          <a:extLst>
            <a:ext uri="{FF2B5EF4-FFF2-40B4-BE49-F238E27FC236}">
              <a16:creationId xmlns:a16="http://schemas.microsoft.com/office/drawing/2014/main" id="{00000000-0008-0000-1200-00007A01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362</xdr:row>
      <xdr:rowOff>21167</xdr:rowOff>
    </xdr:from>
    <xdr:to>
      <xdr:col>15</xdr:col>
      <xdr:colOff>582083</xdr:colOff>
      <xdr:row>363</xdr:row>
      <xdr:rowOff>42333</xdr:rowOff>
    </xdr:to>
    <xdr:cxnSp macro="">
      <xdr:nvCxnSpPr>
        <xdr:cNvPr id="379" name="Straight Arrow Connector 378">
          <a:extLst>
            <a:ext uri="{FF2B5EF4-FFF2-40B4-BE49-F238E27FC236}">
              <a16:creationId xmlns:a16="http://schemas.microsoft.com/office/drawing/2014/main" id="{00000000-0008-0000-1200-00007B01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362</xdr:row>
      <xdr:rowOff>21167</xdr:rowOff>
    </xdr:from>
    <xdr:to>
      <xdr:col>16</xdr:col>
      <xdr:colOff>42333</xdr:colOff>
      <xdr:row>367</xdr:row>
      <xdr:rowOff>21168</xdr:rowOff>
    </xdr:to>
    <xdr:cxnSp macro="">
      <xdr:nvCxnSpPr>
        <xdr:cNvPr id="380" name="Straight Arrow Connector 379">
          <a:extLst>
            <a:ext uri="{FF2B5EF4-FFF2-40B4-BE49-F238E27FC236}">
              <a16:creationId xmlns:a16="http://schemas.microsoft.com/office/drawing/2014/main" id="{00000000-0008-0000-1200-00007C01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362</xdr:row>
      <xdr:rowOff>31750</xdr:rowOff>
    </xdr:from>
    <xdr:to>
      <xdr:col>16</xdr:col>
      <xdr:colOff>42334</xdr:colOff>
      <xdr:row>369</xdr:row>
      <xdr:rowOff>63501</xdr:rowOff>
    </xdr:to>
    <xdr:cxnSp macro="">
      <xdr:nvCxnSpPr>
        <xdr:cNvPr id="381" name="Straight Arrow Connector 380">
          <a:extLst>
            <a:ext uri="{FF2B5EF4-FFF2-40B4-BE49-F238E27FC236}">
              <a16:creationId xmlns:a16="http://schemas.microsoft.com/office/drawing/2014/main" id="{00000000-0008-0000-1200-00007D01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399</xdr:row>
      <xdr:rowOff>42333</xdr:rowOff>
    </xdr:from>
    <xdr:to>
      <xdr:col>9</xdr:col>
      <xdr:colOff>592666</xdr:colOff>
      <xdr:row>407</xdr:row>
      <xdr:rowOff>42333</xdr:rowOff>
    </xdr:to>
    <xdr:cxnSp macro="">
      <xdr:nvCxnSpPr>
        <xdr:cNvPr id="382" name="Straight Arrow Connector 381">
          <a:extLst>
            <a:ext uri="{FF2B5EF4-FFF2-40B4-BE49-F238E27FC236}">
              <a16:creationId xmlns:a16="http://schemas.microsoft.com/office/drawing/2014/main" id="{00000000-0008-0000-1200-00007E01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409</xdr:row>
      <xdr:rowOff>169334</xdr:rowOff>
    </xdr:from>
    <xdr:to>
      <xdr:col>9</xdr:col>
      <xdr:colOff>603250</xdr:colOff>
      <xdr:row>418</xdr:row>
      <xdr:rowOff>31750</xdr:rowOff>
    </xdr:to>
    <xdr:cxnSp macro="">
      <xdr:nvCxnSpPr>
        <xdr:cNvPr id="383" name="Straight Arrow Connector 382">
          <a:extLst>
            <a:ext uri="{FF2B5EF4-FFF2-40B4-BE49-F238E27FC236}">
              <a16:creationId xmlns:a16="http://schemas.microsoft.com/office/drawing/2014/main" id="{00000000-0008-0000-1200-00007F01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415</xdr:row>
      <xdr:rowOff>158750</xdr:rowOff>
    </xdr:from>
    <xdr:to>
      <xdr:col>11</xdr:col>
      <xdr:colOff>571500</xdr:colOff>
      <xdr:row>418</xdr:row>
      <xdr:rowOff>0</xdr:rowOff>
    </xdr:to>
    <xdr:cxnSp macro="">
      <xdr:nvCxnSpPr>
        <xdr:cNvPr id="384" name="Straight Arrow Connector 383">
          <a:extLst>
            <a:ext uri="{FF2B5EF4-FFF2-40B4-BE49-F238E27FC236}">
              <a16:creationId xmlns:a16="http://schemas.microsoft.com/office/drawing/2014/main" id="{00000000-0008-0000-1200-00008001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375</xdr:row>
      <xdr:rowOff>10584</xdr:rowOff>
    </xdr:from>
    <xdr:to>
      <xdr:col>15</xdr:col>
      <xdr:colOff>592666</xdr:colOff>
      <xdr:row>376</xdr:row>
      <xdr:rowOff>95250</xdr:rowOff>
    </xdr:to>
    <xdr:cxnSp macro="">
      <xdr:nvCxnSpPr>
        <xdr:cNvPr id="386" name="Straight Arrow Connector 385">
          <a:extLst>
            <a:ext uri="{FF2B5EF4-FFF2-40B4-BE49-F238E27FC236}">
              <a16:creationId xmlns:a16="http://schemas.microsoft.com/office/drawing/2014/main" id="{00000000-0008-0000-1200-00008201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375</xdr:row>
      <xdr:rowOff>10584</xdr:rowOff>
    </xdr:from>
    <xdr:to>
      <xdr:col>15</xdr:col>
      <xdr:colOff>560916</xdr:colOff>
      <xdr:row>379</xdr:row>
      <xdr:rowOff>52917</xdr:rowOff>
    </xdr:to>
    <xdr:cxnSp macro="">
      <xdr:nvCxnSpPr>
        <xdr:cNvPr id="387" name="Straight Arrow Connector 386">
          <a:extLst>
            <a:ext uri="{FF2B5EF4-FFF2-40B4-BE49-F238E27FC236}">
              <a16:creationId xmlns:a16="http://schemas.microsoft.com/office/drawing/2014/main" id="{00000000-0008-0000-1200-00008301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375</xdr:row>
      <xdr:rowOff>31750</xdr:rowOff>
    </xdr:from>
    <xdr:to>
      <xdr:col>16</xdr:col>
      <xdr:colOff>21167</xdr:colOff>
      <xdr:row>382</xdr:row>
      <xdr:rowOff>95250</xdr:rowOff>
    </xdr:to>
    <xdr:cxnSp macro="">
      <xdr:nvCxnSpPr>
        <xdr:cNvPr id="388" name="Straight Arrow Connector 387">
          <a:extLst>
            <a:ext uri="{FF2B5EF4-FFF2-40B4-BE49-F238E27FC236}">
              <a16:creationId xmlns:a16="http://schemas.microsoft.com/office/drawing/2014/main" id="{00000000-0008-0000-1200-00008401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389</xdr:row>
      <xdr:rowOff>0</xdr:rowOff>
    </xdr:from>
    <xdr:to>
      <xdr:col>16</xdr:col>
      <xdr:colOff>0</xdr:colOff>
      <xdr:row>389</xdr:row>
      <xdr:rowOff>42334</xdr:rowOff>
    </xdr:to>
    <xdr:cxnSp macro="">
      <xdr:nvCxnSpPr>
        <xdr:cNvPr id="389" name="Straight Arrow Connector 388">
          <a:extLst>
            <a:ext uri="{FF2B5EF4-FFF2-40B4-BE49-F238E27FC236}">
              <a16:creationId xmlns:a16="http://schemas.microsoft.com/office/drawing/2014/main" id="{00000000-0008-0000-1200-00008501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389</xdr:row>
      <xdr:rowOff>21166</xdr:rowOff>
    </xdr:from>
    <xdr:to>
      <xdr:col>15</xdr:col>
      <xdr:colOff>560916</xdr:colOff>
      <xdr:row>392</xdr:row>
      <xdr:rowOff>84667</xdr:rowOff>
    </xdr:to>
    <xdr:cxnSp macro="">
      <xdr:nvCxnSpPr>
        <xdr:cNvPr id="390" name="Straight Arrow Connector 389">
          <a:extLst>
            <a:ext uri="{FF2B5EF4-FFF2-40B4-BE49-F238E27FC236}">
              <a16:creationId xmlns:a16="http://schemas.microsoft.com/office/drawing/2014/main" id="{00000000-0008-0000-1200-00008601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389</xdr:row>
      <xdr:rowOff>52916</xdr:rowOff>
    </xdr:from>
    <xdr:to>
      <xdr:col>15</xdr:col>
      <xdr:colOff>592666</xdr:colOff>
      <xdr:row>395</xdr:row>
      <xdr:rowOff>63501</xdr:rowOff>
    </xdr:to>
    <xdr:cxnSp macro="">
      <xdr:nvCxnSpPr>
        <xdr:cNvPr id="391" name="Straight Arrow Connector 390">
          <a:extLst>
            <a:ext uri="{FF2B5EF4-FFF2-40B4-BE49-F238E27FC236}">
              <a16:creationId xmlns:a16="http://schemas.microsoft.com/office/drawing/2014/main" id="{00000000-0008-0000-1200-00008701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403</xdr:row>
      <xdr:rowOff>116416</xdr:rowOff>
    </xdr:from>
    <xdr:to>
      <xdr:col>15</xdr:col>
      <xdr:colOff>592666</xdr:colOff>
      <xdr:row>406</xdr:row>
      <xdr:rowOff>158750</xdr:rowOff>
    </xdr:to>
    <xdr:cxnSp macro="">
      <xdr:nvCxnSpPr>
        <xdr:cNvPr id="392" name="Straight Arrow Connector 391">
          <a:extLst>
            <a:ext uri="{FF2B5EF4-FFF2-40B4-BE49-F238E27FC236}">
              <a16:creationId xmlns:a16="http://schemas.microsoft.com/office/drawing/2014/main" id="{00000000-0008-0000-1200-00008801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405</xdr:row>
      <xdr:rowOff>95250</xdr:rowOff>
    </xdr:from>
    <xdr:to>
      <xdr:col>15</xdr:col>
      <xdr:colOff>582083</xdr:colOff>
      <xdr:row>407</xdr:row>
      <xdr:rowOff>52917</xdr:rowOff>
    </xdr:to>
    <xdr:cxnSp macro="">
      <xdr:nvCxnSpPr>
        <xdr:cNvPr id="393" name="Straight Arrow Connector 392">
          <a:extLst>
            <a:ext uri="{FF2B5EF4-FFF2-40B4-BE49-F238E27FC236}">
              <a16:creationId xmlns:a16="http://schemas.microsoft.com/office/drawing/2014/main" id="{00000000-0008-0000-1200-00008901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407</xdr:row>
      <xdr:rowOff>116417</xdr:rowOff>
    </xdr:from>
    <xdr:to>
      <xdr:col>15</xdr:col>
      <xdr:colOff>592666</xdr:colOff>
      <xdr:row>411</xdr:row>
      <xdr:rowOff>95250</xdr:rowOff>
    </xdr:to>
    <xdr:cxnSp macro="">
      <xdr:nvCxnSpPr>
        <xdr:cNvPr id="394" name="Straight Arrow Connector 393">
          <a:extLst>
            <a:ext uri="{FF2B5EF4-FFF2-40B4-BE49-F238E27FC236}">
              <a16:creationId xmlns:a16="http://schemas.microsoft.com/office/drawing/2014/main" id="{00000000-0008-0000-1200-00008A01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418</xdr:row>
      <xdr:rowOff>116416</xdr:rowOff>
    </xdr:from>
    <xdr:to>
      <xdr:col>16</xdr:col>
      <xdr:colOff>0</xdr:colOff>
      <xdr:row>425</xdr:row>
      <xdr:rowOff>74084</xdr:rowOff>
    </xdr:to>
    <xdr:cxnSp macro="">
      <xdr:nvCxnSpPr>
        <xdr:cNvPr id="395" name="Straight Arrow Connector 394">
          <a:extLst>
            <a:ext uri="{FF2B5EF4-FFF2-40B4-BE49-F238E27FC236}">
              <a16:creationId xmlns:a16="http://schemas.microsoft.com/office/drawing/2014/main" id="{00000000-0008-0000-1200-00008B01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386</xdr:row>
      <xdr:rowOff>52917</xdr:rowOff>
    </xdr:from>
    <xdr:to>
      <xdr:col>15</xdr:col>
      <xdr:colOff>603250</xdr:colOff>
      <xdr:row>388</xdr:row>
      <xdr:rowOff>148167</xdr:rowOff>
    </xdr:to>
    <xdr:cxnSp macro="">
      <xdr:nvCxnSpPr>
        <xdr:cNvPr id="396" name="Straight Arrow Connector 395">
          <a:extLst>
            <a:ext uri="{FF2B5EF4-FFF2-40B4-BE49-F238E27FC236}">
              <a16:creationId xmlns:a16="http://schemas.microsoft.com/office/drawing/2014/main" id="{00000000-0008-0000-1200-00008C01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421</xdr:row>
      <xdr:rowOff>42333</xdr:rowOff>
    </xdr:from>
    <xdr:to>
      <xdr:col>11</xdr:col>
      <xdr:colOff>603250</xdr:colOff>
      <xdr:row>433</xdr:row>
      <xdr:rowOff>10583</xdr:rowOff>
    </xdr:to>
    <xdr:cxnSp macro="">
      <xdr:nvCxnSpPr>
        <xdr:cNvPr id="397" name="Straight Arrow Connector 396">
          <a:extLst>
            <a:ext uri="{FF2B5EF4-FFF2-40B4-BE49-F238E27FC236}">
              <a16:creationId xmlns:a16="http://schemas.microsoft.com/office/drawing/2014/main" id="{00000000-0008-0000-1200-00008D01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411</xdr:row>
      <xdr:rowOff>21167</xdr:rowOff>
    </xdr:from>
    <xdr:to>
      <xdr:col>13</xdr:col>
      <xdr:colOff>592667</xdr:colOff>
      <xdr:row>413</xdr:row>
      <xdr:rowOff>0</xdr:rowOff>
    </xdr:to>
    <xdr:cxnSp macro="">
      <xdr:nvCxnSpPr>
        <xdr:cNvPr id="398" name="Straight Arrow Connector 397">
          <a:extLst>
            <a:ext uri="{FF2B5EF4-FFF2-40B4-BE49-F238E27FC236}">
              <a16:creationId xmlns:a16="http://schemas.microsoft.com/office/drawing/2014/main" id="{00000000-0008-0000-1200-00008E01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416</xdr:row>
      <xdr:rowOff>21166</xdr:rowOff>
    </xdr:from>
    <xdr:to>
      <xdr:col>13</xdr:col>
      <xdr:colOff>592667</xdr:colOff>
      <xdr:row>417</xdr:row>
      <xdr:rowOff>169334</xdr:rowOff>
    </xdr:to>
    <xdr:cxnSp macro="">
      <xdr:nvCxnSpPr>
        <xdr:cNvPr id="399" name="Straight Arrow Connector 398">
          <a:extLst>
            <a:ext uri="{FF2B5EF4-FFF2-40B4-BE49-F238E27FC236}">
              <a16:creationId xmlns:a16="http://schemas.microsoft.com/office/drawing/2014/main" id="{00000000-0008-0000-1200-00008F01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431</xdr:row>
      <xdr:rowOff>21167</xdr:rowOff>
    </xdr:from>
    <xdr:to>
      <xdr:col>13</xdr:col>
      <xdr:colOff>592667</xdr:colOff>
      <xdr:row>433</xdr:row>
      <xdr:rowOff>63500</xdr:rowOff>
    </xdr:to>
    <xdr:cxnSp macro="">
      <xdr:nvCxnSpPr>
        <xdr:cNvPr id="400" name="Straight Arrow Connector 399">
          <a:extLst>
            <a:ext uri="{FF2B5EF4-FFF2-40B4-BE49-F238E27FC236}">
              <a16:creationId xmlns:a16="http://schemas.microsoft.com/office/drawing/2014/main" id="{00000000-0008-0000-1200-00009001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436</xdr:row>
      <xdr:rowOff>0</xdr:rowOff>
    </xdr:from>
    <xdr:to>
      <xdr:col>14</xdr:col>
      <xdr:colOff>10584</xdr:colOff>
      <xdr:row>444</xdr:row>
      <xdr:rowOff>148167</xdr:rowOff>
    </xdr:to>
    <xdr:cxnSp macro="">
      <xdr:nvCxnSpPr>
        <xdr:cNvPr id="401" name="Straight Arrow Connector 400">
          <a:extLst>
            <a:ext uri="{FF2B5EF4-FFF2-40B4-BE49-F238E27FC236}">
              <a16:creationId xmlns:a16="http://schemas.microsoft.com/office/drawing/2014/main" id="{00000000-0008-0000-1200-00009101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407</xdr:row>
      <xdr:rowOff>95250</xdr:rowOff>
    </xdr:from>
    <xdr:to>
      <xdr:col>15</xdr:col>
      <xdr:colOff>582083</xdr:colOff>
      <xdr:row>409</xdr:row>
      <xdr:rowOff>137583</xdr:rowOff>
    </xdr:to>
    <xdr:cxnSp macro="">
      <xdr:nvCxnSpPr>
        <xdr:cNvPr id="402" name="Straight Arrow Connector 401">
          <a:extLst>
            <a:ext uri="{FF2B5EF4-FFF2-40B4-BE49-F238E27FC236}">
              <a16:creationId xmlns:a16="http://schemas.microsoft.com/office/drawing/2014/main" id="{00000000-0008-0000-1200-00009201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416</xdr:row>
      <xdr:rowOff>52916</xdr:rowOff>
    </xdr:from>
    <xdr:to>
      <xdr:col>16</xdr:col>
      <xdr:colOff>0</xdr:colOff>
      <xdr:row>418</xdr:row>
      <xdr:rowOff>0</xdr:rowOff>
    </xdr:to>
    <xdr:cxnSp macro="">
      <xdr:nvCxnSpPr>
        <xdr:cNvPr id="403" name="Straight Arrow Connector 402">
          <a:extLst>
            <a:ext uri="{FF2B5EF4-FFF2-40B4-BE49-F238E27FC236}">
              <a16:creationId xmlns:a16="http://schemas.microsoft.com/office/drawing/2014/main" id="{00000000-0008-0000-1200-00009301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418</xdr:row>
      <xdr:rowOff>21167</xdr:rowOff>
    </xdr:from>
    <xdr:to>
      <xdr:col>15</xdr:col>
      <xdr:colOff>592666</xdr:colOff>
      <xdr:row>419</xdr:row>
      <xdr:rowOff>84667</xdr:rowOff>
    </xdr:to>
    <xdr:cxnSp macro="">
      <xdr:nvCxnSpPr>
        <xdr:cNvPr id="404" name="Straight Arrow Connector 403">
          <a:extLst>
            <a:ext uri="{FF2B5EF4-FFF2-40B4-BE49-F238E27FC236}">
              <a16:creationId xmlns:a16="http://schemas.microsoft.com/office/drawing/2014/main" id="{00000000-0008-0000-1200-00009401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418</xdr:row>
      <xdr:rowOff>0</xdr:rowOff>
    </xdr:from>
    <xdr:to>
      <xdr:col>16</xdr:col>
      <xdr:colOff>0</xdr:colOff>
      <xdr:row>422</xdr:row>
      <xdr:rowOff>42334</xdr:rowOff>
    </xdr:to>
    <xdr:cxnSp macro="">
      <xdr:nvCxnSpPr>
        <xdr:cNvPr id="405" name="Straight Arrow Connector 404">
          <a:extLst>
            <a:ext uri="{FF2B5EF4-FFF2-40B4-BE49-F238E27FC236}">
              <a16:creationId xmlns:a16="http://schemas.microsoft.com/office/drawing/2014/main" id="{00000000-0008-0000-1200-00009501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431</xdr:row>
      <xdr:rowOff>10584</xdr:rowOff>
    </xdr:from>
    <xdr:to>
      <xdr:col>15</xdr:col>
      <xdr:colOff>592666</xdr:colOff>
      <xdr:row>432</xdr:row>
      <xdr:rowOff>95250</xdr:rowOff>
    </xdr:to>
    <xdr:cxnSp macro="">
      <xdr:nvCxnSpPr>
        <xdr:cNvPr id="407" name="Straight Arrow Connector 406">
          <a:extLst>
            <a:ext uri="{FF2B5EF4-FFF2-40B4-BE49-F238E27FC236}">
              <a16:creationId xmlns:a16="http://schemas.microsoft.com/office/drawing/2014/main" id="{00000000-0008-0000-1200-00009701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431</xdr:row>
      <xdr:rowOff>10584</xdr:rowOff>
    </xdr:from>
    <xdr:to>
      <xdr:col>15</xdr:col>
      <xdr:colOff>560916</xdr:colOff>
      <xdr:row>435</xdr:row>
      <xdr:rowOff>52917</xdr:rowOff>
    </xdr:to>
    <xdr:cxnSp macro="">
      <xdr:nvCxnSpPr>
        <xdr:cNvPr id="408" name="Straight Arrow Connector 407">
          <a:extLst>
            <a:ext uri="{FF2B5EF4-FFF2-40B4-BE49-F238E27FC236}">
              <a16:creationId xmlns:a16="http://schemas.microsoft.com/office/drawing/2014/main" id="{00000000-0008-0000-1200-00009801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431</xdr:row>
      <xdr:rowOff>31750</xdr:rowOff>
    </xdr:from>
    <xdr:to>
      <xdr:col>16</xdr:col>
      <xdr:colOff>21167</xdr:colOff>
      <xdr:row>438</xdr:row>
      <xdr:rowOff>95250</xdr:rowOff>
    </xdr:to>
    <xdr:cxnSp macro="">
      <xdr:nvCxnSpPr>
        <xdr:cNvPr id="409" name="Straight Arrow Connector 408">
          <a:extLst>
            <a:ext uri="{FF2B5EF4-FFF2-40B4-BE49-F238E27FC236}">
              <a16:creationId xmlns:a16="http://schemas.microsoft.com/office/drawing/2014/main" id="{00000000-0008-0000-1200-00009901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445</xdr:row>
      <xdr:rowOff>0</xdr:rowOff>
    </xdr:from>
    <xdr:to>
      <xdr:col>16</xdr:col>
      <xdr:colOff>0</xdr:colOff>
      <xdr:row>445</xdr:row>
      <xdr:rowOff>42334</xdr:rowOff>
    </xdr:to>
    <xdr:cxnSp macro="">
      <xdr:nvCxnSpPr>
        <xdr:cNvPr id="410" name="Straight Arrow Connector 409">
          <a:extLst>
            <a:ext uri="{FF2B5EF4-FFF2-40B4-BE49-F238E27FC236}">
              <a16:creationId xmlns:a16="http://schemas.microsoft.com/office/drawing/2014/main" id="{00000000-0008-0000-1200-00009A01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445</xdr:row>
      <xdr:rowOff>21166</xdr:rowOff>
    </xdr:from>
    <xdr:to>
      <xdr:col>15</xdr:col>
      <xdr:colOff>560916</xdr:colOff>
      <xdr:row>448</xdr:row>
      <xdr:rowOff>84667</xdr:rowOff>
    </xdr:to>
    <xdr:cxnSp macro="">
      <xdr:nvCxnSpPr>
        <xdr:cNvPr id="411" name="Straight Arrow Connector 410">
          <a:extLst>
            <a:ext uri="{FF2B5EF4-FFF2-40B4-BE49-F238E27FC236}">
              <a16:creationId xmlns:a16="http://schemas.microsoft.com/office/drawing/2014/main" id="{00000000-0008-0000-1200-00009B01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445</xdr:row>
      <xdr:rowOff>52916</xdr:rowOff>
    </xdr:from>
    <xdr:to>
      <xdr:col>15</xdr:col>
      <xdr:colOff>592666</xdr:colOff>
      <xdr:row>451</xdr:row>
      <xdr:rowOff>63501</xdr:rowOff>
    </xdr:to>
    <xdr:cxnSp macro="">
      <xdr:nvCxnSpPr>
        <xdr:cNvPr id="412" name="Straight Arrow Connector 411">
          <a:extLst>
            <a:ext uri="{FF2B5EF4-FFF2-40B4-BE49-F238E27FC236}">
              <a16:creationId xmlns:a16="http://schemas.microsoft.com/office/drawing/2014/main" id="{00000000-0008-0000-1200-00009C01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442</xdr:row>
      <xdr:rowOff>52917</xdr:rowOff>
    </xdr:from>
    <xdr:to>
      <xdr:col>15</xdr:col>
      <xdr:colOff>603250</xdr:colOff>
      <xdr:row>444</xdr:row>
      <xdr:rowOff>148167</xdr:rowOff>
    </xdr:to>
    <xdr:cxnSp macro="">
      <xdr:nvCxnSpPr>
        <xdr:cNvPr id="413" name="Straight Arrow Connector 412">
          <a:extLst>
            <a:ext uri="{FF2B5EF4-FFF2-40B4-BE49-F238E27FC236}">
              <a16:creationId xmlns:a16="http://schemas.microsoft.com/office/drawing/2014/main" id="{00000000-0008-0000-1200-00009D01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353</xdr:row>
      <xdr:rowOff>127000</xdr:rowOff>
    </xdr:from>
    <xdr:to>
      <xdr:col>8</xdr:col>
      <xdr:colOff>63500</xdr:colOff>
      <xdr:row>372</xdr:row>
      <xdr:rowOff>0</xdr:rowOff>
    </xdr:to>
    <xdr:cxnSp macro="">
      <xdr:nvCxnSpPr>
        <xdr:cNvPr id="414" name="Straight Arrow Connector 413">
          <a:extLst>
            <a:ext uri="{FF2B5EF4-FFF2-40B4-BE49-F238E27FC236}">
              <a16:creationId xmlns:a16="http://schemas.microsoft.com/office/drawing/2014/main" id="{00000000-0008-0000-1200-00009E01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459</xdr:row>
      <xdr:rowOff>10584</xdr:rowOff>
    </xdr:from>
    <xdr:to>
      <xdr:col>1</xdr:col>
      <xdr:colOff>603250</xdr:colOff>
      <xdr:row>552</xdr:row>
      <xdr:rowOff>158750</xdr:rowOff>
    </xdr:to>
    <xdr:cxnSp macro="">
      <xdr:nvCxnSpPr>
        <xdr:cNvPr id="416" name="Straight Arrow Connector 415">
          <a:extLst>
            <a:ext uri="{FF2B5EF4-FFF2-40B4-BE49-F238E27FC236}">
              <a16:creationId xmlns:a16="http://schemas.microsoft.com/office/drawing/2014/main" id="{00000000-0008-0000-1200-0000A0010000}"/>
            </a:ext>
          </a:extLst>
        </xdr:cNvPr>
        <xdr:cNvCxnSpPr/>
      </xdr:nvCxnSpPr>
      <xdr:spPr>
        <a:xfrm flipV="1">
          <a:off x="603250" y="963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555</xdr:row>
      <xdr:rowOff>169333</xdr:rowOff>
    </xdr:from>
    <xdr:to>
      <xdr:col>1</xdr:col>
      <xdr:colOff>603250</xdr:colOff>
      <xdr:row>597</xdr:row>
      <xdr:rowOff>148167</xdr:rowOff>
    </xdr:to>
    <xdr:cxnSp macro="">
      <xdr:nvCxnSpPr>
        <xdr:cNvPr id="417" name="Straight Arrow Connector 416">
          <a:extLst>
            <a:ext uri="{FF2B5EF4-FFF2-40B4-BE49-F238E27FC236}">
              <a16:creationId xmlns:a16="http://schemas.microsoft.com/office/drawing/2014/main" id="{00000000-0008-0000-1200-0000A1010000}"/>
            </a:ext>
          </a:extLst>
        </xdr:cNvPr>
        <xdr:cNvCxnSpPr/>
      </xdr:nvCxnSpPr>
      <xdr:spPr>
        <a:xfrm>
          <a:off x="603250" y="19790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531</xdr:row>
      <xdr:rowOff>158750</xdr:rowOff>
    </xdr:from>
    <xdr:to>
      <xdr:col>3</xdr:col>
      <xdr:colOff>603250</xdr:colOff>
      <xdr:row>598</xdr:row>
      <xdr:rowOff>10583</xdr:rowOff>
    </xdr:to>
    <xdr:cxnSp macro="">
      <xdr:nvCxnSpPr>
        <xdr:cNvPr id="418" name="Straight Arrow Connector 417">
          <a:extLst>
            <a:ext uri="{FF2B5EF4-FFF2-40B4-BE49-F238E27FC236}">
              <a16:creationId xmlns:a16="http://schemas.microsoft.com/office/drawing/2014/main" id="{00000000-0008-0000-1200-0000A2010000}"/>
            </a:ext>
          </a:extLst>
        </xdr:cNvPr>
        <xdr:cNvCxnSpPr/>
      </xdr:nvCxnSpPr>
      <xdr:spPr>
        <a:xfrm flipV="1">
          <a:off x="2296584"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600</xdr:row>
      <xdr:rowOff>10583</xdr:rowOff>
    </xdr:from>
    <xdr:to>
      <xdr:col>4</xdr:col>
      <xdr:colOff>63500</xdr:colOff>
      <xdr:row>751</xdr:row>
      <xdr:rowOff>158750</xdr:rowOff>
    </xdr:to>
    <xdr:cxnSp macro="">
      <xdr:nvCxnSpPr>
        <xdr:cNvPr id="419" name="Straight Arrow Connector 418">
          <a:extLst>
            <a:ext uri="{FF2B5EF4-FFF2-40B4-BE49-F238E27FC236}">
              <a16:creationId xmlns:a16="http://schemas.microsoft.com/office/drawing/2014/main" id="{00000000-0008-0000-1200-0000A301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494</xdr:row>
      <xdr:rowOff>1</xdr:rowOff>
    </xdr:from>
    <xdr:to>
      <xdr:col>6</xdr:col>
      <xdr:colOff>0</xdr:colOff>
      <xdr:row>528</xdr:row>
      <xdr:rowOff>116417</xdr:rowOff>
    </xdr:to>
    <xdr:cxnSp macro="">
      <xdr:nvCxnSpPr>
        <xdr:cNvPr id="420" name="Straight Arrow Connector 419">
          <a:extLst>
            <a:ext uri="{FF2B5EF4-FFF2-40B4-BE49-F238E27FC236}">
              <a16:creationId xmlns:a16="http://schemas.microsoft.com/office/drawing/2014/main" id="{00000000-0008-0000-1200-0000A401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531</xdr:row>
      <xdr:rowOff>169334</xdr:rowOff>
    </xdr:from>
    <xdr:to>
      <xdr:col>5</xdr:col>
      <xdr:colOff>571500</xdr:colOff>
      <xdr:row>600</xdr:row>
      <xdr:rowOff>0</xdr:rowOff>
    </xdr:to>
    <xdr:cxnSp macro="">
      <xdr:nvCxnSpPr>
        <xdr:cNvPr id="421" name="Straight Arrow Connector 420">
          <a:extLst>
            <a:ext uri="{FF2B5EF4-FFF2-40B4-BE49-F238E27FC236}">
              <a16:creationId xmlns:a16="http://schemas.microsoft.com/office/drawing/2014/main" id="{00000000-0008-0000-1200-0000A501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469</xdr:row>
      <xdr:rowOff>148167</xdr:rowOff>
    </xdr:from>
    <xdr:to>
      <xdr:col>7</xdr:col>
      <xdr:colOff>603250</xdr:colOff>
      <xdr:row>491</xdr:row>
      <xdr:rowOff>31750</xdr:rowOff>
    </xdr:to>
    <xdr:cxnSp macro="">
      <xdr:nvCxnSpPr>
        <xdr:cNvPr id="422" name="Straight Arrow Connector 421">
          <a:extLst>
            <a:ext uri="{FF2B5EF4-FFF2-40B4-BE49-F238E27FC236}">
              <a16:creationId xmlns:a16="http://schemas.microsoft.com/office/drawing/2014/main" id="{00000000-0008-0000-1200-0000A601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494</xdr:row>
      <xdr:rowOff>10584</xdr:rowOff>
    </xdr:from>
    <xdr:to>
      <xdr:col>8</xdr:col>
      <xdr:colOff>21167</xdr:colOff>
      <xdr:row>522</xdr:row>
      <xdr:rowOff>148166</xdr:rowOff>
    </xdr:to>
    <xdr:cxnSp macro="">
      <xdr:nvCxnSpPr>
        <xdr:cNvPr id="423" name="Straight Arrow Connector 422">
          <a:extLst>
            <a:ext uri="{FF2B5EF4-FFF2-40B4-BE49-F238E27FC236}">
              <a16:creationId xmlns:a16="http://schemas.microsoft.com/office/drawing/2014/main" id="{00000000-0008-0000-1200-0000A701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461</xdr:row>
      <xdr:rowOff>137583</xdr:rowOff>
    </xdr:from>
    <xdr:to>
      <xdr:col>9</xdr:col>
      <xdr:colOff>603250</xdr:colOff>
      <xdr:row>467</xdr:row>
      <xdr:rowOff>21166</xdr:rowOff>
    </xdr:to>
    <xdr:cxnSp macro="">
      <xdr:nvCxnSpPr>
        <xdr:cNvPr id="424" name="Straight Arrow Connector 423">
          <a:extLst>
            <a:ext uri="{FF2B5EF4-FFF2-40B4-BE49-F238E27FC236}">
              <a16:creationId xmlns:a16="http://schemas.microsoft.com/office/drawing/2014/main" id="{00000000-0008-0000-1200-0000A801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470</xdr:row>
      <xdr:rowOff>0</xdr:rowOff>
    </xdr:from>
    <xdr:to>
      <xdr:col>9</xdr:col>
      <xdr:colOff>582083</xdr:colOff>
      <xdr:row>478</xdr:row>
      <xdr:rowOff>10583</xdr:rowOff>
    </xdr:to>
    <xdr:cxnSp macro="">
      <xdr:nvCxnSpPr>
        <xdr:cNvPr id="425" name="Straight Arrow Connector 424">
          <a:extLst>
            <a:ext uri="{FF2B5EF4-FFF2-40B4-BE49-F238E27FC236}">
              <a16:creationId xmlns:a16="http://schemas.microsoft.com/office/drawing/2014/main" id="{00000000-0008-0000-1200-0000A901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475</xdr:row>
      <xdr:rowOff>169333</xdr:rowOff>
    </xdr:from>
    <xdr:to>
      <xdr:col>11</xdr:col>
      <xdr:colOff>603250</xdr:colOff>
      <xdr:row>478</xdr:row>
      <xdr:rowOff>21167</xdr:rowOff>
    </xdr:to>
    <xdr:cxnSp macro="">
      <xdr:nvCxnSpPr>
        <xdr:cNvPr id="426" name="Straight Arrow Connector 425">
          <a:extLst>
            <a:ext uri="{FF2B5EF4-FFF2-40B4-BE49-F238E27FC236}">
              <a16:creationId xmlns:a16="http://schemas.microsoft.com/office/drawing/2014/main" id="{00000000-0008-0000-1200-0000AA01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481</xdr:row>
      <xdr:rowOff>42333</xdr:rowOff>
    </xdr:from>
    <xdr:to>
      <xdr:col>11</xdr:col>
      <xdr:colOff>603250</xdr:colOff>
      <xdr:row>493</xdr:row>
      <xdr:rowOff>10583</xdr:rowOff>
    </xdr:to>
    <xdr:cxnSp macro="">
      <xdr:nvCxnSpPr>
        <xdr:cNvPr id="427" name="Straight Arrow Connector 426">
          <a:extLst>
            <a:ext uri="{FF2B5EF4-FFF2-40B4-BE49-F238E27FC236}">
              <a16:creationId xmlns:a16="http://schemas.microsoft.com/office/drawing/2014/main" id="{00000000-0008-0000-1200-0000AB01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471</xdr:row>
      <xdr:rowOff>21167</xdr:rowOff>
    </xdr:from>
    <xdr:to>
      <xdr:col>13</xdr:col>
      <xdr:colOff>592667</xdr:colOff>
      <xdr:row>473</xdr:row>
      <xdr:rowOff>0</xdr:rowOff>
    </xdr:to>
    <xdr:cxnSp macro="">
      <xdr:nvCxnSpPr>
        <xdr:cNvPr id="428" name="Straight Arrow Connector 427">
          <a:extLst>
            <a:ext uri="{FF2B5EF4-FFF2-40B4-BE49-F238E27FC236}">
              <a16:creationId xmlns:a16="http://schemas.microsoft.com/office/drawing/2014/main" id="{00000000-0008-0000-1200-0000AC01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476</xdr:row>
      <xdr:rowOff>21166</xdr:rowOff>
    </xdr:from>
    <xdr:to>
      <xdr:col>13</xdr:col>
      <xdr:colOff>592667</xdr:colOff>
      <xdr:row>477</xdr:row>
      <xdr:rowOff>169334</xdr:rowOff>
    </xdr:to>
    <xdr:cxnSp macro="">
      <xdr:nvCxnSpPr>
        <xdr:cNvPr id="429" name="Straight Arrow Connector 428">
          <a:extLst>
            <a:ext uri="{FF2B5EF4-FFF2-40B4-BE49-F238E27FC236}">
              <a16:creationId xmlns:a16="http://schemas.microsoft.com/office/drawing/2014/main" id="{00000000-0008-0000-1200-0000AD01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491</xdr:row>
      <xdr:rowOff>21167</xdr:rowOff>
    </xdr:from>
    <xdr:to>
      <xdr:col>13</xdr:col>
      <xdr:colOff>592667</xdr:colOff>
      <xdr:row>493</xdr:row>
      <xdr:rowOff>63500</xdr:rowOff>
    </xdr:to>
    <xdr:cxnSp macro="">
      <xdr:nvCxnSpPr>
        <xdr:cNvPr id="430" name="Straight Arrow Connector 429">
          <a:extLst>
            <a:ext uri="{FF2B5EF4-FFF2-40B4-BE49-F238E27FC236}">
              <a16:creationId xmlns:a16="http://schemas.microsoft.com/office/drawing/2014/main" id="{00000000-0008-0000-1200-0000AE01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496</xdr:row>
      <xdr:rowOff>0</xdr:rowOff>
    </xdr:from>
    <xdr:to>
      <xdr:col>14</xdr:col>
      <xdr:colOff>10584</xdr:colOff>
      <xdr:row>504</xdr:row>
      <xdr:rowOff>148167</xdr:rowOff>
    </xdr:to>
    <xdr:cxnSp macro="">
      <xdr:nvCxnSpPr>
        <xdr:cNvPr id="431" name="Straight Arrow Connector 430">
          <a:extLst>
            <a:ext uri="{FF2B5EF4-FFF2-40B4-BE49-F238E27FC236}">
              <a16:creationId xmlns:a16="http://schemas.microsoft.com/office/drawing/2014/main" id="{00000000-0008-0000-1200-0000AF01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463</xdr:row>
      <xdr:rowOff>0</xdr:rowOff>
    </xdr:from>
    <xdr:to>
      <xdr:col>15</xdr:col>
      <xdr:colOff>603250</xdr:colOff>
      <xdr:row>468</xdr:row>
      <xdr:rowOff>31750</xdr:rowOff>
    </xdr:to>
    <xdr:cxnSp macro="">
      <xdr:nvCxnSpPr>
        <xdr:cNvPr id="432" name="Straight Arrow Connector 431">
          <a:extLst>
            <a:ext uri="{FF2B5EF4-FFF2-40B4-BE49-F238E27FC236}">
              <a16:creationId xmlns:a16="http://schemas.microsoft.com/office/drawing/2014/main" id="{00000000-0008-0000-1200-0000B001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466</xdr:row>
      <xdr:rowOff>52917</xdr:rowOff>
    </xdr:from>
    <xdr:to>
      <xdr:col>15</xdr:col>
      <xdr:colOff>603250</xdr:colOff>
      <xdr:row>468</xdr:row>
      <xdr:rowOff>95250</xdr:rowOff>
    </xdr:to>
    <xdr:cxnSp macro="">
      <xdr:nvCxnSpPr>
        <xdr:cNvPr id="433" name="Straight Arrow Connector 432">
          <a:extLst>
            <a:ext uri="{FF2B5EF4-FFF2-40B4-BE49-F238E27FC236}">
              <a16:creationId xmlns:a16="http://schemas.microsoft.com/office/drawing/2014/main" id="{00000000-0008-0000-1200-0000B101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468</xdr:row>
      <xdr:rowOff>158750</xdr:rowOff>
    </xdr:from>
    <xdr:to>
      <xdr:col>15</xdr:col>
      <xdr:colOff>582083</xdr:colOff>
      <xdr:row>469</xdr:row>
      <xdr:rowOff>137583</xdr:rowOff>
    </xdr:to>
    <xdr:cxnSp macro="">
      <xdr:nvCxnSpPr>
        <xdr:cNvPr id="434" name="Straight Arrow Connector 433">
          <a:extLst>
            <a:ext uri="{FF2B5EF4-FFF2-40B4-BE49-F238E27FC236}">
              <a16:creationId xmlns:a16="http://schemas.microsoft.com/office/drawing/2014/main" id="{00000000-0008-0000-1200-0000B201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468</xdr:row>
      <xdr:rowOff>105834</xdr:rowOff>
    </xdr:from>
    <xdr:to>
      <xdr:col>16</xdr:col>
      <xdr:colOff>0</xdr:colOff>
      <xdr:row>472</xdr:row>
      <xdr:rowOff>84667</xdr:rowOff>
    </xdr:to>
    <xdr:cxnSp macro="">
      <xdr:nvCxnSpPr>
        <xdr:cNvPr id="435" name="Straight Arrow Connector 434">
          <a:extLst>
            <a:ext uri="{FF2B5EF4-FFF2-40B4-BE49-F238E27FC236}">
              <a16:creationId xmlns:a16="http://schemas.microsoft.com/office/drawing/2014/main" id="{00000000-0008-0000-1200-0000B301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476</xdr:row>
      <xdr:rowOff>52916</xdr:rowOff>
    </xdr:from>
    <xdr:to>
      <xdr:col>16</xdr:col>
      <xdr:colOff>0</xdr:colOff>
      <xdr:row>478</xdr:row>
      <xdr:rowOff>0</xdr:rowOff>
    </xdr:to>
    <xdr:cxnSp macro="">
      <xdr:nvCxnSpPr>
        <xdr:cNvPr id="436" name="Straight Arrow Connector 435">
          <a:extLst>
            <a:ext uri="{FF2B5EF4-FFF2-40B4-BE49-F238E27FC236}">
              <a16:creationId xmlns:a16="http://schemas.microsoft.com/office/drawing/2014/main" id="{00000000-0008-0000-1200-0000B401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478</xdr:row>
      <xdr:rowOff>21167</xdr:rowOff>
    </xdr:from>
    <xdr:to>
      <xdr:col>15</xdr:col>
      <xdr:colOff>582083</xdr:colOff>
      <xdr:row>479</xdr:row>
      <xdr:rowOff>42333</xdr:rowOff>
    </xdr:to>
    <xdr:cxnSp macro="">
      <xdr:nvCxnSpPr>
        <xdr:cNvPr id="437" name="Straight Arrow Connector 436">
          <a:extLst>
            <a:ext uri="{FF2B5EF4-FFF2-40B4-BE49-F238E27FC236}">
              <a16:creationId xmlns:a16="http://schemas.microsoft.com/office/drawing/2014/main" id="{00000000-0008-0000-1200-0000B501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478</xdr:row>
      <xdr:rowOff>21167</xdr:rowOff>
    </xdr:from>
    <xdr:to>
      <xdr:col>16</xdr:col>
      <xdr:colOff>42333</xdr:colOff>
      <xdr:row>483</xdr:row>
      <xdr:rowOff>21168</xdr:rowOff>
    </xdr:to>
    <xdr:cxnSp macro="">
      <xdr:nvCxnSpPr>
        <xdr:cNvPr id="438" name="Straight Arrow Connector 437">
          <a:extLst>
            <a:ext uri="{FF2B5EF4-FFF2-40B4-BE49-F238E27FC236}">
              <a16:creationId xmlns:a16="http://schemas.microsoft.com/office/drawing/2014/main" id="{00000000-0008-0000-1200-0000B601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478</xdr:row>
      <xdr:rowOff>31750</xdr:rowOff>
    </xdr:from>
    <xdr:to>
      <xdr:col>16</xdr:col>
      <xdr:colOff>42334</xdr:colOff>
      <xdr:row>485</xdr:row>
      <xdr:rowOff>63501</xdr:rowOff>
    </xdr:to>
    <xdr:cxnSp macro="">
      <xdr:nvCxnSpPr>
        <xdr:cNvPr id="439" name="Straight Arrow Connector 438">
          <a:extLst>
            <a:ext uri="{FF2B5EF4-FFF2-40B4-BE49-F238E27FC236}">
              <a16:creationId xmlns:a16="http://schemas.microsoft.com/office/drawing/2014/main" id="{00000000-0008-0000-1200-0000B701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515</xdr:row>
      <xdr:rowOff>42333</xdr:rowOff>
    </xdr:from>
    <xdr:to>
      <xdr:col>9</xdr:col>
      <xdr:colOff>592666</xdr:colOff>
      <xdr:row>523</xdr:row>
      <xdr:rowOff>42333</xdr:rowOff>
    </xdr:to>
    <xdr:cxnSp macro="">
      <xdr:nvCxnSpPr>
        <xdr:cNvPr id="440" name="Straight Arrow Connector 439">
          <a:extLst>
            <a:ext uri="{FF2B5EF4-FFF2-40B4-BE49-F238E27FC236}">
              <a16:creationId xmlns:a16="http://schemas.microsoft.com/office/drawing/2014/main" id="{00000000-0008-0000-1200-0000B801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525</xdr:row>
      <xdr:rowOff>169334</xdr:rowOff>
    </xdr:from>
    <xdr:to>
      <xdr:col>9</xdr:col>
      <xdr:colOff>603250</xdr:colOff>
      <xdr:row>534</xdr:row>
      <xdr:rowOff>31750</xdr:rowOff>
    </xdr:to>
    <xdr:cxnSp macro="">
      <xdr:nvCxnSpPr>
        <xdr:cNvPr id="441" name="Straight Arrow Connector 440">
          <a:extLst>
            <a:ext uri="{FF2B5EF4-FFF2-40B4-BE49-F238E27FC236}">
              <a16:creationId xmlns:a16="http://schemas.microsoft.com/office/drawing/2014/main" id="{00000000-0008-0000-1200-0000B901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531</xdr:row>
      <xdr:rowOff>158750</xdr:rowOff>
    </xdr:from>
    <xdr:to>
      <xdr:col>11</xdr:col>
      <xdr:colOff>571500</xdr:colOff>
      <xdr:row>534</xdr:row>
      <xdr:rowOff>0</xdr:rowOff>
    </xdr:to>
    <xdr:cxnSp macro="">
      <xdr:nvCxnSpPr>
        <xdr:cNvPr id="442" name="Straight Arrow Connector 441">
          <a:extLst>
            <a:ext uri="{FF2B5EF4-FFF2-40B4-BE49-F238E27FC236}">
              <a16:creationId xmlns:a16="http://schemas.microsoft.com/office/drawing/2014/main" id="{00000000-0008-0000-1200-0000BA01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489</xdr:row>
      <xdr:rowOff>0</xdr:rowOff>
    </xdr:from>
    <xdr:to>
      <xdr:col>15</xdr:col>
      <xdr:colOff>603250</xdr:colOff>
      <xdr:row>491</xdr:row>
      <xdr:rowOff>1</xdr:rowOff>
    </xdr:to>
    <xdr:cxnSp macro="">
      <xdr:nvCxnSpPr>
        <xdr:cNvPr id="443" name="Straight Arrow Connector 442">
          <a:extLst>
            <a:ext uri="{FF2B5EF4-FFF2-40B4-BE49-F238E27FC236}">
              <a16:creationId xmlns:a16="http://schemas.microsoft.com/office/drawing/2014/main" id="{00000000-0008-0000-1200-0000BB01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491</xdr:row>
      <xdr:rowOff>10584</xdr:rowOff>
    </xdr:from>
    <xdr:to>
      <xdr:col>15</xdr:col>
      <xdr:colOff>592666</xdr:colOff>
      <xdr:row>492</xdr:row>
      <xdr:rowOff>95250</xdr:rowOff>
    </xdr:to>
    <xdr:cxnSp macro="">
      <xdr:nvCxnSpPr>
        <xdr:cNvPr id="444" name="Straight Arrow Connector 443">
          <a:extLst>
            <a:ext uri="{FF2B5EF4-FFF2-40B4-BE49-F238E27FC236}">
              <a16:creationId xmlns:a16="http://schemas.microsoft.com/office/drawing/2014/main" id="{00000000-0008-0000-1200-0000BC01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491</xdr:row>
      <xdr:rowOff>10584</xdr:rowOff>
    </xdr:from>
    <xdr:to>
      <xdr:col>15</xdr:col>
      <xdr:colOff>560916</xdr:colOff>
      <xdr:row>495</xdr:row>
      <xdr:rowOff>52917</xdr:rowOff>
    </xdr:to>
    <xdr:cxnSp macro="">
      <xdr:nvCxnSpPr>
        <xdr:cNvPr id="445" name="Straight Arrow Connector 444">
          <a:extLst>
            <a:ext uri="{FF2B5EF4-FFF2-40B4-BE49-F238E27FC236}">
              <a16:creationId xmlns:a16="http://schemas.microsoft.com/office/drawing/2014/main" id="{00000000-0008-0000-1200-0000BD01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491</xdr:row>
      <xdr:rowOff>31750</xdr:rowOff>
    </xdr:from>
    <xdr:to>
      <xdr:col>16</xdr:col>
      <xdr:colOff>21167</xdr:colOff>
      <xdr:row>498</xdr:row>
      <xdr:rowOff>95250</xdr:rowOff>
    </xdr:to>
    <xdr:cxnSp macro="">
      <xdr:nvCxnSpPr>
        <xdr:cNvPr id="446" name="Straight Arrow Connector 445">
          <a:extLst>
            <a:ext uri="{FF2B5EF4-FFF2-40B4-BE49-F238E27FC236}">
              <a16:creationId xmlns:a16="http://schemas.microsoft.com/office/drawing/2014/main" id="{00000000-0008-0000-1200-0000BE01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505</xdr:row>
      <xdr:rowOff>0</xdr:rowOff>
    </xdr:from>
    <xdr:to>
      <xdr:col>16</xdr:col>
      <xdr:colOff>0</xdr:colOff>
      <xdr:row>505</xdr:row>
      <xdr:rowOff>42334</xdr:rowOff>
    </xdr:to>
    <xdr:cxnSp macro="">
      <xdr:nvCxnSpPr>
        <xdr:cNvPr id="447" name="Straight Arrow Connector 446">
          <a:extLst>
            <a:ext uri="{FF2B5EF4-FFF2-40B4-BE49-F238E27FC236}">
              <a16:creationId xmlns:a16="http://schemas.microsoft.com/office/drawing/2014/main" id="{00000000-0008-0000-1200-0000BF01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505</xdr:row>
      <xdr:rowOff>21166</xdr:rowOff>
    </xdr:from>
    <xdr:to>
      <xdr:col>15</xdr:col>
      <xdr:colOff>560916</xdr:colOff>
      <xdr:row>508</xdr:row>
      <xdr:rowOff>84667</xdr:rowOff>
    </xdr:to>
    <xdr:cxnSp macro="">
      <xdr:nvCxnSpPr>
        <xdr:cNvPr id="448" name="Straight Arrow Connector 447">
          <a:extLst>
            <a:ext uri="{FF2B5EF4-FFF2-40B4-BE49-F238E27FC236}">
              <a16:creationId xmlns:a16="http://schemas.microsoft.com/office/drawing/2014/main" id="{00000000-0008-0000-1200-0000C001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505</xdr:row>
      <xdr:rowOff>52916</xdr:rowOff>
    </xdr:from>
    <xdr:to>
      <xdr:col>15</xdr:col>
      <xdr:colOff>592666</xdr:colOff>
      <xdr:row>511</xdr:row>
      <xdr:rowOff>63501</xdr:rowOff>
    </xdr:to>
    <xdr:cxnSp macro="">
      <xdr:nvCxnSpPr>
        <xdr:cNvPr id="449" name="Straight Arrow Connector 448">
          <a:extLst>
            <a:ext uri="{FF2B5EF4-FFF2-40B4-BE49-F238E27FC236}">
              <a16:creationId xmlns:a16="http://schemas.microsoft.com/office/drawing/2014/main" id="{00000000-0008-0000-1200-0000C101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519</xdr:row>
      <xdr:rowOff>116416</xdr:rowOff>
    </xdr:from>
    <xdr:to>
      <xdr:col>15</xdr:col>
      <xdr:colOff>592666</xdr:colOff>
      <xdr:row>522</xdr:row>
      <xdr:rowOff>158750</xdr:rowOff>
    </xdr:to>
    <xdr:cxnSp macro="">
      <xdr:nvCxnSpPr>
        <xdr:cNvPr id="450" name="Straight Arrow Connector 449">
          <a:extLst>
            <a:ext uri="{FF2B5EF4-FFF2-40B4-BE49-F238E27FC236}">
              <a16:creationId xmlns:a16="http://schemas.microsoft.com/office/drawing/2014/main" id="{00000000-0008-0000-1200-0000C201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521</xdr:row>
      <xdr:rowOff>95250</xdr:rowOff>
    </xdr:from>
    <xdr:to>
      <xdr:col>15</xdr:col>
      <xdr:colOff>582083</xdr:colOff>
      <xdr:row>523</xdr:row>
      <xdr:rowOff>52917</xdr:rowOff>
    </xdr:to>
    <xdr:cxnSp macro="">
      <xdr:nvCxnSpPr>
        <xdr:cNvPr id="451" name="Straight Arrow Connector 450">
          <a:extLst>
            <a:ext uri="{FF2B5EF4-FFF2-40B4-BE49-F238E27FC236}">
              <a16:creationId xmlns:a16="http://schemas.microsoft.com/office/drawing/2014/main" id="{00000000-0008-0000-1200-0000C301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523</xdr:row>
      <xdr:rowOff>116417</xdr:rowOff>
    </xdr:from>
    <xdr:to>
      <xdr:col>15</xdr:col>
      <xdr:colOff>592666</xdr:colOff>
      <xdr:row>527</xdr:row>
      <xdr:rowOff>95250</xdr:rowOff>
    </xdr:to>
    <xdr:cxnSp macro="">
      <xdr:nvCxnSpPr>
        <xdr:cNvPr id="452" name="Straight Arrow Connector 451">
          <a:extLst>
            <a:ext uri="{FF2B5EF4-FFF2-40B4-BE49-F238E27FC236}">
              <a16:creationId xmlns:a16="http://schemas.microsoft.com/office/drawing/2014/main" id="{00000000-0008-0000-1200-0000C401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534</xdr:row>
      <xdr:rowOff>116416</xdr:rowOff>
    </xdr:from>
    <xdr:to>
      <xdr:col>16</xdr:col>
      <xdr:colOff>0</xdr:colOff>
      <xdr:row>541</xdr:row>
      <xdr:rowOff>74084</xdr:rowOff>
    </xdr:to>
    <xdr:cxnSp macro="">
      <xdr:nvCxnSpPr>
        <xdr:cNvPr id="453" name="Straight Arrow Connector 452">
          <a:extLst>
            <a:ext uri="{FF2B5EF4-FFF2-40B4-BE49-F238E27FC236}">
              <a16:creationId xmlns:a16="http://schemas.microsoft.com/office/drawing/2014/main" id="{00000000-0008-0000-1200-0000C501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502</xdr:row>
      <xdr:rowOff>52917</xdr:rowOff>
    </xdr:from>
    <xdr:to>
      <xdr:col>15</xdr:col>
      <xdr:colOff>603250</xdr:colOff>
      <xdr:row>504</xdr:row>
      <xdr:rowOff>148167</xdr:rowOff>
    </xdr:to>
    <xdr:cxnSp macro="">
      <xdr:nvCxnSpPr>
        <xdr:cNvPr id="454" name="Straight Arrow Connector 453">
          <a:extLst>
            <a:ext uri="{FF2B5EF4-FFF2-40B4-BE49-F238E27FC236}">
              <a16:creationId xmlns:a16="http://schemas.microsoft.com/office/drawing/2014/main" id="{00000000-0008-0000-1200-0000C601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537</xdr:row>
      <xdr:rowOff>42333</xdr:rowOff>
    </xdr:from>
    <xdr:to>
      <xdr:col>11</xdr:col>
      <xdr:colOff>603250</xdr:colOff>
      <xdr:row>549</xdr:row>
      <xdr:rowOff>10583</xdr:rowOff>
    </xdr:to>
    <xdr:cxnSp macro="">
      <xdr:nvCxnSpPr>
        <xdr:cNvPr id="455" name="Straight Arrow Connector 454">
          <a:extLst>
            <a:ext uri="{FF2B5EF4-FFF2-40B4-BE49-F238E27FC236}">
              <a16:creationId xmlns:a16="http://schemas.microsoft.com/office/drawing/2014/main" id="{00000000-0008-0000-1200-0000C701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527</xdr:row>
      <xdr:rowOff>21167</xdr:rowOff>
    </xdr:from>
    <xdr:to>
      <xdr:col>13</xdr:col>
      <xdr:colOff>592667</xdr:colOff>
      <xdr:row>529</xdr:row>
      <xdr:rowOff>0</xdr:rowOff>
    </xdr:to>
    <xdr:cxnSp macro="">
      <xdr:nvCxnSpPr>
        <xdr:cNvPr id="456" name="Straight Arrow Connector 455">
          <a:extLst>
            <a:ext uri="{FF2B5EF4-FFF2-40B4-BE49-F238E27FC236}">
              <a16:creationId xmlns:a16="http://schemas.microsoft.com/office/drawing/2014/main" id="{00000000-0008-0000-1200-0000C801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532</xdr:row>
      <xdr:rowOff>21166</xdr:rowOff>
    </xdr:from>
    <xdr:to>
      <xdr:col>13</xdr:col>
      <xdr:colOff>592667</xdr:colOff>
      <xdr:row>533</xdr:row>
      <xdr:rowOff>169334</xdr:rowOff>
    </xdr:to>
    <xdr:cxnSp macro="">
      <xdr:nvCxnSpPr>
        <xdr:cNvPr id="457" name="Straight Arrow Connector 456">
          <a:extLst>
            <a:ext uri="{FF2B5EF4-FFF2-40B4-BE49-F238E27FC236}">
              <a16:creationId xmlns:a16="http://schemas.microsoft.com/office/drawing/2014/main" id="{00000000-0008-0000-1200-0000C901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547</xdr:row>
      <xdr:rowOff>21167</xdr:rowOff>
    </xdr:from>
    <xdr:to>
      <xdr:col>13</xdr:col>
      <xdr:colOff>592667</xdr:colOff>
      <xdr:row>549</xdr:row>
      <xdr:rowOff>63500</xdr:rowOff>
    </xdr:to>
    <xdr:cxnSp macro="">
      <xdr:nvCxnSpPr>
        <xdr:cNvPr id="458" name="Straight Arrow Connector 457">
          <a:extLst>
            <a:ext uri="{FF2B5EF4-FFF2-40B4-BE49-F238E27FC236}">
              <a16:creationId xmlns:a16="http://schemas.microsoft.com/office/drawing/2014/main" id="{00000000-0008-0000-1200-0000CA01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552</xdr:row>
      <xdr:rowOff>0</xdr:rowOff>
    </xdr:from>
    <xdr:to>
      <xdr:col>14</xdr:col>
      <xdr:colOff>10584</xdr:colOff>
      <xdr:row>560</xdr:row>
      <xdr:rowOff>148167</xdr:rowOff>
    </xdr:to>
    <xdr:cxnSp macro="">
      <xdr:nvCxnSpPr>
        <xdr:cNvPr id="459" name="Straight Arrow Connector 458">
          <a:extLst>
            <a:ext uri="{FF2B5EF4-FFF2-40B4-BE49-F238E27FC236}">
              <a16:creationId xmlns:a16="http://schemas.microsoft.com/office/drawing/2014/main" id="{00000000-0008-0000-1200-0000CB01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523</xdr:row>
      <xdr:rowOff>95250</xdr:rowOff>
    </xdr:from>
    <xdr:to>
      <xdr:col>15</xdr:col>
      <xdr:colOff>582083</xdr:colOff>
      <xdr:row>525</xdr:row>
      <xdr:rowOff>137583</xdr:rowOff>
    </xdr:to>
    <xdr:cxnSp macro="">
      <xdr:nvCxnSpPr>
        <xdr:cNvPr id="460" name="Straight Arrow Connector 459">
          <a:extLst>
            <a:ext uri="{FF2B5EF4-FFF2-40B4-BE49-F238E27FC236}">
              <a16:creationId xmlns:a16="http://schemas.microsoft.com/office/drawing/2014/main" id="{00000000-0008-0000-1200-0000CC01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532</xdr:row>
      <xdr:rowOff>52916</xdr:rowOff>
    </xdr:from>
    <xdr:to>
      <xdr:col>16</xdr:col>
      <xdr:colOff>0</xdr:colOff>
      <xdr:row>534</xdr:row>
      <xdr:rowOff>0</xdr:rowOff>
    </xdr:to>
    <xdr:cxnSp macro="">
      <xdr:nvCxnSpPr>
        <xdr:cNvPr id="461" name="Straight Arrow Connector 460">
          <a:extLst>
            <a:ext uri="{FF2B5EF4-FFF2-40B4-BE49-F238E27FC236}">
              <a16:creationId xmlns:a16="http://schemas.microsoft.com/office/drawing/2014/main" id="{00000000-0008-0000-1200-0000CD01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534</xdr:row>
      <xdr:rowOff>21167</xdr:rowOff>
    </xdr:from>
    <xdr:to>
      <xdr:col>15</xdr:col>
      <xdr:colOff>592666</xdr:colOff>
      <xdr:row>535</xdr:row>
      <xdr:rowOff>84667</xdr:rowOff>
    </xdr:to>
    <xdr:cxnSp macro="">
      <xdr:nvCxnSpPr>
        <xdr:cNvPr id="462" name="Straight Arrow Connector 461">
          <a:extLst>
            <a:ext uri="{FF2B5EF4-FFF2-40B4-BE49-F238E27FC236}">
              <a16:creationId xmlns:a16="http://schemas.microsoft.com/office/drawing/2014/main" id="{00000000-0008-0000-1200-0000CE01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534</xdr:row>
      <xdr:rowOff>0</xdr:rowOff>
    </xdr:from>
    <xdr:to>
      <xdr:col>16</xdr:col>
      <xdr:colOff>0</xdr:colOff>
      <xdr:row>538</xdr:row>
      <xdr:rowOff>42334</xdr:rowOff>
    </xdr:to>
    <xdr:cxnSp macro="">
      <xdr:nvCxnSpPr>
        <xdr:cNvPr id="463" name="Straight Arrow Connector 462">
          <a:extLst>
            <a:ext uri="{FF2B5EF4-FFF2-40B4-BE49-F238E27FC236}">
              <a16:creationId xmlns:a16="http://schemas.microsoft.com/office/drawing/2014/main" id="{00000000-0008-0000-1200-0000CF01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545</xdr:row>
      <xdr:rowOff>0</xdr:rowOff>
    </xdr:from>
    <xdr:to>
      <xdr:col>15</xdr:col>
      <xdr:colOff>603250</xdr:colOff>
      <xdr:row>547</xdr:row>
      <xdr:rowOff>1</xdr:rowOff>
    </xdr:to>
    <xdr:cxnSp macro="">
      <xdr:nvCxnSpPr>
        <xdr:cNvPr id="464" name="Straight Arrow Connector 463">
          <a:extLst>
            <a:ext uri="{FF2B5EF4-FFF2-40B4-BE49-F238E27FC236}">
              <a16:creationId xmlns:a16="http://schemas.microsoft.com/office/drawing/2014/main" id="{00000000-0008-0000-1200-0000D001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547</xdr:row>
      <xdr:rowOff>10584</xdr:rowOff>
    </xdr:from>
    <xdr:to>
      <xdr:col>15</xdr:col>
      <xdr:colOff>592666</xdr:colOff>
      <xdr:row>548</xdr:row>
      <xdr:rowOff>95250</xdr:rowOff>
    </xdr:to>
    <xdr:cxnSp macro="">
      <xdr:nvCxnSpPr>
        <xdr:cNvPr id="465" name="Straight Arrow Connector 464">
          <a:extLst>
            <a:ext uri="{FF2B5EF4-FFF2-40B4-BE49-F238E27FC236}">
              <a16:creationId xmlns:a16="http://schemas.microsoft.com/office/drawing/2014/main" id="{00000000-0008-0000-1200-0000D101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547</xdr:row>
      <xdr:rowOff>10584</xdr:rowOff>
    </xdr:from>
    <xdr:to>
      <xdr:col>15</xdr:col>
      <xdr:colOff>560916</xdr:colOff>
      <xdr:row>551</xdr:row>
      <xdr:rowOff>52917</xdr:rowOff>
    </xdr:to>
    <xdr:cxnSp macro="">
      <xdr:nvCxnSpPr>
        <xdr:cNvPr id="466" name="Straight Arrow Connector 465">
          <a:extLst>
            <a:ext uri="{FF2B5EF4-FFF2-40B4-BE49-F238E27FC236}">
              <a16:creationId xmlns:a16="http://schemas.microsoft.com/office/drawing/2014/main" id="{00000000-0008-0000-1200-0000D201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547</xdr:row>
      <xdr:rowOff>31750</xdr:rowOff>
    </xdr:from>
    <xdr:to>
      <xdr:col>16</xdr:col>
      <xdr:colOff>21167</xdr:colOff>
      <xdr:row>554</xdr:row>
      <xdr:rowOff>95250</xdr:rowOff>
    </xdr:to>
    <xdr:cxnSp macro="">
      <xdr:nvCxnSpPr>
        <xdr:cNvPr id="467" name="Straight Arrow Connector 466">
          <a:extLst>
            <a:ext uri="{FF2B5EF4-FFF2-40B4-BE49-F238E27FC236}">
              <a16:creationId xmlns:a16="http://schemas.microsoft.com/office/drawing/2014/main" id="{00000000-0008-0000-1200-0000D301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561</xdr:row>
      <xdr:rowOff>0</xdr:rowOff>
    </xdr:from>
    <xdr:to>
      <xdr:col>16</xdr:col>
      <xdr:colOff>0</xdr:colOff>
      <xdr:row>561</xdr:row>
      <xdr:rowOff>42334</xdr:rowOff>
    </xdr:to>
    <xdr:cxnSp macro="">
      <xdr:nvCxnSpPr>
        <xdr:cNvPr id="468" name="Straight Arrow Connector 467">
          <a:extLst>
            <a:ext uri="{FF2B5EF4-FFF2-40B4-BE49-F238E27FC236}">
              <a16:creationId xmlns:a16="http://schemas.microsoft.com/office/drawing/2014/main" id="{00000000-0008-0000-1200-0000D401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561</xdr:row>
      <xdr:rowOff>21166</xdr:rowOff>
    </xdr:from>
    <xdr:to>
      <xdr:col>15</xdr:col>
      <xdr:colOff>560916</xdr:colOff>
      <xdr:row>564</xdr:row>
      <xdr:rowOff>84667</xdr:rowOff>
    </xdr:to>
    <xdr:cxnSp macro="">
      <xdr:nvCxnSpPr>
        <xdr:cNvPr id="469" name="Straight Arrow Connector 468">
          <a:extLst>
            <a:ext uri="{FF2B5EF4-FFF2-40B4-BE49-F238E27FC236}">
              <a16:creationId xmlns:a16="http://schemas.microsoft.com/office/drawing/2014/main" id="{00000000-0008-0000-1200-0000D501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561</xdr:row>
      <xdr:rowOff>52916</xdr:rowOff>
    </xdr:from>
    <xdr:to>
      <xdr:col>15</xdr:col>
      <xdr:colOff>592666</xdr:colOff>
      <xdr:row>567</xdr:row>
      <xdr:rowOff>63501</xdr:rowOff>
    </xdr:to>
    <xdr:cxnSp macro="">
      <xdr:nvCxnSpPr>
        <xdr:cNvPr id="470" name="Straight Arrow Connector 469">
          <a:extLst>
            <a:ext uri="{FF2B5EF4-FFF2-40B4-BE49-F238E27FC236}">
              <a16:creationId xmlns:a16="http://schemas.microsoft.com/office/drawing/2014/main" id="{00000000-0008-0000-1200-0000D601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558</xdr:row>
      <xdr:rowOff>52917</xdr:rowOff>
    </xdr:from>
    <xdr:to>
      <xdr:col>15</xdr:col>
      <xdr:colOff>603250</xdr:colOff>
      <xdr:row>560</xdr:row>
      <xdr:rowOff>148167</xdr:rowOff>
    </xdr:to>
    <xdr:cxnSp macro="">
      <xdr:nvCxnSpPr>
        <xdr:cNvPr id="471" name="Straight Arrow Connector 470">
          <a:extLst>
            <a:ext uri="{FF2B5EF4-FFF2-40B4-BE49-F238E27FC236}">
              <a16:creationId xmlns:a16="http://schemas.microsoft.com/office/drawing/2014/main" id="{00000000-0008-0000-1200-0000D701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602</xdr:row>
      <xdr:rowOff>95250</xdr:rowOff>
    </xdr:from>
    <xdr:to>
      <xdr:col>8</xdr:col>
      <xdr:colOff>21167</xdr:colOff>
      <xdr:row>634</xdr:row>
      <xdr:rowOff>148166</xdr:rowOff>
    </xdr:to>
    <xdr:cxnSp macro="">
      <xdr:nvCxnSpPr>
        <xdr:cNvPr id="472" name="Straight Arrow Connector 471">
          <a:extLst>
            <a:ext uri="{FF2B5EF4-FFF2-40B4-BE49-F238E27FC236}">
              <a16:creationId xmlns:a16="http://schemas.microsoft.com/office/drawing/2014/main" id="{00000000-0008-0000-1200-0000D801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573</xdr:row>
      <xdr:rowOff>137583</xdr:rowOff>
    </xdr:from>
    <xdr:to>
      <xdr:col>9</xdr:col>
      <xdr:colOff>603250</xdr:colOff>
      <xdr:row>579</xdr:row>
      <xdr:rowOff>21166</xdr:rowOff>
    </xdr:to>
    <xdr:cxnSp macro="">
      <xdr:nvCxnSpPr>
        <xdr:cNvPr id="473" name="Straight Arrow Connector 472">
          <a:extLst>
            <a:ext uri="{FF2B5EF4-FFF2-40B4-BE49-F238E27FC236}">
              <a16:creationId xmlns:a16="http://schemas.microsoft.com/office/drawing/2014/main" id="{00000000-0008-0000-1200-0000D901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582</xdr:row>
      <xdr:rowOff>0</xdr:rowOff>
    </xdr:from>
    <xdr:to>
      <xdr:col>9</xdr:col>
      <xdr:colOff>582083</xdr:colOff>
      <xdr:row>590</xdr:row>
      <xdr:rowOff>10583</xdr:rowOff>
    </xdr:to>
    <xdr:cxnSp macro="">
      <xdr:nvCxnSpPr>
        <xdr:cNvPr id="474" name="Straight Arrow Connector 473">
          <a:extLst>
            <a:ext uri="{FF2B5EF4-FFF2-40B4-BE49-F238E27FC236}">
              <a16:creationId xmlns:a16="http://schemas.microsoft.com/office/drawing/2014/main" id="{00000000-0008-0000-1200-0000DA01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587</xdr:row>
      <xdr:rowOff>169333</xdr:rowOff>
    </xdr:from>
    <xdr:to>
      <xdr:col>11</xdr:col>
      <xdr:colOff>603250</xdr:colOff>
      <xdr:row>590</xdr:row>
      <xdr:rowOff>21167</xdr:rowOff>
    </xdr:to>
    <xdr:cxnSp macro="">
      <xdr:nvCxnSpPr>
        <xdr:cNvPr id="475" name="Straight Arrow Connector 474">
          <a:extLst>
            <a:ext uri="{FF2B5EF4-FFF2-40B4-BE49-F238E27FC236}">
              <a16:creationId xmlns:a16="http://schemas.microsoft.com/office/drawing/2014/main" id="{00000000-0008-0000-1200-0000DB01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593</xdr:row>
      <xdr:rowOff>42333</xdr:rowOff>
    </xdr:from>
    <xdr:to>
      <xdr:col>11</xdr:col>
      <xdr:colOff>603250</xdr:colOff>
      <xdr:row>605</xdr:row>
      <xdr:rowOff>10583</xdr:rowOff>
    </xdr:to>
    <xdr:cxnSp macro="">
      <xdr:nvCxnSpPr>
        <xdr:cNvPr id="476" name="Straight Arrow Connector 475">
          <a:extLst>
            <a:ext uri="{FF2B5EF4-FFF2-40B4-BE49-F238E27FC236}">
              <a16:creationId xmlns:a16="http://schemas.microsoft.com/office/drawing/2014/main" id="{00000000-0008-0000-1200-0000DC01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583</xdr:row>
      <xdr:rowOff>21167</xdr:rowOff>
    </xdr:from>
    <xdr:to>
      <xdr:col>13</xdr:col>
      <xdr:colOff>592667</xdr:colOff>
      <xdr:row>585</xdr:row>
      <xdr:rowOff>0</xdr:rowOff>
    </xdr:to>
    <xdr:cxnSp macro="">
      <xdr:nvCxnSpPr>
        <xdr:cNvPr id="477" name="Straight Arrow Connector 476">
          <a:extLst>
            <a:ext uri="{FF2B5EF4-FFF2-40B4-BE49-F238E27FC236}">
              <a16:creationId xmlns:a16="http://schemas.microsoft.com/office/drawing/2014/main" id="{00000000-0008-0000-1200-0000DD01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588</xdr:row>
      <xdr:rowOff>21166</xdr:rowOff>
    </xdr:from>
    <xdr:to>
      <xdr:col>13</xdr:col>
      <xdr:colOff>592667</xdr:colOff>
      <xdr:row>589</xdr:row>
      <xdr:rowOff>169334</xdr:rowOff>
    </xdr:to>
    <xdr:cxnSp macro="">
      <xdr:nvCxnSpPr>
        <xdr:cNvPr id="478" name="Straight Arrow Connector 477">
          <a:extLst>
            <a:ext uri="{FF2B5EF4-FFF2-40B4-BE49-F238E27FC236}">
              <a16:creationId xmlns:a16="http://schemas.microsoft.com/office/drawing/2014/main" id="{00000000-0008-0000-1200-0000DE010000}"/>
            </a:ext>
          </a:extLst>
        </xdr:cNvPr>
        <xdr:cNvCxnSpPr/>
      </xdr:nvCxnSpPr>
      <xdr:spPr>
        <a:xfrm>
          <a:off x="8784166" y="25929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603</xdr:row>
      <xdr:rowOff>21167</xdr:rowOff>
    </xdr:from>
    <xdr:to>
      <xdr:col>13</xdr:col>
      <xdr:colOff>592667</xdr:colOff>
      <xdr:row>605</xdr:row>
      <xdr:rowOff>63500</xdr:rowOff>
    </xdr:to>
    <xdr:cxnSp macro="">
      <xdr:nvCxnSpPr>
        <xdr:cNvPr id="479" name="Straight Arrow Connector 478">
          <a:extLst>
            <a:ext uri="{FF2B5EF4-FFF2-40B4-BE49-F238E27FC236}">
              <a16:creationId xmlns:a16="http://schemas.microsoft.com/office/drawing/2014/main" id="{00000000-0008-0000-1200-0000DF01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608</xdr:row>
      <xdr:rowOff>0</xdr:rowOff>
    </xdr:from>
    <xdr:to>
      <xdr:col>14</xdr:col>
      <xdr:colOff>10584</xdr:colOff>
      <xdr:row>616</xdr:row>
      <xdr:rowOff>148167</xdr:rowOff>
    </xdr:to>
    <xdr:cxnSp macro="">
      <xdr:nvCxnSpPr>
        <xdr:cNvPr id="480" name="Straight Arrow Connector 479">
          <a:extLst>
            <a:ext uri="{FF2B5EF4-FFF2-40B4-BE49-F238E27FC236}">
              <a16:creationId xmlns:a16="http://schemas.microsoft.com/office/drawing/2014/main" id="{00000000-0008-0000-1200-0000E001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575</xdr:row>
      <xdr:rowOff>0</xdr:rowOff>
    </xdr:from>
    <xdr:to>
      <xdr:col>15</xdr:col>
      <xdr:colOff>603250</xdr:colOff>
      <xdr:row>580</xdr:row>
      <xdr:rowOff>31750</xdr:rowOff>
    </xdr:to>
    <xdr:cxnSp macro="">
      <xdr:nvCxnSpPr>
        <xdr:cNvPr id="481" name="Straight Arrow Connector 480">
          <a:extLst>
            <a:ext uri="{FF2B5EF4-FFF2-40B4-BE49-F238E27FC236}">
              <a16:creationId xmlns:a16="http://schemas.microsoft.com/office/drawing/2014/main" id="{00000000-0008-0000-1200-0000E101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578</xdr:row>
      <xdr:rowOff>52917</xdr:rowOff>
    </xdr:from>
    <xdr:to>
      <xdr:col>15</xdr:col>
      <xdr:colOff>603250</xdr:colOff>
      <xdr:row>580</xdr:row>
      <xdr:rowOff>95250</xdr:rowOff>
    </xdr:to>
    <xdr:cxnSp macro="">
      <xdr:nvCxnSpPr>
        <xdr:cNvPr id="482" name="Straight Arrow Connector 481">
          <a:extLst>
            <a:ext uri="{FF2B5EF4-FFF2-40B4-BE49-F238E27FC236}">
              <a16:creationId xmlns:a16="http://schemas.microsoft.com/office/drawing/2014/main" id="{00000000-0008-0000-1200-0000E201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580</xdr:row>
      <xdr:rowOff>158750</xdr:rowOff>
    </xdr:from>
    <xdr:to>
      <xdr:col>15</xdr:col>
      <xdr:colOff>582083</xdr:colOff>
      <xdr:row>581</xdr:row>
      <xdr:rowOff>137583</xdr:rowOff>
    </xdr:to>
    <xdr:cxnSp macro="">
      <xdr:nvCxnSpPr>
        <xdr:cNvPr id="483" name="Straight Arrow Connector 482">
          <a:extLst>
            <a:ext uri="{FF2B5EF4-FFF2-40B4-BE49-F238E27FC236}">
              <a16:creationId xmlns:a16="http://schemas.microsoft.com/office/drawing/2014/main" id="{00000000-0008-0000-1200-0000E301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580</xdr:row>
      <xdr:rowOff>105834</xdr:rowOff>
    </xdr:from>
    <xdr:to>
      <xdr:col>16</xdr:col>
      <xdr:colOff>0</xdr:colOff>
      <xdr:row>584</xdr:row>
      <xdr:rowOff>84667</xdr:rowOff>
    </xdr:to>
    <xdr:cxnSp macro="">
      <xdr:nvCxnSpPr>
        <xdr:cNvPr id="484" name="Straight Arrow Connector 483">
          <a:extLst>
            <a:ext uri="{FF2B5EF4-FFF2-40B4-BE49-F238E27FC236}">
              <a16:creationId xmlns:a16="http://schemas.microsoft.com/office/drawing/2014/main" id="{00000000-0008-0000-1200-0000E401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588</xdr:row>
      <xdr:rowOff>52916</xdr:rowOff>
    </xdr:from>
    <xdr:to>
      <xdr:col>16</xdr:col>
      <xdr:colOff>0</xdr:colOff>
      <xdr:row>590</xdr:row>
      <xdr:rowOff>0</xdr:rowOff>
    </xdr:to>
    <xdr:cxnSp macro="">
      <xdr:nvCxnSpPr>
        <xdr:cNvPr id="485" name="Straight Arrow Connector 484">
          <a:extLst>
            <a:ext uri="{FF2B5EF4-FFF2-40B4-BE49-F238E27FC236}">
              <a16:creationId xmlns:a16="http://schemas.microsoft.com/office/drawing/2014/main" id="{00000000-0008-0000-1200-0000E501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590</xdr:row>
      <xdr:rowOff>21167</xdr:rowOff>
    </xdr:from>
    <xdr:to>
      <xdr:col>15</xdr:col>
      <xdr:colOff>582083</xdr:colOff>
      <xdr:row>591</xdr:row>
      <xdr:rowOff>42333</xdr:rowOff>
    </xdr:to>
    <xdr:cxnSp macro="">
      <xdr:nvCxnSpPr>
        <xdr:cNvPr id="486" name="Straight Arrow Connector 485">
          <a:extLst>
            <a:ext uri="{FF2B5EF4-FFF2-40B4-BE49-F238E27FC236}">
              <a16:creationId xmlns:a16="http://schemas.microsoft.com/office/drawing/2014/main" id="{00000000-0008-0000-1200-0000E601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590</xdr:row>
      <xdr:rowOff>21167</xdr:rowOff>
    </xdr:from>
    <xdr:to>
      <xdr:col>16</xdr:col>
      <xdr:colOff>42333</xdr:colOff>
      <xdr:row>595</xdr:row>
      <xdr:rowOff>21168</xdr:rowOff>
    </xdr:to>
    <xdr:cxnSp macro="">
      <xdr:nvCxnSpPr>
        <xdr:cNvPr id="487" name="Straight Arrow Connector 486">
          <a:extLst>
            <a:ext uri="{FF2B5EF4-FFF2-40B4-BE49-F238E27FC236}">
              <a16:creationId xmlns:a16="http://schemas.microsoft.com/office/drawing/2014/main" id="{00000000-0008-0000-1200-0000E701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488" name="Straight Arrow Connector 487">
          <a:extLst>
            <a:ext uri="{FF2B5EF4-FFF2-40B4-BE49-F238E27FC236}">
              <a16:creationId xmlns:a16="http://schemas.microsoft.com/office/drawing/2014/main" id="{00000000-0008-0000-1200-0000E801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627</xdr:row>
      <xdr:rowOff>42333</xdr:rowOff>
    </xdr:from>
    <xdr:to>
      <xdr:col>9</xdr:col>
      <xdr:colOff>592666</xdr:colOff>
      <xdr:row>635</xdr:row>
      <xdr:rowOff>42333</xdr:rowOff>
    </xdr:to>
    <xdr:cxnSp macro="">
      <xdr:nvCxnSpPr>
        <xdr:cNvPr id="489" name="Straight Arrow Connector 488">
          <a:extLst>
            <a:ext uri="{FF2B5EF4-FFF2-40B4-BE49-F238E27FC236}">
              <a16:creationId xmlns:a16="http://schemas.microsoft.com/office/drawing/2014/main" id="{00000000-0008-0000-1200-0000E901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637</xdr:row>
      <xdr:rowOff>169334</xdr:rowOff>
    </xdr:from>
    <xdr:to>
      <xdr:col>9</xdr:col>
      <xdr:colOff>603250</xdr:colOff>
      <xdr:row>646</xdr:row>
      <xdr:rowOff>31750</xdr:rowOff>
    </xdr:to>
    <xdr:cxnSp macro="">
      <xdr:nvCxnSpPr>
        <xdr:cNvPr id="490" name="Straight Arrow Connector 489">
          <a:extLst>
            <a:ext uri="{FF2B5EF4-FFF2-40B4-BE49-F238E27FC236}">
              <a16:creationId xmlns:a16="http://schemas.microsoft.com/office/drawing/2014/main" id="{00000000-0008-0000-1200-0000EA01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643</xdr:row>
      <xdr:rowOff>158750</xdr:rowOff>
    </xdr:from>
    <xdr:to>
      <xdr:col>11</xdr:col>
      <xdr:colOff>571500</xdr:colOff>
      <xdr:row>646</xdr:row>
      <xdr:rowOff>0</xdr:rowOff>
    </xdr:to>
    <xdr:cxnSp macro="">
      <xdr:nvCxnSpPr>
        <xdr:cNvPr id="491" name="Straight Arrow Connector 490">
          <a:extLst>
            <a:ext uri="{FF2B5EF4-FFF2-40B4-BE49-F238E27FC236}">
              <a16:creationId xmlns:a16="http://schemas.microsoft.com/office/drawing/2014/main" id="{00000000-0008-0000-1200-0000EB01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601</xdr:row>
      <xdr:rowOff>0</xdr:rowOff>
    </xdr:from>
    <xdr:to>
      <xdr:col>15</xdr:col>
      <xdr:colOff>603250</xdr:colOff>
      <xdr:row>603</xdr:row>
      <xdr:rowOff>1</xdr:rowOff>
    </xdr:to>
    <xdr:cxnSp macro="">
      <xdr:nvCxnSpPr>
        <xdr:cNvPr id="492" name="Straight Arrow Connector 491">
          <a:extLst>
            <a:ext uri="{FF2B5EF4-FFF2-40B4-BE49-F238E27FC236}">
              <a16:creationId xmlns:a16="http://schemas.microsoft.com/office/drawing/2014/main" id="{00000000-0008-0000-1200-0000EC010000}"/>
            </a:ext>
          </a:extLst>
        </xdr:cNvPr>
        <xdr:cNvCxnSpPr/>
      </xdr:nvCxnSpPr>
      <xdr:spPr>
        <a:xfrm flipV="1">
          <a:off x="10530417"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603</xdr:row>
      <xdr:rowOff>10584</xdr:rowOff>
    </xdr:from>
    <xdr:to>
      <xdr:col>15</xdr:col>
      <xdr:colOff>592666</xdr:colOff>
      <xdr:row>604</xdr:row>
      <xdr:rowOff>95250</xdr:rowOff>
    </xdr:to>
    <xdr:cxnSp macro="">
      <xdr:nvCxnSpPr>
        <xdr:cNvPr id="493" name="Straight Arrow Connector 492">
          <a:extLst>
            <a:ext uri="{FF2B5EF4-FFF2-40B4-BE49-F238E27FC236}">
              <a16:creationId xmlns:a16="http://schemas.microsoft.com/office/drawing/2014/main" id="{00000000-0008-0000-1200-0000ED01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603</xdr:row>
      <xdr:rowOff>10584</xdr:rowOff>
    </xdr:from>
    <xdr:to>
      <xdr:col>15</xdr:col>
      <xdr:colOff>560916</xdr:colOff>
      <xdr:row>607</xdr:row>
      <xdr:rowOff>52917</xdr:rowOff>
    </xdr:to>
    <xdr:cxnSp macro="">
      <xdr:nvCxnSpPr>
        <xdr:cNvPr id="494" name="Straight Arrow Connector 493">
          <a:extLst>
            <a:ext uri="{FF2B5EF4-FFF2-40B4-BE49-F238E27FC236}">
              <a16:creationId xmlns:a16="http://schemas.microsoft.com/office/drawing/2014/main" id="{00000000-0008-0000-1200-0000EE01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495" name="Straight Arrow Connector 494">
          <a:extLst>
            <a:ext uri="{FF2B5EF4-FFF2-40B4-BE49-F238E27FC236}">
              <a16:creationId xmlns:a16="http://schemas.microsoft.com/office/drawing/2014/main" id="{00000000-0008-0000-1200-0000EF01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617</xdr:row>
      <xdr:rowOff>0</xdr:rowOff>
    </xdr:from>
    <xdr:to>
      <xdr:col>16</xdr:col>
      <xdr:colOff>0</xdr:colOff>
      <xdr:row>617</xdr:row>
      <xdr:rowOff>42334</xdr:rowOff>
    </xdr:to>
    <xdr:cxnSp macro="">
      <xdr:nvCxnSpPr>
        <xdr:cNvPr id="496" name="Straight Arrow Connector 495">
          <a:extLst>
            <a:ext uri="{FF2B5EF4-FFF2-40B4-BE49-F238E27FC236}">
              <a16:creationId xmlns:a16="http://schemas.microsoft.com/office/drawing/2014/main" id="{00000000-0008-0000-1200-0000F001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617</xdr:row>
      <xdr:rowOff>21166</xdr:rowOff>
    </xdr:from>
    <xdr:to>
      <xdr:col>15</xdr:col>
      <xdr:colOff>560916</xdr:colOff>
      <xdr:row>620</xdr:row>
      <xdr:rowOff>84667</xdr:rowOff>
    </xdr:to>
    <xdr:cxnSp macro="">
      <xdr:nvCxnSpPr>
        <xdr:cNvPr id="497" name="Straight Arrow Connector 496">
          <a:extLst>
            <a:ext uri="{FF2B5EF4-FFF2-40B4-BE49-F238E27FC236}">
              <a16:creationId xmlns:a16="http://schemas.microsoft.com/office/drawing/2014/main" id="{00000000-0008-0000-1200-0000F101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617</xdr:row>
      <xdr:rowOff>52916</xdr:rowOff>
    </xdr:from>
    <xdr:to>
      <xdr:col>15</xdr:col>
      <xdr:colOff>592666</xdr:colOff>
      <xdr:row>623</xdr:row>
      <xdr:rowOff>63501</xdr:rowOff>
    </xdr:to>
    <xdr:cxnSp macro="">
      <xdr:nvCxnSpPr>
        <xdr:cNvPr id="498" name="Straight Arrow Connector 497">
          <a:extLst>
            <a:ext uri="{FF2B5EF4-FFF2-40B4-BE49-F238E27FC236}">
              <a16:creationId xmlns:a16="http://schemas.microsoft.com/office/drawing/2014/main" id="{00000000-0008-0000-1200-0000F201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631</xdr:row>
      <xdr:rowOff>116416</xdr:rowOff>
    </xdr:from>
    <xdr:to>
      <xdr:col>15</xdr:col>
      <xdr:colOff>592666</xdr:colOff>
      <xdr:row>634</xdr:row>
      <xdr:rowOff>158750</xdr:rowOff>
    </xdr:to>
    <xdr:cxnSp macro="">
      <xdr:nvCxnSpPr>
        <xdr:cNvPr id="499" name="Straight Arrow Connector 498">
          <a:extLst>
            <a:ext uri="{FF2B5EF4-FFF2-40B4-BE49-F238E27FC236}">
              <a16:creationId xmlns:a16="http://schemas.microsoft.com/office/drawing/2014/main" id="{00000000-0008-0000-1200-0000F301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633</xdr:row>
      <xdr:rowOff>95250</xdr:rowOff>
    </xdr:from>
    <xdr:to>
      <xdr:col>15</xdr:col>
      <xdr:colOff>582083</xdr:colOff>
      <xdr:row>635</xdr:row>
      <xdr:rowOff>52917</xdr:rowOff>
    </xdr:to>
    <xdr:cxnSp macro="">
      <xdr:nvCxnSpPr>
        <xdr:cNvPr id="500" name="Straight Arrow Connector 499">
          <a:extLst>
            <a:ext uri="{FF2B5EF4-FFF2-40B4-BE49-F238E27FC236}">
              <a16:creationId xmlns:a16="http://schemas.microsoft.com/office/drawing/2014/main" id="{00000000-0008-0000-1200-0000F401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116417</xdr:rowOff>
    </xdr:from>
    <xdr:to>
      <xdr:col>15</xdr:col>
      <xdr:colOff>592666</xdr:colOff>
      <xdr:row>639</xdr:row>
      <xdr:rowOff>95250</xdr:rowOff>
    </xdr:to>
    <xdr:cxnSp macro="">
      <xdr:nvCxnSpPr>
        <xdr:cNvPr id="501" name="Straight Arrow Connector 500">
          <a:extLst>
            <a:ext uri="{FF2B5EF4-FFF2-40B4-BE49-F238E27FC236}">
              <a16:creationId xmlns:a16="http://schemas.microsoft.com/office/drawing/2014/main" id="{00000000-0008-0000-1200-0000F501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646</xdr:row>
      <xdr:rowOff>116416</xdr:rowOff>
    </xdr:from>
    <xdr:to>
      <xdr:col>16</xdr:col>
      <xdr:colOff>0</xdr:colOff>
      <xdr:row>653</xdr:row>
      <xdr:rowOff>74084</xdr:rowOff>
    </xdr:to>
    <xdr:cxnSp macro="">
      <xdr:nvCxnSpPr>
        <xdr:cNvPr id="502" name="Straight Arrow Connector 501">
          <a:extLst>
            <a:ext uri="{FF2B5EF4-FFF2-40B4-BE49-F238E27FC236}">
              <a16:creationId xmlns:a16="http://schemas.microsoft.com/office/drawing/2014/main" id="{00000000-0008-0000-1200-0000F601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614</xdr:row>
      <xdr:rowOff>52917</xdr:rowOff>
    </xdr:from>
    <xdr:to>
      <xdr:col>15</xdr:col>
      <xdr:colOff>603250</xdr:colOff>
      <xdr:row>616</xdr:row>
      <xdr:rowOff>148167</xdr:rowOff>
    </xdr:to>
    <xdr:cxnSp macro="">
      <xdr:nvCxnSpPr>
        <xdr:cNvPr id="503" name="Straight Arrow Connector 502">
          <a:extLst>
            <a:ext uri="{FF2B5EF4-FFF2-40B4-BE49-F238E27FC236}">
              <a16:creationId xmlns:a16="http://schemas.microsoft.com/office/drawing/2014/main" id="{00000000-0008-0000-1200-0000F701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649</xdr:row>
      <xdr:rowOff>42333</xdr:rowOff>
    </xdr:from>
    <xdr:to>
      <xdr:col>11</xdr:col>
      <xdr:colOff>603250</xdr:colOff>
      <xdr:row>661</xdr:row>
      <xdr:rowOff>10583</xdr:rowOff>
    </xdr:to>
    <xdr:cxnSp macro="">
      <xdr:nvCxnSpPr>
        <xdr:cNvPr id="504" name="Straight Arrow Connector 503">
          <a:extLst>
            <a:ext uri="{FF2B5EF4-FFF2-40B4-BE49-F238E27FC236}">
              <a16:creationId xmlns:a16="http://schemas.microsoft.com/office/drawing/2014/main" id="{00000000-0008-0000-1200-0000F801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639</xdr:row>
      <xdr:rowOff>21167</xdr:rowOff>
    </xdr:from>
    <xdr:to>
      <xdr:col>13</xdr:col>
      <xdr:colOff>592667</xdr:colOff>
      <xdr:row>641</xdr:row>
      <xdr:rowOff>0</xdr:rowOff>
    </xdr:to>
    <xdr:cxnSp macro="">
      <xdr:nvCxnSpPr>
        <xdr:cNvPr id="505" name="Straight Arrow Connector 504">
          <a:extLst>
            <a:ext uri="{FF2B5EF4-FFF2-40B4-BE49-F238E27FC236}">
              <a16:creationId xmlns:a16="http://schemas.microsoft.com/office/drawing/2014/main" id="{00000000-0008-0000-1200-0000F901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644</xdr:row>
      <xdr:rowOff>21166</xdr:rowOff>
    </xdr:from>
    <xdr:to>
      <xdr:col>13</xdr:col>
      <xdr:colOff>592667</xdr:colOff>
      <xdr:row>645</xdr:row>
      <xdr:rowOff>169334</xdr:rowOff>
    </xdr:to>
    <xdr:cxnSp macro="">
      <xdr:nvCxnSpPr>
        <xdr:cNvPr id="506" name="Straight Arrow Connector 505">
          <a:extLst>
            <a:ext uri="{FF2B5EF4-FFF2-40B4-BE49-F238E27FC236}">
              <a16:creationId xmlns:a16="http://schemas.microsoft.com/office/drawing/2014/main" id="{00000000-0008-0000-1200-0000FA01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659</xdr:row>
      <xdr:rowOff>21167</xdr:rowOff>
    </xdr:from>
    <xdr:to>
      <xdr:col>13</xdr:col>
      <xdr:colOff>592667</xdr:colOff>
      <xdr:row>661</xdr:row>
      <xdr:rowOff>63500</xdr:rowOff>
    </xdr:to>
    <xdr:cxnSp macro="">
      <xdr:nvCxnSpPr>
        <xdr:cNvPr id="507" name="Straight Arrow Connector 506">
          <a:extLst>
            <a:ext uri="{FF2B5EF4-FFF2-40B4-BE49-F238E27FC236}">
              <a16:creationId xmlns:a16="http://schemas.microsoft.com/office/drawing/2014/main" id="{00000000-0008-0000-1200-0000FB01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664</xdr:row>
      <xdr:rowOff>0</xdr:rowOff>
    </xdr:from>
    <xdr:to>
      <xdr:col>14</xdr:col>
      <xdr:colOff>10584</xdr:colOff>
      <xdr:row>672</xdr:row>
      <xdr:rowOff>148167</xdr:rowOff>
    </xdr:to>
    <xdr:cxnSp macro="">
      <xdr:nvCxnSpPr>
        <xdr:cNvPr id="508" name="Straight Arrow Connector 507">
          <a:extLst>
            <a:ext uri="{FF2B5EF4-FFF2-40B4-BE49-F238E27FC236}">
              <a16:creationId xmlns:a16="http://schemas.microsoft.com/office/drawing/2014/main" id="{00000000-0008-0000-1200-0000FC01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95250</xdr:rowOff>
    </xdr:from>
    <xdr:to>
      <xdr:col>15</xdr:col>
      <xdr:colOff>582083</xdr:colOff>
      <xdr:row>637</xdr:row>
      <xdr:rowOff>137583</xdr:rowOff>
    </xdr:to>
    <xdr:cxnSp macro="">
      <xdr:nvCxnSpPr>
        <xdr:cNvPr id="509" name="Straight Arrow Connector 508">
          <a:extLst>
            <a:ext uri="{FF2B5EF4-FFF2-40B4-BE49-F238E27FC236}">
              <a16:creationId xmlns:a16="http://schemas.microsoft.com/office/drawing/2014/main" id="{00000000-0008-0000-1200-0000FD01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644</xdr:row>
      <xdr:rowOff>52916</xdr:rowOff>
    </xdr:from>
    <xdr:to>
      <xdr:col>16</xdr:col>
      <xdr:colOff>0</xdr:colOff>
      <xdr:row>646</xdr:row>
      <xdr:rowOff>0</xdr:rowOff>
    </xdr:to>
    <xdr:cxnSp macro="">
      <xdr:nvCxnSpPr>
        <xdr:cNvPr id="510" name="Straight Arrow Connector 509">
          <a:extLst>
            <a:ext uri="{FF2B5EF4-FFF2-40B4-BE49-F238E27FC236}">
              <a16:creationId xmlns:a16="http://schemas.microsoft.com/office/drawing/2014/main" id="{00000000-0008-0000-1200-0000FE01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21167</xdr:rowOff>
    </xdr:from>
    <xdr:to>
      <xdr:col>15</xdr:col>
      <xdr:colOff>592666</xdr:colOff>
      <xdr:row>647</xdr:row>
      <xdr:rowOff>84667</xdr:rowOff>
    </xdr:to>
    <xdr:cxnSp macro="">
      <xdr:nvCxnSpPr>
        <xdr:cNvPr id="511" name="Straight Arrow Connector 510">
          <a:extLst>
            <a:ext uri="{FF2B5EF4-FFF2-40B4-BE49-F238E27FC236}">
              <a16:creationId xmlns:a16="http://schemas.microsoft.com/office/drawing/2014/main" id="{00000000-0008-0000-1200-0000FF01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0</xdr:rowOff>
    </xdr:from>
    <xdr:to>
      <xdr:col>16</xdr:col>
      <xdr:colOff>0</xdr:colOff>
      <xdr:row>650</xdr:row>
      <xdr:rowOff>42334</xdr:rowOff>
    </xdr:to>
    <xdr:cxnSp macro="">
      <xdr:nvCxnSpPr>
        <xdr:cNvPr id="512" name="Straight Arrow Connector 511">
          <a:extLst>
            <a:ext uri="{FF2B5EF4-FFF2-40B4-BE49-F238E27FC236}">
              <a16:creationId xmlns:a16="http://schemas.microsoft.com/office/drawing/2014/main" id="{00000000-0008-0000-1200-00000002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657</xdr:row>
      <xdr:rowOff>0</xdr:rowOff>
    </xdr:from>
    <xdr:to>
      <xdr:col>15</xdr:col>
      <xdr:colOff>603250</xdr:colOff>
      <xdr:row>659</xdr:row>
      <xdr:rowOff>1</xdr:rowOff>
    </xdr:to>
    <xdr:cxnSp macro="">
      <xdr:nvCxnSpPr>
        <xdr:cNvPr id="513" name="Straight Arrow Connector 512">
          <a:extLst>
            <a:ext uri="{FF2B5EF4-FFF2-40B4-BE49-F238E27FC236}">
              <a16:creationId xmlns:a16="http://schemas.microsoft.com/office/drawing/2014/main" id="{00000000-0008-0000-1200-000001020000}"/>
            </a:ext>
          </a:extLst>
        </xdr:cNvPr>
        <xdr:cNvCxnSpPr/>
      </xdr:nvCxnSpPr>
      <xdr:spPr>
        <a:xfrm flipV="1">
          <a:off x="10530417"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659</xdr:row>
      <xdr:rowOff>10584</xdr:rowOff>
    </xdr:from>
    <xdr:to>
      <xdr:col>15</xdr:col>
      <xdr:colOff>592666</xdr:colOff>
      <xdr:row>660</xdr:row>
      <xdr:rowOff>95250</xdr:rowOff>
    </xdr:to>
    <xdr:cxnSp macro="">
      <xdr:nvCxnSpPr>
        <xdr:cNvPr id="514" name="Straight Arrow Connector 513">
          <a:extLst>
            <a:ext uri="{FF2B5EF4-FFF2-40B4-BE49-F238E27FC236}">
              <a16:creationId xmlns:a16="http://schemas.microsoft.com/office/drawing/2014/main" id="{00000000-0008-0000-1200-00000202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659</xdr:row>
      <xdr:rowOff>10584</xdr:rowOff>
    </xdr:from>
    <xdr:to>
      <xdr:col>15</xdr:col>
      <xdr:colOff>560916</xdr:colOff>
      <xdr:row>663</xdr:row>
      <xdr:rowOff>52917</xdr:rowOff>
    </xdr:to>
    <xdr:cxnSp macro="">
      <xdr:nvCxnSpPr>
        <xdr:cNvPr id="515" name="Straight Arrow Connector 514">
          <a:extLst>
            <a:ext uri="{FF2B5EF4-FFF2-40B4-BE49-F238E27FC236}">
              <a16:creationId xmlns:a16="http://schemas.microsoft.com/office/drawing/2014/main" id="{00000000-0008-0000-1200-00000302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516" name="Straight Arrow Connector 515">
          <a:extLst>
            <a:ext uri="{FF2B5EF4-FFF2-40B4-BE49-F238E27FC236}">
              <a16:creationId xmlns:a16="http://schemas.microsoft.com/office/drawing/2014/main" id="{00000000-0008-0000-1200-00000402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673</xdr:row>
      <xdr:rowOff>0</xdr:rowOff>
    </xdr:from>
    <xdr:to>
      <xdr:col>16</xdr:col>
      <xdr:colOff>0</xdr:colOff>
      <xdr:row>673</xdr:row>
      <xdr:rowOff>42334</xdr:rowOff>
    </xdr:to>
    <xdr:cxnSp macro="">
      <xdr:nvCxnSpPr>
        <xdr:cNvPr id="517" name="Straight Arrow Connector 516">
          <a:extLst>
            <a:ext uri="{FF2B5EF4-FFF2-40B4-BE49-F238E27FC236}">
              <a16:creationId xmlns:a16="http://schemas.microsoft.com/office/drawing/2014/main" id="{00000000-0008-0000-1200-00000502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673</xdr:row>
      <xdr:rowOff>21166</xdr:rowOff>
    </xdr:from>
    <xdr:to>
      <xdr:col>15</xdr:col>
      <xdr:colOff>560916</xdr:colOff>
      <xdr:row>676</xdr:row>
      <xdr:rowOff>84667</xdr:rowOff>
    </xdr:to>
    <xdr:cxnSp macro="">
      <xdr:nvCxnSpPr>
        <xdr:cNvPr id="518" name="Straight Arrow Connector 517">
          <a:extLst>
            <a:ext uri="{FF2B5EF4-FFF2-40B4-BE49-F238E27FC236}">
              <a16:creationId xmlns:a16="http://schemas.microsoft.com/office/drawing/2014/main" id="{00000000-0008-0000-1200-00000602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673</xdr:row>
      <xdr:rowOff>52916</xdr:rowOff>
    </xdr:from>
    <xdr:to>
      <xdr:col>15</xdr:col>
      <xdr:colOff>592666</xdr:colOff>
      <xdr:row>679</xdr:row>
      <xdr:rowOff>63501</xdr:rowOff>
    </xdr:to>
    <xdr:cxnSp macro="">
      <xdr:nvCxnSpPr>
        <xdr:cNvPr id="519" name="Straight Arrow Connector 518">
          <a:extLst>
            <a:ext uri="{FF2B5EF4-FFF2-40B4-BE49-F238E27FC236}">
              <a16:creationId xmlns:a16="http://schemas.microsoft.com/office/drawing/2014/main" id="{00000000-0008-0000-1200-00000702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670</xdr:row>
      <xdr:rowOff>52917</xdr:rowOff>
    </xdr:from>
    <xdr:to>
      <xdr:col>15</xdr:col>
      <xdr:colOff>603250</xdr:colOff>
      <xdr:row>672</xdr:row>
      <xdr:rowOff>148167</xdr:rowOff>
    </xdr:to>
    <xdr:cxnSp macro="">
      <xdr:nvCxnSpPr>
        <xdr:cNvPr id="520" name="Straight Arrow Connector 519">
          <a:extLst>
            <a:ext uri="{FF2B5EF4-FFF2-40B4-BE49-F238E27FC236}">
              <a16:creationId xmlns:a16="http://schemas.microsoft.com/office/drawing/2014/main" id="{00000000-0008-0000-1200-00000802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581</xdr:row>
      <xdr:rowOff>127000</xdr:rowOff>
    </xdr:from>
    <xdr:to>
      <xdr:col>8</xdr:col>
      <xdr:colOff>63500</xdr:colOff>
      <xdr:row>600</xdr:row>
      <xdr:rowOff>0</xdr:rowOff>
    </xdr:to>
    <xdr:cxnSp macro="">
      <xdr:nvCxnSpPr>
        <xdr:cNvPr id="521" name="Straight Arrow Connector 520">
          <a:extLst>
            <a:ext uri="{FF2B5EF4-FFF2-40B4-BE49-F238E27FC236}">
              <a16:creationId xmlns:a16="http://schemas.microsoft.com/office/drawing/2014/main" id="{00000000-0008-0000-1200-00000902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718</xdr:row>
      <xdr:rowOff>1</xdr:rowOff>
    </xdr:from>
    <xdr:to>
      <xdr:col>6</xdr:col>
      <xdr:colOff>0</xdr:colOff>
      <xdr:row>752</xdr:row>
      <xdr:rowOff>116417</xdr:rowOff>
    </xdr:to>
    <xdr:cxnSp macro="">
      <xdr:nvCxnSpPr>
        <xdr:cNvPr id="522" name="Straight Arrow Connector 521">
          <a:extLst>
            <a:ext uri="{FF2B5EF4-FFF2-40B4-BE49-F238E27FC236}">
              <a16:creationId xmlns:a16="http://schemas.microsoft.com/office/drawing/2014/main" id="{00000000-0008-0000-1200-00000A020000}"/>
            </a:ext>
          </a:extLst>
        </xdr:cNvPr>
        <xdr:cNvCxnSpPr/>
      </xdr:nvCxnSpPr>
      <xdr:spPr>
        <a:xfrm flipV="1">
          <a:off x="3714750" y="51244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755</xdr:row>
      <xdr:rowOff>169334</xdr:rowOff>
    </xdr:from>
    <xdr:to>
      <xdr:col>5</xdr:col>
      <xdr:colOff>571500</xdr:colOff>
      <xdr:row>824</xdr:row>
      <xdr:rowOff>0</xdr:rowOff>
    </xdr:to>
    <xdr:cxnSp macro="">
      <xdr:nvCxnSpPr>
        <xdr:cNvPr id="523" name="Straight Arrow Connector 522">
          <a:extLst>
            <a:ext uri="{FF2B5EF4-FFF2-40B4-BE49-F238E27FC236}">
              <a16:creationId xmlns:a16="http://schemas.microsoft.com/office/drawing/2014/main" id="{00000000-0008-0000-1200-00000B020000}"/>
            </a:ext>
          </a:extLst>
        </xdr:cNvPr>
        <xdr:cNvCxnSpPr/>
      </xdr:nvCxnSpPr>
      <xdr:spPr>
        <a:xfrm>
          <a:off x="379941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693</xdr:row>
      <xdr:rowOff>148167</xdr:rowOff>
    </xdr:from>
    <xdr:to>
      <xdr:col>7</xdr:col>
      <xdr:colOff>603250</xdr:colOff>
      <xdr:row>715</xdr:row>
      <xdr:rowOff>31750</xdr:rowOff>
    </xdr:to>
    <xdr:cxnSp macro="">
      <xdr:nvCxnSpPr>
        <xdr:cNvPr id="524" name="Straight Arrow Connector 523">
          <a:extLst>
            <a:ext uri="{FF2B5EF4-FFF2-40B4-BE49-F238E27FC236}">
              <a16:creationId xmlns:a16="http://schemas.microsoft.com/office/drawing/2014/main" id="{00000000-0008-0000-1200-00000C020000}"/>
            </a:ext>
          </a:extLst>
        </xdr:cNvPr>
        <xdr:cNvCxnSpPr/>
      </xdr:nvCxnSpPr>
      <xdr:spPr>
        <a:xfrm flipV="1">
          <a:off x="517525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718</xdr:row>
      <xdr:rowOff>10584</xdr:rowOff>
    </xdr:from>
    <xdr:to>
      <xdr:col>8</xdr:col>
      <xdr:colOff>21167</xdr:colOff>
      <xdr:row>746</xdr:row>
      <xdr:rowOff>148166</xdr:rowOff>
    </xdr:to>
    <xdr:cxnSp macro="">
      <xdr:nvCxnSpPr>
        <xdr:cNvPr id="525" name="Straight Arrow Connector 524">
          <a:extLst>
            <a:ext uri="{FF2B5EF4-FFF2-40B4-BE49-F238E27FC236}">
              <a16:creationId xmlns:a16="http://schemas.microsoft.com/office/drawing/2014/main" id="{00000000-0008-0000-1200-00000D020000}"/>
            </a:ext>
          </a:extLst>
        </xdr:cNvPr>
        <xdr:cNvCxnSpPr/>
      </xdr:nvCxnSpPr>
      <xdr:spPr>
        <a:xfrm>
          <a:off x="5175250" y="51255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685</xdr:row>
      <xdr:rowOff>137583</xdr:rowOff>
    </xdr:from>
    <xdr:to>
      <xdr:col>9</xdr:col>
      <xdr:colOff>603250</xdr:colOff>
      <xdr:row>691</xdr:row>
      <xdr:rowOff>21166</xdr:rowOff>
    </xdr:to>
    <xdr:cxnSp macro="">
      <xdr:nvCxnSpPr>
        <xdr:cNvPr id="526" name="Straight Arrow Connector 525">
          <a:extLst>
            <a:ext uri="{FF2B5EF4-FFF2-40B4-BE49-F238E27FC236}">
              <a16:creationId xmlns:a16="http://schemas.microsoft.com/office/drawing/2014/main" id="{00000000-0008-0000-1200-00000E020000}"/>
            </a:ext>
          </a:extLst>
        </xdr:cNvPr>
        <xdr:cNvCxnSpPr/>
      </xdr:nvCxnSpPr>
      <xdr:spPr>
        <a:xfrm flipV="1">
          <a:off x="6381750"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694</xdr:row>
      <xdr:rowOff>0</xdr:rowOff>
    </xdr:from>
    <xdr:to>
      <xdr:col>9</xdr:col>
      <xdr:colOff>582083</xdr:colOff>
      <xdr:row>702</xdr:row>
      <xdr:rowOff>10583</xdr:rowOff>
    </xdr:to>
    <xdr:cxnSp macro="">
      <xdr:nvCxnSpPr>
        <xdr:cNvPr id="527" name="Straight Arrow Connector 526">
          <a:extLst>
            <a:ext uri="{FF2B5EF4-FFF2-40B4-BE49-F238E27FC236}">
              <a16:creationId xmlns:a16="http://schemas.microsoft.com/office/drawing/2014/main" id="{00000000-0008-0000-1200-00000F020000}"/>
            </a:ext>
          </a:extLst>
        </xdr:cNvPr>
        <xdr:cNvCxnSpPr/>
      </xdr:nvCxnSpPr>
      <xdr:spPr>
        <a:xfrm>
          <a:off x="6413500"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699</xdr:row>
      <xdr:rowOff>169333</xdr:rowOff>
    </xdr:from>
    <xdr:to>
      <xdr:col>11</xdr:col>
      <xdr:colOff>603250</xdr:colOff>
      <xdr:row>702</xdr:row>
      <xdr:rowOff>21167</xdr:rowOff>
    </xdr:to>
    <xdr:cxnSp macro="">
      <xdr:nvCxnSpPr>
        <xdr:cNvPr id="528" name="Straight Arrow Connector 527">
          <a:extLst>
            <a:ext uri="{FF2B5EF4-FFF2-40B4-BE49-F238E27FC236}">
              <a16:creationId xmlns:a16="http://schemas.microsoft.com/office/drawing/2014/main" id="{00000000-0008-0000-1200-000010020000}"/>
            </a:ext>
          </a:extLst>
        </xdr:cNvPr>
        <xdr:cNvCxnSpPr/>
      </xdr:nvCxnSpPr>
      <xdr:spPr>
        <a:xfrm flipV="1">
          <a:off x="7609417"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705</xdr:row>
      <xdr:rowOff>42333</xdr:rowOff>
    </xdr:from>
    <xdr:to>
      <xdr:col>11</xdr:col>
      <xdr:colOff>603250</xdr:colOff>
      <xdr:row>717</xdr:row>
      <xdr:rowOff>10583</xdr:rowOff>
    </xdr:to>
    <xdr:cxnSp macro="">
      <xdr:nvCxnSpPr>
        <xdr:cNvPr id="529" name="Straight Arrow Connector 528">
          <a:extLst>
            <a:ext uri="{FF2B5EF4-FFF2-40B4-BE49-F238E27FC236}">
              <a16:creationId xmlns:a16="http://schemas.microsoft.com/office/drawing/2014/main" id="{00000000-0008-0000-1200-000011020000}"/>
            </a:ext>
          </a:extLst>
        </xdr:cNvPr>
        <xdr:cNvCxnSpPr/>
      </xdr:nvCxnSpPr>
      <xdr:spPr>
        <a:xfrm>
          <a:off x="7598834"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695</xdr:row>
      <xdr:rowOff>21167</xdr:rowOff>
    </xdr:from>
    <xdr:to>
      <xdr:col>13</xdr:col>
      <xdr:colOff>592667</xdr:colOff>
      <xdr:row>697</xdr:row>
      <xdr:rowOff>0</xdr:rowOff>
    </xdr:to>
    <xdr:cxnSp macro="">
      <xdr:nvCxnSpPr>
        <xdr:cNvPr id="530" name="Straight Arrow Connector 529">
          <a:extLst>
            <a:ext uri="{FF2B5EF4-FFF2-40B4-BE49-F238E27FC236}">
              <a16:creationId xmlns:a16="http://schemas.microsoft.com/office/drawing/2014/main" id="{00000000-0008-0000-1200-000012020000}"/>
            </a:ext>
          </a:extLst>
        </xdr:cNvPr>
        <xdr:cNvCxnSpPr/>
      </xdr:nvCxnSpPr>
      <xdr:spPr>
        <a:xfrm flipV="1">
          <a:off x="8794750" y="46693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700</xdr:row>
      <xdr:rowOff>21166</xdr:rowOff>
    </xdr:from>
    <xdr:to>
      <xdr:col>13</xdr:col>
      <xdr:colOff>592667</xdr:colOff>
      <xdr:row>701</xdr:row>
      <xdr:rowOff>169334</xdr:rowOff>
    </xdr:to>
    <xdr:cxnSp macro="">
      <xdr:nvCxnSpPr>
        <xdr:cNvPr id="531" name="Straight Arrow Connector 530">
          <a:extLst>
            <a:ext uri="{FF2B5EF4-FFF2-40B4-BE49-F238E27FC236}">
              <a16:creationId xmlns:a16="http://schemas.microsoft.com/office/drawing/2014/main" id="{00000000-0008-0000-1200-000013020000}"/>
            </a:ext>
          </a:extLst>
        </xdr:cNvPr>
        <xdr:cNvCxnSpPr/>
      </xdr:nvCxnSpPr>
      <xdr:spPr>
        <a:xfrm>
          <a:off x="8784166" y="47646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715</xdr:row>
      <xdr:rowOff>21167</xdr:rowOff>
    </xdr:from>
    <xdr:to>
      <xdr:col>13</xdr:col>
      <xdr:colOff>592667</xdr:colOff>
      <xdr:row>717</xdr:row>
      <xdr:rowOff>63500</xdr:rowOff>
    </xdr:to>
    <xdr:cxnSp macro="">
      <xdr:nvCxnSpPr>
        <xdr:cNvPr id="532" name="Straight Arrow Connector 531">
          <a:extLst>
            <a:ext uri="{FF2B5EF4-FFF2-40B4-BE49-F238E27FC236}">
              <a16:creationId xmlns:a16="http://schemas.microsoft.com/office/drawing/2014/main" id="{00000000-0008-0000-1200-000014020000}"/>
            </a:ext>
          </a:extLst>
        </xdr:cNvPr>
        <xdr:cNvCxnSpPr/>
      </xdr:nvCxnSpPr>
      <xdr:spPr>
        <a:xfrm flipV="1">
          <a:off x="879475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720</xdr:row>
      <xdr:rowOff>0</xdr:rowOff>
    </xdr:from>
    <xdr:to>
      <xdr:col>14</xdr:col>
      <xdr:colOff>10584</xdr:colOff>
      <xdr:row>728</xdr:row>
      <xdr:rowOff>148167</xdr:rowOff>
    </xdr:to>
    <xdr:cxnSp macro="">
      <xdr:nvCxnSpPr>
        <xdr:cNvPr id="533" name="Straight Arrow Connector 532">
          <a:extLst>
            <a:ext uri="{FF2B5EF4-FFF2-40B4-BE49-F238E27FC236}">
              <a16:creationId xmlns:a16="http://schemas.microsoft.com/office/drawing/2014/main" id="{00000000-0008-0000-1200-000015020000}"/>
            </a:ext>
          </a:extLst>
        </xdr:cNvPr>
        <xdr:cNvCxnSpPr/>
      </xdr:nvCxnSpPr>
      <xdr:spPr>
        <a:xfrm>
          <a:off x="8805333" y="51625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687</xdr:row>
      <xdr:rowOff>0</xdr:rowOff>
    </xdr:from>
    <xdr:to>
      <xdr:col>15</xdr:col>
      <xdr:colOff>603250</xdr:colOff>
      <xdr:row>692</xdr:row>
      <xdr:rowOff>31750</xdr:rowOff>
    </xdr:to>
    <xdr:cxnSp macro="">
      <xdr:nvCxnSpPr>
        <xdr:cNvPr id="534" name="Straight Arrow Connector 533">
          <a:extLst>
            <a:ext uri="{FF2B5EF4-FFF2-40B4-BE49-F238E27FC236}">
              <a16:creationId xmlns:a16="http://schemas.microsoft.com/office/drawing/2014/main" id="{00000000-0008-0000-1200-000016020000}"/>
            </a:ext>
          </a:extLst>
        </xdr:cNvPr>
        <xdr:cNvCxnSpPr/>
      </xdr:nvCxnSpPr>
      <xdr:spPr>
        <a:xfrm flipV="1">
          <a:off x="10541000"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690</xdr:row>
      <xdr:rowOff>52917</xdr:rowOff>
    </xdr:from>
    <xdr:to>
      <xdr:col>15</xdr:col>
      <xdr:colOff>603250</xdr:colOff>
      <xdr:row>692</xdr:row>
      <xdr:rowOff>95250</xdr:rowOff>
    </xdr:to>
    <xdr:cxnSp macro="">
      <xdr:nvCxnSpPr>
        <xdr:cNvPr id="535" name="Straight Arrow Connector 534">
          <a:extLst>
            <a:ext uri="{FF2B5EF4-FFF2-40B4-BE49-F238E27FC236}">
              <a16:creationId xmlns:a16="http://schemas.microsoft.com/office/drawing/2014/main" id="{00000000-0008-0000-1200-000017020000}"/>
            </a:ext>
          </a:extLst>
        </xdr:cNvPr>
        <xdr:cNvCxnSpPr/>
      </xdr:nvCxnSpPr>
      <xdr:spPr>
        <a:xfrm flipV="1">
          <a:off x="10583333"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692</xdr:row>
      <xdr:rowOff>158750</xdr:rowOff>
    </xdr:from>
    <xdr:to>
      <xdr:col>15</xdr:col>
      <xdr:colOff>582083</xdr:colOff>
      <xdr:row>693</xdr:row>
      <xdr:rowOff>137583</xdr:rowOff>
    </xdr:to>
    <xdr:cxnSp macro="">
      <xdr:nvCxnSpPr>
        <xdr:cNvPr id="536" name="Straight Arrow Connector 535">
          <a:extLst>
            <a:ext uri="{FF2B5EF4-FFF2-40B4-BE49-F238E27FC236}">
              <a16:creationId xmlns:a16="http://schemas.microsoft.com/office/drawing/2014/main" id="{00000000-0008-0000-1200-000018020000}"/>
            </a:ext>
          </a:extLst>
        </xdr:cNvPr>
        <xdr:cNvCxnSpPr/>
      </xdr:nvCxnSpPr>
      <xdr:spPr>
        <a:xfrm>
          <a:off x="10604500"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692</xdr:row>
      <xdr:rowOff>105834</xdr:rowOff>
    </xdr:from>
    <xdr:to>
      <xdr:col>16</xdr:col>
      <xdr:colOff>0</xdr:colOff>
      <xdr:row>696</xdr:row>
      <xdr:rowOff>84667</xdr:rowOff>
    </xdr:to>
    <xdr:cxnSp macro="">
      <xdr:nvCxnSpPr>
        <xdr:cNvPr id="537" name="Straight Arrow Connector 536">
          <a:extLst>
            <a:ext uri="{FF2B5EF4-FFF2-40B4-BE49-F238E27FC236}">
              <a16:creationId xmlns:a16="http://schemas.microsoft.com/office/drawing/2014/main" id="{00000000-0008-0000-1200-000019020000}"/>
            </a:ext>
          </a:extLst>
        </xdr:cNvPr>
        <xdr:cNvCxnSpPr/>
      </xdr:nvCxnSpPr>
      <xdr:spPr>
        <a:xfrm>
          <a:off x="10519834" y="46206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700</xdr:row>
      <xdr:rowOff>52916</xdr:rowOff>
    </xdr:from>
    <xdr:to>
      <xdr:col>16</xdr:col>
      <xdr:colOff>0</xdr:colOff>
      <xdr:row>702</xdr:row>
      <xdr:rowOff>0</xdr:rowOff>
    </xdr:to>
    <xdr:cxnSp macro="">
      <xdr:nvCxnSpPr>
        <xdr:cNvPr id="538" name="Straight Arrow Connector 537">
          <a:extLst>
            <a:ext uri="{FF2B5EF4-FFF2-40B4-BE49-F238E27FC236}">
              <a16:creationId xmlns:a16="http://schemas.microsoft.com/office/drawing/2014/main" id="{00000000-0008-0000-1200-00001A020000}"/>
            </a:ext>
          </a:extLst>
        </xdr:cNvPr>
        <xdr:cNvCxnSpPr/>
      </xdr:nvCxnSpPr>
      <xdr:spPr>
        <a:xfrm flipV="1">
          <a:off x="10541000" y="47677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702</xdr:row>
      <xdr:rowOff>21167</xdr:rowOff>
    </xdr:from>
    <xdr:to>
      <xdr:col>15</xdr:col>
      <xdr:colOff>582083</xdr:colOff>
      <xdr:row>703</xdr:row>
      <xdr:rowOff>42333</xdr:rowOff>
    </xdr:to>
    <xdr:cxnSp macro="">
      <xdr:nvCxnSpPr>
        <xdr:cNvPr id="539" name="Straight Arrow Connector 538">
          <a:extLst>
            <a:ext uri="{FF2B5EF4-FFF2-40B4-BE49-F238E27FC236}">
              <a16:creationId xmlns:a16="http://schemas.microsoft.com/office/drawing/2014/main" id="{00000000-0008-0000-1200-00001B020000}"/>
            </a:ext>
          </a:extLst>
        </xdr:cNvPr>
        <xdr:cNvCxnSpPr/>
      </xdr:nvCxnSpPr>
      <xdr:spPr>
        <a:xfrm>
          <a:off x="10551583"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702</xdr:row>
      <xdr:rowOff>21167</xdr:rowOff>
    </xdr:from>
    <xdr:to>
      <xdr:col>16</xdr:col>
      <xdr:colOff>42333</xdr:colOff>
      <xdr:row>707</xdr:row>
      <xdr:rowOff>21168</xdr:rowOff>
    </xdr:to>
    <xdr:cxnSp macro="">
      <xdr:nvCxnSpPr>
        <xdr:cNvPr id="540" name="Straight Arrow Connector 539">
          <a:extLst>
            <a:ext uri="{FF2B5EF4-FFF2-40B4-BE49-F238E27FC236}">
              <a16:creationId xmlns:a16="http://schemas.microsoft.com/office/drawing/2014/main" id="{00000000-0008-0000-1200-00001C020000}"/>
            </a:ext>
          </a:extLst>
        </xdr:cNvPr>
        <xdr:cNvCxnSpPr/>
      </xdr:nvCxnSpPr>
      <xdr:spPr>
        <a:xfrm>
          <a:off x="10530417" y="48027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541" name="Straight Arrow Connector 540">
          <a:extLst>
            <a:ext uri="{FF2B5EF4-FFF2-40B4-BE49-F238E27FC236}">
              <a16:creationId xmlns:a16="http://schemas.microsoft.com/office/drawing/2014/main" id="{00000000-0008-0000-1200-00001D020000}"/>
            </a:ext>
          </a:extLst>
        </xdr:cNvPr>
        <xdr:cNvCxnSpPr/>
      </xdr:nvCxnSpPr>
      <xdr:spPr>
        <a:xfrm>
          <a:off x="10541000" y="48037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739</xdr:row>
      <xdr:rowOff>42333</xdr:rowOff>
    </xdr:from>
    <xdr:to>
      <xdr:col>9</xdr:col>
      <xdr:colOff>592666</xdr:colOff>
      <xdr:row>747</xdr:row>
      <xdr:rowOff>42333</xdr:rowOff>
    </xdr:to>
    <xdr:cxnSp macro="">
      <xdr:nvCxnSpPr>
        <xdr:cNvPr id="542" name="Straight Arrow Connector 541">
          <a:extLst>
            <a:ext uri="{FF2B5EF4-FFF2-40B4-BE49-F238E27FC236}">
              <a16:creationId xmlns:a16="http://schemas.microsoft.com/office/drawing/2014/main" id="{00000000-0008-0000-1200-00001E020000}"/>
            </a:ext>
          </a:extLst>
        </xdr:cNvPr>
        <xdr:cNvCxnSpPr/>
      </xdr:nvCxnSpPr>
      <xdr:spPr>
        <a:xfrm flipV="1">
          <a:off x="6392333"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749</xdr:row>
      <xdr:rowOff>169334</xdr:rowOff>
    </xdr:from>
    <xdr:to>
      <xdr:col>9</xdr:col>
      <xdr:colOff>603250</xdr:colOff>
      <xdr:row>758</xdr:row>
      <xdr:rowOff>31750</xdr:rowOff>
    </xdr:to>
    <xdr:cxnSp macro="">
      <xdr:nvCxnSpPr>
        <xdr:cNvPr id="543" name="Straight Arrow Connector 542">
          <a:extLst>
            <a:ext uri="{FF2B5EF4-FFF2-40B4-BE49-F238E27FC236}">
              <a16:creationId xmlns:a16="http://schemas.microsoft.com/office/drawing/2014/main" id="{00000000-0008-0000-1200-00001F020000}"/>
            </a:ext>
          </a:extLst>
        </xdr:cNvPr>
        <xdr:cNvCxnSpPr/>
      </xdr:nvCxnSpPr>
      <xdr:spPr>
        <a:xfrm>
          <a:off x="6413500"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755</xdr:row>
      <xdr:rowOff>158750</xdr:rowOff>
    </xdr:from>
    <xdr:to>
      <xdr:col>11</xdr:col>
      <xdr:colOff>571500</xdr:colOff>
      <xdr:row>758</xdr:row>
      <xdr:rowOff>0</xdr:rowOff>
    </xdr:to>
    <xdr:cxnSp macro="">
      <xdr:nvCxnSpPr>
        <xdr:cNvPr id="544" name="Straight Arrow Connector 543">
          <a:extLst>
            <a:ext uri="{FF2B5EF4-FFF2-40B4-BE49-F238E27FC236}">
              <a16:creationId xmlns:a16="http://schemas.microsoft.com/office/drawing/2014/main" id="{00000000-0008-0000-1200-000020020000}"/>
            </a:ext>
          </a:extLst>
        </xdr:cNvPr>
        <xdr:cNvCxnSpPr/>
      </xdr:nvCxnSpPr>
      <xdr:spPr>
        <a:xfrm flipV="1">
          <a:off x="7556500" y="58451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713</xdr:row>
      <xdr:rowOff>0</xdr:rowOff>
    </xdr:from>
    <xdr:to>
      <xdr:col>15</xdr:col>
      <xdr:colOff>603250</xdr:colOff>
      <xdr:row>715</xdr:row>
      <xdr:rowOff>1</xdr:rowOff>
    </xdr:to>
    <xdr:cxnSp macro="">
      <xdr:nvCxnSpPr>
        <xdr:cNvPr id="545" name="Straight Arrow Connector 544">
          <a:extLst>
            <a:ext uri="{FF2B5EF4-FFF2-40B4-BE49-F238E27FC236}">
              <a16:creationId xmlns:a16="http://schemas.microsoft.com/office/drawing/2014/main" id="{00000000-0008-0000-1200-000021020000}"/>
            </a:ext>
          </a:extLst>
        </xdr:cNvPr>
        <xdr:cNvCxnSpPr/>
      </xdr:nvCxnSpPr>
      <xdr:spPr>
        <a:xfrm flipV="1">
          <a:off x="10530417"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715</xdr:row>
      <xdr:rowOff>10584</xdr:rowOff>
    </xdr:from>
    <xdr:to>
      <xdr:col>15</xdr:col>
      <xdr:colOff>592666</xdr:colOff>
      <xdr:row>716</xdr:row>
      <xdr:rowOff>95250</xdr:rowOff>
    </xdr:to>
    <xdr:cxnSp macro="">
      <xdr:nvCxnSpPr>
        <xdr:cNvPr id="546" name="Straight Arrow Connector 545">
          <a:extLst>
            <a:ext uri="{FF2B5EF4-FFF2-40B4-BE49-F238E27FC236}">
              <a16:creationId xmlns:a16="http://schemas.microsoft.com/office/drawing/2014/main" id="{00000000-0008-0000-1200-000022020000}"/>
            </a:ext>
          </a:extLst>
        </xdr:cNvPr>
        <xdr:cNvCxnSpPr/>
      </xdr:nvCxnSpPr>
      <xdr:spPr>
        <a:xfrm>
          <a:off x="10572750"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715</xdr:row>
      <xdr:rowOff>10584</xdr:rowOff>
    </xdr:from>
    <xdr:to>
      <xdr:col>15</xdr:col>
      <xdr:colOff>560916</xdr:colOff>
      <xdr:row>719</xdr:row>
      <xdr:rowOff>52917</xdr:rowOff>
    </xdr:to>
    <xdr:cxnSp macro="">
      <xdr:nvCxnSpPr>
        <xdr:cNvPr id="547" name="Straight Arrow Connector 546">
          <a:extLst>
            <a:ext uri="{FF2B5EF4-FFF2-40B4-BE49-F238E27FC236}">
              <a16:creationId xmlns:a16="http://schemas.microsoft.com/office/drawing/2014/main" id="{00000000-0008-0000-1200-000023020000}"/>
            </a:ext>
          </a:extLst>
        </xdr:cNvPr>
        <xdr:cNvCxnSpPr/>
      </xdr:nvCxnSpPr>
      <xdr:spPr>
        <a:xfrm>
          <a:off x="10551583"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548" name="Straight Arrow Connector 547">
          <a:extLst>
            <a:ext uri="{FF2B5EF4-FFF2-40B4-BE49-F238E27FC236}">
              <a16:creationId xmlns:a16="http://schemas.microsoft.com/office/drawing/2014/main" id="{00000000-0008-0000-1200-000024020000}"/>
            </a:ext>
          </a:extLst>
        </xdr:cNvPr>
        <xdr:cNvCxnSpPr/>
      </xdr:nvCxnSpPr>
      <xdr:spPr>
        <a:xfrm>
          <a:off x="10583333" y="50704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729</xdr:row>
      <xdr:rowOff>0</xdr:rowOff>
    </xdr:from>
    <xdr:to>
      <xdr:col>16</xdr:col>
      <xdr:colOff>0</xdr:colOff>
      <xdr:row>729</xdr:row>
      <xdr:rowOff>42334</xdr:rowOff>
    </xdr:to>
    <xdr:cxnSp macro="">
      <xdr:nvCxnSpPr>
        <xdr:cNvPr id="549" name="Straight Arrow Connector 548">
          <a:extLst>
            <a:ext uri="{FF2B5EF4-FFF2-40B4-BE49-F238E27FC236}">
              <a16:creationId xmlns:a16="http://schemas.microsoft.com/office/drawing/2014/main" id="{00000000-0008-0000-1200-000025020000}"/>
            </a:ext>
          </a:extLst>
        </xdr:cNvPr>
        <xdr:cNvCxnSpPr/>
      </xdr:nvCxnSpPr>
      <xdr:spPr>
        <a:xfrm>
          <a:off x="10562166" y="53340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729</xdr:row>
      <xdr:rowOff>21166</xdr:rowOff>
    </xdr:from>
    <xdr:to>
      <xdr:col>15</xdr:col>
      <xdr:colOff>560916</xdr:colOff>
      <xdr:row>732</xdr:row>
      <xdr:rowOff>84667</xdr:rowOff>
    </xdr:to>
    <xdr:cxnSp macro="">
      <xdr:nvCxnSpPr>
        <xdr:cNvPr id="550" name="Straight Arrow Connector 549">
          <a:extLst>
            <a:ext uri="{FF2B5EF4-FFF2-40B4-BE49-F238E27FC236}">
              <a16:creationId xmlns:a16="http://schemas.microsoft.com/office/drawing/2014/main" id="{00000000-0008-0000-1200-000026020000}"/>
            </a:ext>
          </a:extLst>
        </xdr:cNvPr>
        <xdr:cNvCxnSpPr/>
      </xdr:nvCxnSpPr>
      <xdr:spPr>
        <a:xfrm>
          <a:off x="10615083"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729</xdr:row>
      <xdr:rowOff>52916</xdr:rowOff>
    </xdr:from>
    <xdr:to>
      <xdr:col>15</xdr:col>
      <xdr:colOff>592666</xdr:colOff>
      <xdr:row>735</xdr:row>
      <xdr:rowOff>63501</xdr:rowOff>
    </xdr:to>
    <xdr:cxnSp macro="">
      <xdr:nvCxnSpPr>
        <xdr:cNvPr id="551" name="Straight Arrow Connector 550">
          <a:extLst>
            <a:ext uri="{FF2B5EF4-FFF2-40B4-BE49-F238E27FC236}">
              <a16:creationId xmlns:a16="http://schemas.microsoft.com/office/drawing/2014/main" id="{00000000-0008-0000-1200-000027020000}"/>
            </a:ext>
          </a:extLst>
        </xdr:cNvPr>
        <xdr:cNvCxnSpPr/>
      </xdr:nvCxnSpPr>
      <xdr:spPr>
        <a:xfrm>
          <a:off x="10572750"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743</xdr:row>
      <xdr:rowOff>116416</xdr:rowOff>
    </xdr:from>
    <xdr:to>
      <xdr:col>15</xdr:col>
      <xdr:colOff>592666</xdr:colOff>
      <xdr:row>746</xdr:row>
      <xdr:rowOff>158750</xdr:rowOff>
    </xdr:to>
    <xdr:cxnSp macro="">
      <xdr:nvCxnSpPr>
        <xdr:cNvPr id="552" name="Straight Arrow Connector 551">
          <a:extLst>
            <a:ext uri="{FF2B5EF4-FFF2-40B4-BE49-F238E27FC236}">
              <a16:creationId xmlns:a16="http://schemas.microsoft.com/office/drawing/2014/main" id="{00000000-0008-0000-1200-000028020000}"/>
            </a:ext>
          </a:extLst>
        </xdr:cNvPr>
        <xdr:cNvCxnSpPr/>
      </xdr:nvCxnSpPr>
      <xdr:spPr>
        <a:xfrm flipV="1">
          <a:off x="10562166"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745</xdr:row>
      <xdr:rowOff>95250</xdr:rowOff>
    </xdr:from>
    <xdr:to>
      <xdr:col>15</xdr:col>
      <xdr:colOff>582083</xdr:colOff>
      <xdr:row>747</xdr:row>
      <xdr:rowOff>52917</xdr:rowOff>
    </xdr:to>
    <xdr:cxnSp macro="">
      <xdr:nvCxnSpPr>
        <xdr:cNvPr id="553" name="Straight Arrow Connector 552">
          <a:extLst>
            <a:ext uri="{FF2B5EF4-FFF2-40B4-BE49-F238E27FC236}">
              <a16:creationId xmlns:a16="http://schemas.microsoft.com/office/drawing/2014/main" id="{00000000-0008-0000-1200-000029020000}"/>
            </a:ext>
          </a:extLst>
        </xdr:cNvPr>
        <xdr:cNvCxnSpPr/>
      </xdr:nvCxnSpPr>
      <xdr:spPr>
        <a:xfrm flipV="1">
          <a:off x="10604500"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747</xdr:row>
      <xdr:rowOff>116417</xdr:rowOff>
    </xdr:from>
    <xdr:to>
      <xdr:col>15</xdr:col>
      <xdr:colOff>592666</xdr:colOff>
      <xdr:row>751</xdr:row>
      <xdr:rowOff>95250</xdr:rowOff>
    </xdr:to>
    <xdr:cxnSp macro="">
      <xdr:nvCxnSpPr>
        <xdr:cNvPr id="554" name="Straight Arrow Connector 553">
          <a:extLst>
            <a:ext uri="{FF2B5EF4-FFF2-40B4-BE49-F238E27FC236}">
              <a16:creationId xmlns:a16="http://schemas.microsoft.com/office/drawing/2014/main" id="{00000000-0008-0000-1200-00002A020000}"/>
            </a:ext>
          </a:extLst>
        </xdr:cNvPr>
        <xdr:cNvCxnSpPr/>
      </xdr:nvCxnSpPr>
      <xdr:spPr>
        <a:xfrm>
          <a:off x="10593916"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758</xdr:row>
      <xdr:rowOff>116416</xdr:rowOff>
    </xdr:from>
    <xdr:to>
      <xdr:col>16</xdr:col>
      <xdr:colOff>0</xdr:colOff>
      <xdr:row>765</xdr:row>
      <xdr:rowOff>74084</xdr:rowOff>
    </xdr:to>
    <xdr:cxnSp macro="">
      <xdr:nvCxnSpPr>
        <xdr:cNvPr id="555" name="Straight Arrow Connector 554">
          <a:extLst>
            <a:ext uri="{FF2B5EF4-FFF2-40B4-BE49-F238E27FC236}">
              <a16:creationId xmlns:a16="http://schemas.microsoft.com/office/drawing/2014/main" id="{00000000-0008-0000-1200-00002B020000}"/>
            </a:ext>
          </a:extLst>
        </xdr:cNvPr>
        <xdr:cNvCxnSpPr/>
      </xdr:nvCxnSpPr>
      <xdr:spPr>
        <a:xfrm>
          <a:off x="10572750" y="58980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726</xdr:row>
      <xdr:rowOff>52917</xdr:rowOff>
    </xdr:from>
    <xdr:to>
      <xdr:col>15</xdr:col>
      <xdr:colOff>603250</xdr:colOff>
      <xdr:row>728</xdr:row>
      <xdr:rowOff>148167</xdr:rowOff>
    </xdr:to>
    <xdr:cxnSp macro="">
      <xdr:nvCxnSpPr>
        <xdr:cNvPr id="556" name="Straight Arrow Connector 555">
          <a:extLst>
            <a:ext uri="{FF2B5EF4-FFF2-40B4-BE49-F238E27FC236}">
              <a16:creationId xmlns:a16="http://schemas.microsoft.com/office/drawing/2014/main" id="{00000000-0008-0000-1200-00002C020000}"/>
            </a:ext>
          </a:extLst>
        </xdr:cNvPr>
        <xdr:cNvCxnSpPr/>
      </xdr:nvCxnSpPr>
      <xdr:spPr>
        <a:xfrm flipV="1">
          <a:off x="10583333"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761</xdr:row>
      <xdr:rowOff>42333</xdr:rowOff>
    </xdr:from>
    <xdr:to>
      <xdr:col>11</xdr:col>
      <xdr:colOff>603250</xdr:colOff>
      <xdr:row>773</xdr:row>
      <xdr:rowOff>10583</xdr:rowOff>
    </xdr:to>
    <xdr:cxnSp macro="">
      <xdr:nvCxnSpPr>
        <xdr:cNvPr id="557" name="Straight Arrow Connector 556">
          <a:extLst>
            <a:ext uri="{FF2B5EF4-FFF2-40B4-BE49-F238E27FC236}">
              <a16:creationId xmlns:a16="http://schemas.microsoft.com/office/drawing/2014/main" id="{00000000-0008-0000-1200-00002D020000}"/>
            </a:ext>
          </a:extLst>
        </xdr:cNvPr>
        <xdr:cNvCxnSpPr/>
      </xdr:nvCxnSpPr>
      <xdr:spPr>
        <a:xfrm>
          <a:off x="7598834"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751</xdr:row>
      <xdr:rowOff>21167</xdr:rowOff>
    </xdr:from>
    <xdr:to>
      <xdr:col>13</xdr:col>
      <xdr:colOff>592667</xdr:colOff>
      <xdr:row>753</xdr:row>
      <xdr:rowOff>0</xdr:rowOff>
    </xdr:to>
    <xdr:cxnSp macro="">
      <xdr:nvCxnSpPr>
        <xdr:cNvPr id="558" name="Straight Arrow Connector 557">
          <a:extLst>
            <a:ext uri="{FF2B5EF4-FFF2-40B4-BE49-F238E27FC236}">
              <a16:creationId xmlns:a16="http://schemas.microsoft.com/office/drawing/2014/main" id="{00000000-0008-0000-1200-00002E020000}"/>
            </a:ext>
          </a:extLst>
        </xdr:cNvPr>
        <xdr:cNvCxnSpPr/>
      </xdr:nvCxnSpPr>
      <xdr:spPr>
        <a:xfrm flipV="1">
          <a:off x="8794750" y="57552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756</xdr:row>
      <xdr:rowOff>21166</xdr:rowOff>
    </xdr:from>
    <xdr:to>
      <xdr:col>13</xdr:col>
      <xdr:colOff>592667</xdr:colOff>
      <xdr:row>757</xdr:row>
      <xdr:rowOff>169334</xdr:rowOff>
    </xdr:to>
    <xdr:cxnSp macro="">
      <xdr:nvCxnSpPr>
        <xdr:cNvPr id="559" name="Straight Arrow Connector 558">
          <a:extLst>
            <a:ext uri="{FF2B5EF4-FFF2-40B4-BE49-F238E27FC236}">
              <a16:creationId xmlns:a16="http://schemas.microsoft.com/office/drawing/2014/main" id="{00000000-0008-0000-1200-00002F020000}"/>
            </a:ext>
          </a:extLst>
        </xdr:cNvPr>
        <xdr:cNvCxnSpPr/>
      </xdr:nvCxnSpPr>
      <xdr:spPr>
        <a:xfrm>
          <a:off x="8784166" y="58504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771</xdr:row>
      <xdr:rowOff>21167</xdr:rowOff>
    </xdr:from>
    <xdr:to>
      <xdr:col>13</xdr:col>
      <xdr:colOff>592667</xdr:colOff>
      <xdr:row>773</xdr:row>
      <xdr:rowOff>63500</xdr:rowOff>
    </xdr:to>
    <xdr:cxnSp macro="">
      <xdr:nvCxnSpPr>
        <xdr:cNvPr id="560" name="Straight Arrow Connector 559">
          <a:extLst>
            <a:ext uri="{FF2B5EF4-FFF2-40B4-BE49-F238E27FC236}">
              <a16:creationId xmlns:a16="http://schemas.microsoft.com/office/drawing/2014/main" id="{00000000-0008-0000-1200-000030020000}"/>
            </a:ext>
          </a:extLst>
        </xdr:cNvPr>
        <xdr:cNvCxnSpPr/>
      </xdr:nvCxnSpPr>
      <xdr:spPr>
        <a:xfrm flipV="1">
          <a:off x="879475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776</xdr:row>
      <xdr:rowOff>0</xdr:rowOff>
    </xdr:from>
    <xdr:to>
      <xdr:col>14</xdr:col>
      <xdr:colOff>10584</xdr:colOff>
      <xdr:row>784</xdr:row>
      <xdr:rowOff>148167</xdr:rowOff>
    </xdr:to>
    <xdr:cxnSp macro="">
      <xdr:nvCxnSpPr>
        <xdr:cNvPr id="561" name="Straight Arrow Connector 560">
          <a:extLst>
            <a:ext uri="{FF2B5EF4-FFF2-40B4-BE49-F238E27FC236}">
              <a16:creationId xmlns:a16="http://schemas.microsoft.com/office/drawing/2014/main" id="{00000000-0008-0000-1200-000031020000}"/>
            </a:ext>
          </a:extLst>
        </xdr:cNvPr>
        <xdr:cNvCxnSpPr/>
      </xdr:nvCxnSpPr>
      <xdr:spPr>
        <a:xfrm>
          <a:off x="8805333" y="62484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747</xdr:row>
      <xdr:rowOff>95250</xdr:rowOff>
    </xdr:from>
    <xdr:to>
      <xdr:col>15</xdr:col>
      <xdr:colOff>582083</xdr:colOff>
      <xdr:row>749</xdr:row>
      <xdr:rowOff>137583</xdr:rowOff>
    </xdr:to>
    <xdr:cxnSp macro="">
      <xdr:nvCxnSpPr>
        <xdr:cNvPr id="562" name="Straight Arrow Connector 561">
          <a:extLst>
            <a:ext uri="{FF2B5EF4-FFF2-40B4-BE49-F238E27FC236}">
              <a16:creationId xmlns:a16="http://schemas.microsoft.com/office/drawing/2014/main" id="{00000000-0008-0000-1200-000032020000}"/>
            </a:ext>
          </a:extLst>
        </xdr:cNvPr>
        <xdr:cNvCxnSpPr/>
      </xdr:nvCxnSpPr>
      <xdr:spPr>
        <a:xfrm>
          <a:off x="10593916"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756</xdr:row>
      <xdr:rowOff>52916</xdr:rowOff>
    </xdr:from>
    <xdr:to>
      <xdr:col>16</xdr:col>
      <xdr:colOff>0</xdr:colOff>
      <xdr:row>758</xdr:row>
      <xdr:rowOff>0</xdr:rowOff>
    </xdr:to>
    <xdr:cxnSp macro="">
      <xdr:nvCxnSpPr>
        <xdr:cNvPr id="563" name="Straight Arrow Connector 562">
          <a:extLst>
            <a:ext uri="{FF2B5EF4-FFF2-40B4-BE49-F238E27FC236}">
              <a16:creationId xmlns:a16="http://schemas.microsoft.com/office/drawing/2014/main" id="{00000000-0008-0000-1200-000033020000}"/>
            </a:ext>
          </a:extLst>
        </xdr:cNvPr>
        <xdr:cNvCxnSpPr/>
      </xdr:nvCxnSpPr>
      <xdr:spPr>
        <a:xfrm flipV="1">
          <a:off x="10541000" y="58536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758</xdr:row>
      <xdr:rowOff>21167</xdr:rowOff>
    </xdr:from>
    <xdr:to>
      <xdr:col>15</xdr:col>
      <xdr:colOff>592666</xdr:colOff>
      <xdr:row>759</xdr:row>
      <xdr:rowOff>84667</xdr:rowOff>
    </xdr:to>
    <xdr:cxnSp macro="">
      <xdr:nvCxnSpPr>
        <xdr:cNvPr id="564" name="Straight Arrow Connector 563">
          <a:extLst>
            <a:ext uri="{FF2B5EF4-FFF2-40B4-BE49-F238E27FC236}">
              <a16:creationId xmlns:a16="http://schemas.microsoft.com/office/drawing/2014/main" id="{00000000-0008-0000-1200-000034020000}"/>
            </a:ext>
          </a:extLst>
        </xdr:cNvPr>
        <xdr:cNvCxnSpPr/>
      </xdr:nvCxnSpPr>
      <xdr:spPr>
        <a:xfrm>
          <a:off x="10530417"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758</xdr:row>
      <xdr:rowOff>0</xdr:rowOff>
    </xdr:from>
    <xdr:to>
      <xdr:col>16</xdr:col>
      <xdr:colOff>0</xdr:colOff>
      <xdr:row>762</xdr:row>
      <xdr:rowOff>42334</xdr:rowOff>
    </xdr:to>
    <xdr:cxnSp macro="">
      <xdr:nvCxnSpPr>
        <xdr:cNvPr id="565" name="Straight Arrow Connector 564">
          <a:extLst>
            <a:ext uri="{FF2B5EF4-FFF2-40B4-BE49-F238E27FC236}">
              <a16:creationId xmlns:a16="http://schemas.microsoft.com/office/drawing/2014/main" id="{00000000-0008-0000-1200-000035020000}"/>
            </a:ext>
          </a:extLst>
        </xdr:cNvPr>
        <xdr:cNvCxnSpPr/>
      </xdr:nvCxnSpPr>
      <xdr:spPr>
        <a:xfrm>
          <a:off x="10530417" y="58864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769</xdr:row>
      <xdr:rowOff>0</xdr:rowOff>
    </xdr:from>
    <xdr:to>
      <xdr:col>15</xdr:col>
      <xdr:colOff>603250</xdr:colOff>
      <xdr:row>771</xdr:row>
      <xdr:rowOff>1</xdr:rowOff>
    </xdr:to>
    <xdr:cxnSp macro="">
      <xdr:nvCxnSpPr>
        <xdr:cNvPr id="566" name="Straight Arrow Connector 565">
          <a:extLst>
            <a:ext uri="{FF2B5EF4-FFF2-40B4-BE49-F238E27FC236}">
              <a16:creationId xmlns:a16="http://schemas.microsoft.com/office/drawing/2014/main" id="{00000000-0008-0000-1200-000036020000}"/>
            </a:ext>
          </a:extLst>
        </xdr:cNvPr>
        <xdr:cNvCxnSpPr/>
      </xdr:nvCxnSpPr>
      <xdr:spPr>
        <a:xfrm flipV="1">
          <a:off x="10530417"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771</xdr:row>
      <xdr:rowOff>10584</xdr:rowOff>
    </xdr:from>
    <xdr:to>
      <xdr:col>15</xdr:col>
      <xdr:colOff>592666</xdr:colOff>
      <xdr:row>772</xdr:row>
      <xdr:rowOff>95250</xdr:rowOff>
    </xdr:to>
    <xdr:cxnSp macro="">
      <xdr:nvCxnSpPr>
        <xdr:cNvPr id="567" name="Straight Arrow Connector 566">
          <a:extLst>
            <a:ext uri="{FF2B5EF4-FFF2-40B4-BE49-F238E27FC236}">
              <a16:creationId xmlns:a16="http://schemas.microsoft.com/office/drawing/2014/main" id="{00000000-0008-0000-1200-000037020000}"/>
            </a:ext>
          </a:extLst>
        </xdr:cNvPr>
        <xdr:cNvCxnSpPr/>
      </xdr:nvCxnSpPr>
      <xdr:spPr>
        <a:xfrm>
          <a:off x="10572750"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771</xdr:row>
      <xdr:rowOff>10584</xdr:rowOff>
    </xdr:from>
    <xdr:to>
      <xdr:col>15</xdr:col>
      <xdr:colOff>560916</xdr:colOff>
      <xdr:row>775</xdr:row>
      <xdr:rowOff>52917</xdr:rowOff>
    </xdr:to>
    <xdr:cxnSp macro="">
      <xdr:nvCxnSpPr>
        <xdr:cNvPr id="568" name="Straight Arrow Connector 567">
          <a:extLst>
            <a:ext uri="{FF2B5EF4-FFF2-40B4-BE49-F238E27FC236}">
              <a16:creationId xmlns:a16="http://schemas.microsoft.com/office/drawing/2014/main" id="{00000000-0008-0000-1200-000038020000}"/>
            </a:ext>
          </a:extLst>
        </xdr:cNvPr>
        <xdr:cNvCxnSpPr/>
      </xdr:nvCxnSpPr>
      <xdr:spPr>
        <a:xfrm>
          <a:off x="10551583"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569" name="Straight Arrow Connector 568">
          <a:extLst>
            <a:ext uri="{FF2B5EF4-FFF2-40B4-BE49-F238E27FC236}">
              <a16:creationId xmlns:a16="http://schemas.microsoft.com/office/drawing/2014/main" id="{00000000-0008-0000-1200-000039020000}"/>
            </a:ext>
          </a:extLst>
        </xdr:cNvPr>
        <xdr:cNvCxnSpPr/>
      </xdr:nvCxnSpPr>
      <xdr:spPr>
        <a:xfrm>
          <a:off x="10583333" y="61563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785</xdr:row>
      <xdr:rowOff>0</xdr:rowOff>
    </xdr:from>
    <xdr:to>
      <xdr:col>16</xdr:col>
      <xdr:colOff>0</xdr:colOff>
      <xdr:row>785</xdr:row>
      <xdr:rowOff>42334</xdr:rowOff>
    </xdr:to>
    <xdr:cxnSp macro="">
      <xdr:nvCxnSpPr>
        <xdr:cNvPr id="570" name="Straight Arrow Connector 569">
          <a:extLst>
            <a:ext uri="{FF2B5EF4-FFF2-40B4-BE49-F238E27FC236}">
              <a16:creationId xmlns:a16="http://schemas.microsoft.com/office/drawing/2014/main" id="{00000000-0008-0000-1200-00003A020000}"/>
            </a:ext>
          </a:extLst>
        </xdr:cNvPr>
        <xdr:cNvCxnSpPr/>
      </xdr:nvCxnSpPr>
      <xdr:spPr>
        <a:xfrm>
          <a:off x="10562166" y="64198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785</xdr:row>
      <xdr:rowOff>21166</xdr:rowOff>
    </xdr:from>
    <xdr:to>
      <xdr:col>15</xdr:col>
      <xdr:colOff>560916</xdr:colOff>
      <xdr:row>788</xdr:row>
      <xdr:rowOff>84667</xdr:rowOff>
    </xdr:to>
    <xdr:cxnSp macro="">
      <xdr:nvCxnSpPr>
        <xdr:cNvPr id="571" name="Straight Arrow Connector 570">
          <a:extLst>
            <a:ext uri="{FF2B5EF4-FFF2-40B4-BE49-F238E27FC236}">
              <a16:creationId xmlns:a16="http://schemas.microsoft.com/office/drawing/2014/main" id="{00000000-0008-0000-1200-00003B020000}"/>
            </a:ext>
          </a:extLst>
        </xdr:cNvPr>
        <xdr:cNvCxnSpPr/>
      </xdr:nvCxnSpPr>
      <xdr:spPr>
        <a:xfrm>
          <a:off x="10615083"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785</xdr:row>
      <xdr:rowOff>52916</xdr:rowOff>
    </xdr:from>
    <xdr:to>
      <xdr:col>15</xdr:col>
      <xdr:colOff>592666</xdr:colOff>
      <xdr:row>791</xdr:row>
      <xdr:rowOff>63501</xdr:rowOff>
    </xdr:to>
    <xdr:cxnSp macro="">
      <xdr:nvCxnSpPr>
        <xdr:cNvPr id="572" name="Straight Arrow Connector 571">
          <a:extLst>
            <a:ext uri="{FF2B5EF4-FFF2-40B4-BE49-F238E27FC236}">
              <a16:creationId xmlns:a16="http://schemas.microsoft.com/office/drawing/2014/main" id="{00000000-0008-0000-1200-00003C020000}"/>
            </a:ext>
          </a:extLst>
        </xdr:cNvPr>
        <xdr:cNvCxnSpPr/>
      </xdr:nvCxnSpPr>
      <xdr:spPr>
        <a:xfrm>
          <a:off x="10572750"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782</xdr:row>
      <xdr:rowOff>52917</xdr:rowOff>
    </xdr:from>
    <xdr:to>
      <xdr:col>15</xdr:col>
      <xdr:colOff>603250</xdr:colOff>
      <xdr:row>784</xdr:row>
      <xdr:rowOff>148167</xdr:rowOff>
    </xdr:to>
    <xdr:cxnSp macro="">
      <xdr:nvCxnSpPr>
        <xdr:cNvPr id="573" name="Straight Arrow Connector 572">
          <a:extLst>
            <a:ext uri="{FF2B5EF4-FFF2-40B4-BE49-F238E27FC236}">
              <a16:creationId xmlns:a16="http://schemas.microsoft.com/office/drawing/2014/main" id="{00000000-0008-0000-1200-00003D020000}"/>
            </a:ext>
          </a:extLst>
        </xdr:cNvPr>
        <xdr:cNvCxnSpPr/>
      </xdr:nvCxnSpPr>
      <xdr:spPr>
        <a:xfrm flipV="1">
          <a:off x="10583333"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826</xdr:row>
      <xdr:rowOff>95250</xdr:rowOff>
    </xdr:from>
    <xdr:to>
      <xdr:col>8</xdr:col>
      <xdr:colOff>21167</xdr:colOff>
      <xdr:row>858</xdr:row>
      <xdr:rowOff>148166</xdr:rowOff>
    </xdr:to>
    <xdr:cxnSp macro="">
      <xdr:nvCxnSpPr>
        <xdr:cNvPr id="574" name="Straight Arrow Connector 573">
          <a:extLst>
            <a:ext uri="{FF2B5EF4-FFF2-40B4-BE49-F238E27FC236}">
              <a16:creationId xmlns:a16="http://schemas.microsoft.com/office/drawing/2014/main" id="{00000000-0008-0000-1200-00003E020000}"/>
            </a:ext>
          </a:extLst>
        </xdr:cNvPr>
        <xdr:cNvCxnSpPr/>
      </xdr:nvCxnSpPr>
      <xdr:spPr>
        <a:xfrm>
          <a:off x="5080000" y="72294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797</xdr:row>
      <xdr:rowOff>137583</xdr:rowOff>
    </xdr:from>
    <xdr:to>
      <xdr:col>9</xdr:col>
      <xdr:colOff>603250</xdr:colOff>
      <xdr:row>803</xdr:row>
      <xdr:rowOff>21166</xdr:rowOff>
    </xdr:to>
    <xdr:cxnSp macro="">
      <xdr:nvCxnSpPr>
        <xdr:cNvPr id="575" name="Straight Arrow Connector 574">
          <a:extLst>
            <a:ext uri="{FF2B5EF4-FFF2-40B4-BE49-F238E27FC236}">
              <a16:creationId xmlns:a16="http://schemas.microsoft.com/office/drawing/2014/main" id="{00000000-0008-0000-1200-00003F020000}"/>
            </a:ext>
          </a:extLst>
        </xdr:cNvPr>
        <xdr:cNvCxnSpPr/>
      </xdr:nvCxnSpPr>
      <xdr:spPr>
        <a:xfrm flipV="1">
          <a:off x="6381750"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806</xdr:row>
      <xdr:rowOff>0</xdr:rowOff>
    </xdr:from>
    <xdr:to>
      <xdr:col>9</xdr:col>
      <xdr:colOff>582083</xdr:colOff>
      <xdr:row>814</xdr:row>
      <xdr:rowOff>10583</xdr:rowOff>
    </xdr:to>
    <xdr:cxnSp macro="">
      <xdr:nvCxnSpPr>
        <xdr:cNvPr id="576" name="Straight Arrow Connector 575">
          <a:extLst>
            <a:ext uri="{FF2B5EF4-FFF2-40B4-BE49-F238E27FC236}">
              <a16:creationId xmlns:a16="http://schemas.microsoft.com/office/drawing/2014/main" id="{00000000-0008-0000-1200-000040020000}"/>
            </a:ext>
          </a:extLst>
        </xdr:cNvPr>
        <xdr:cNvCxnSpPr/>
      </xdr:nvCxnSpPr>
      <xdr:spPr>
        <a:xfrm>
          <a:off x="6413500"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811</xdr:row>
      <xdr:rowOff>169333</xdr:rowOff>
    </xdr:from>
    <xdr:to>
      <xdr:col>11</xdr:col>
      <xdr:colOff>603250</xdr:colOff>
      <xdr:row>814</xdr:row>
      <xdr:rowOff>21167</xdr:rowOff>
    </xdr:to>
    <xdr:cxnSp macro="">
      <xdr:nvCxnSpPr>
        <xdr:cNvPr id="577" name="Straight Arrow Connector 576">
          <a:extLst>
            <a:ext uri="{FF2B5EF4-FFF2-40B4-BE49-F238E27FC236}">
              <a16:creationId xmlns:a16="http://schemas.microsoft.com/office/drawing/2014/main" id="{00000000-0008-0000-1200-000041020000}"/>
            </a:ext>
          </a:extLst>
        </xdr:cNvPr>
        <xdr:cNvCxnSpPr/>
      </xdr:nvCxnSpPr>
      <xdr:spPr>
        <a:xfrm flipV="1">
          <a:off x="7609417"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817</xdr:row>
      <xdr:rowOff>42333</xdr:rowOff>
    </xdr:from>
    <xdr:to>
      <xdr:col>11</xdr:col>
      <xdr:colOff>603250</xdr:colOff>
      <xdr:row>829</xdr:row>
      <xdr:rowOff>10583</xdr:rowOff>
    </xdr:to>
    <xdr:cxnSp macro="">
      <xdr:nvCxnSpPr>
        <xdr:cNvPr id="578" name="Straight Arrow Connector 577">
          <a:extLst>
            <a:ext uri="{FF2B5EF4-FFF2-40B4-BE49-F238E27FC236}">
              <a16:creationId xmlns:a16="http://schemas.microsoft.com/office/drawing/2014/main" id="{00000000-0008-0000-1200-000042020000}"/>
            </a:ext>
          </a:extLst>
        </xdr:cNvPr>
        <xdr:cNvCxnSpPr/>
      </xdr:nvCxnSpPr>
      <xdr:spPr>
        <a:xfrm>
          <a:off x="7598834"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807</xdr:row>
      <xdr:rowOff>21167</xdr:rowOff>
    </xdr:from>
    <xdr:to>
      <xdr:col>13</xdr:col>
      <xdr:colOff>592667</xdr:colOff>
      <xdr:row>809</xdr:row>
      <xdr:rowOff>0</xdr:rowOff>
    </xdr:to>
    <xdr:cxnSp macro="">
      <xdr:nvCxnSpPr>
        <xdr:cNvPr id="579" name="Straight Arrow Connector 578">
          <a:extLst>
            <a:ext uri="{FF2B5EF4-FFF2-40B4-BE49-F238E27FC236}">
              <a16:creationId xmlns:a16="http://schemas.microsoft.com/office/drawing/2014/main" id="{00000000-0008-0000-1200-000043020000}"/>
            </a:ext>
          </a:extLst>
        </xdr:cNvPr>
        <xdr:cNvCxnSpPr/>
      </xdr:nvCxnSpPr>
      <xdr:spPr>
        <a:xfrm flipV="1">
          <a:off x="8794750" y="68410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812</xdr:row>
      <xdr:rowOff>21166</xdr:rowOff>
    </xdr:from>
    <xdr:to>
      <xdr:col>13</xdr:col>
      <xdr:colOff>592667</xdr:colOff>
      <xdr:row>813</xdr:row>
      <xdr:rowOff>169334</xdr:rowOff>
    </xdr:to>
    <xdr:cxnSp macro="">
      <xdr:nvCxnSpPr>
        <xdr:cNvPr id="580" name="Straight Arrow Connector 579">
          <a:extLst>
            <a:ext uri="{FF2B5EF4-FFF2-40B4-BE49-F238E27FC236}">
              <a16:creationId xmlns:a16="http://schemas.microsoft.com/office/drawing/2014/main" id="{00000000-0008-0000-1200-000044020000}"/>
            </a:ext>
          </a:extLst>
        </xdr:cNvPr>
        <xdr:cNvCxnSpPr/>
      </xdr:nvCxnSpPr>
      <xdr:spPr>
        <a:xfrm>
          <a:off x="8784166" y="69363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827</xdr:row>
      <xdr:rowOff>21167</xdr:rowOff>
    </xdr:from>
    <xdr:to>
      <xdr:col>13</xdr:col>
      <xdr:colOff>592667</xdr:colOff>
      <xdr:row>829</xdr:row>
      <xdr:rowOff>63500</xdr:rowOff>
    </xdr:to>
    <xdr:cxnSp macro="">
      <xdr:nvCxnSpPr>
        <xdr:cNvPr id="581" name="Straight Arrow Connector 580">
          <a:extLst>
            <a:ext uri="{FF2B5EF4-FFF2-40B4-BE49-F238E27FC236}">
              <a16:creationId xmlns:a16="http://schemas.microsoft.com/office/drawing/2014/main" id="{00000000-0008-0000-1200-000045020000}"/>
            </a:ext>
          </a:extLst>
        </xdr:cNvPr>
        <xdr:cNvCxnSpPr/>
      </xdr:nvCxnSpPr>
      <xdr:spPr>
        <a:xfrm flipV="1">
          <a:off x="879475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832</xdr:row>
      <xdr:rowOff>0</xdr:rowOff>
    </xdr:from>
    <xdr:to>
      <xdr:col>14</xdr:col>
      <xdr:colOff>10584</xdr:colOff>
      <xdr:row>840</xdr:row>
      <xdr:rowOff>148167</xdr:rowOff>
    </xdr:to>
    <xdr:cxnSp macro="">
      <xdr:nvCxnSpPr>
        <xdr:cNvPr id="582" name="Straight Arrow Connector 581">
          <a:extLst>
            <a:ext uri="{FF2B5EF4-FFF2-40B4-BE49-F238E27FC236}">
              <a16:creationId xmlns:a16="http://schemas.microsoft.com/office/drawing/2014/main" id="{00000000-0008-0000-1200-000046020000}"/>
            </a:ext>
          </a:extLst>
        </xdr:cNvPr>
        <xdr:cNvCxnSpPr/>
      </xdr:nvCxnSpPr>
      <xdr:spPr>
        <a:xfrm>
          <a:off x="8805333" y="73342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799</xdr:row>
      <xdr:rowOff>0</xdr:rowOff>
    </xdr:from>
    <xdr:to>
      <xdr:col>15</xdr:col>
      <xdr:colOff>603250</xdr:colOff>
      <xdr:row>804</xdr:row>
      <xdr:rowOff>31750</xdr:rowOff>
    </xdr:to>
    <xdr:cxnSp macro="">
      <xdr:nvCxnSpPr>
        <xdr:cNvPr id="583" name="Straight Arrow Connector 582">
          <a:extLst>
            <a:ext uri="{FF2B5EF4-FFF2-40B4-BE49-F238E27FC236}">
              <a16:creationId xmlns:a16="http://schemas.microsoft.com/office/drawing/2014/main" id="{00000000-0008-0000-1200-000047020000}"/>
            </a:ext>
          </a:extLst>
        </xdr:cNvPr>
        <xdr:cNvCxnSpPr/>
      </xdr:nvCxnSpPr>
      <xdr:spPr>
        <a:xfrm flipV="1">
          <a:off x="10541000"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802</xdr:row>
      <xdr:rowOff>52917</xdr:rowOff>
    </xdr:from>
    <xdr:to>
      <xdr:col>15</xdr:col>
      <xdr:colOff>603250</xdr:colOff>
      <xdr:row>804</xdr:row>
      <xdr:rowOff>95250</xdr:rowOff>
    </xdr:to>
    <xdr:cxnSp macro="">
      <xdr:nvCxnSpPr>
        <xdr:cNvPr id="584" name="Straight Arrow Connector 583">
          <a:extLst>
            <a:ext uri="{FF2B5EF4-FFF2-40B4-BE49-F238E27FC236}">
              <a16:creationId xmlns:a16="http://schemas.microsoft.com/office/drawing/2014/main" id="{00000000-0008-0000-1200-000048020000}"/>
            </a:ext>
          </a:extLst>
        </xdr:cNvPr>
        <xdr:cNvCxnSpPr/>
      </xdr:nvCxnSpPr>
      <xdr:spPr>
        <a:xfrm flipV="1">
          <a:off x="10583333"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804</xdr:row>
      <xdr:rowOff>158750</xdr:rowOff>
    </xdr:from>
    <xdr:to>
      <xdr:col>15</xdr:col>
      <xdr:colOff>582083</xdr:colOff>
      <xdr:row>805</xdr:row>
      <xdr:rowOff>137583</xdr:rowOff>
    </xdr:to>
    <xdr:cxnSp macro="">
      <xdr:nvCxnSpPr>
        <xdr:cNvPr id="585" name="Straight Arrow Connector 584">
          <a:extLst>
            <a:ext uri="{FF2B5EF4-FFF2-40B4-BE49-F238E27FC236}">
              <a16:creationId xmlns:a16="http://schemas.microsoft.com/office/drawing/2014/main" id="{00000000-0008-0000-1200-000049020000}"/>
            </a:ext>
          </a:extLst>
        </xdr:cNvPr>
        <xdr:cNvCxnSpPr/>
      </xdr:nvCxnSpPr>
      <xdr:spPr>
        <a:xfrm>
          <a:off x="10604500"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804</xdr:row>
      <xdr:rowOff>105834</xdr:rowOff>
    </xdr:from>
    <xdr:to>
      <xdr:col>16</xdr:col>
      <xdr:colOff>0</xdr:colOff>
      <xdr:row>808</xdr:row>
      <xdr:rowOff>84667</xdr:rowOff>
    </xdr:to>
    <xdr:cxnSp macro="">
      <xdr:nvCxnSpPr>
        <xdr:cNvPr id="586" name="Straight Arrow Connector 585">
          <a:extLst>
            <a:ext uri="{FF2B5EF4-FFF2-40B4-BE49-F238E27FC236}">
              <a16:creationId xmlns:a16="http://schemas.microsoft.com/office/drawing/2014/main" id="{00000000-0008-0000-1200-00004A020000}"/>
            </a:ext>
          </a:extLst>
        </xdr:cNvPr>
        <xdr:cNvCxnSpPr/>
      </xdr:nvCxnSpPr>
      <xdr:spPr>
        <a:xfrm>
          <a:off x="10519834" y="67923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812</xdr:row>
      <xdr:rowOff>52916</xdr:rowOff>
    </xdr:from>
    <xdr:to>
      <xdr:col>16</xdr:col>
      <xdr:colOff>0</xdr:colOff>
      <xdr:row>814</xdr:row>
      <xdr:rowOff>0</xdr:rowOff>
    </xdr:to>
    <xdr:cxnSp macro="">
      <xdr:nvCxnSpPr>
        <xdr:cNvPr id="587" name="Straight Arrow Connector 586">
          <a:extLst>
            <a:ext uri="{FF2B5EF4-FFF2-40B4-BE49-F238E27FC236}">
              <a16:creationId xmlns:a16="http://schemas.microsoft.com/office/drawing/2014/main" id="{00000000-0008-0000-1200-00004B020000}"/>
            </a:ext>
          </a:extLst>
        </xdr:cNvPr>
        <xdr:cNvCxnSpPr/>
      </xdr:nvCxnSpPr>
      <xdr:spPr>
        <a:xfrm flipV="1">
          <a:off x="10541000" y="69394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814</xdr:row>
      <xdr:rowOff>21167</xdr:rowOff>
    </xdr:from>
    <xdr:to>
      <xdr:col>15</xdr:col>
      <xdr:colOff>582083</xdr:colOff>
      <xdr:row>815</xdr:row>
      <xdr:rowOff>42333</xdr:rowOff>
    </xdr:to>
    <xdr:cxnSp macro="">
      <xdr:nvCxnSpPr>
        <xdr:cNvPr id="588" name="Straight Arrow Connector 587">
          <a:extLst>
            <a:ext uri="{FF2B5EF4-FFF2-40B4-BE49-F238E27FC236}">
              <a16:creationId xmlns:a16="http://schemas.microsoft.com/office/drawing/2014/main" id="{00000000-0008-0000-1200-00004C020000}"/>
            </a:ext>
          </a:extLst>
        </xdr:cNvPr>
        <xdr:cNvCxnSpPr/>
      </xdr:nvCxnSpPr>
      <xdr:spPr>
        <a:xfrm>
          <a:off x="10551583"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814</xdr:row>
      <xdr:rowOff>21167</xdr:rowOff>
    </xdr:from>
    <xdr:to>
      <xdr:col>16</xdr:col>
      <xdr:colOff>42333</xdr:colOff>
      <xdr:row>819</xdr:row>
      <xdr:rowOff>21168</xdr:rowOff>
    </xdr:to>
    <xdr:cxnSp macro="">
      <xdr:nvCxnSpPr>
        <xdr:cNvPr id="589" name="Straight Arrow Connector 588">
          <a:extLst>
            <a:ext uri="{FF2B5EF4-FFF2-40B4-BE49-F238E27FC236}">
              <a16:creationId xmlns:a16="http://schemas.microsoft.com/office/drawing/2014/main" id="{00000000-0008-0000-1200-00004D020000}"/>
            </a:ext>
          </a:extLst>
        </xdr:cNvPr>
        <xdr:cNvCxnSpPr/>
      </xdr:nvCxnSpPr>
      <xdr:spPr>
        <a:xfrm>
          <a:off x="10530417" y="69744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590" name="Straight Arrow Connector 589">
          <a:extLst>
            <a:ext uri="{FF2B5EF4-FFF2-40B4-BE49-F238E27FC236}">
              <a16:creationId xmlns:a16="http://schemas.microsoft.com/office/drawing/2014/main" id="{00000000-0008-0000-1200-00004E020000}"/>
            </a:ext>
          </a:extLst>
        </xdr:cNvPr>
        <xdr:cNvCxnSpPr/>
      </xdr:nvCxnSpPr>
      <xdr:spPr>
        <a:xfrm>
          <a:off x="10541000" y="69754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851</xdr:row>
      <xdr:rowOff>42333</xdr:rowOff>
    </xdr:from>
    <xdr:to>
      <xdr:col>9</xdr:col>
      <xdr:colOff>592666</xdr:colOff>
      <xdr:row>859</xdr:row>
      <xdr:rowOff>42333</xdr:rowOff>
    </xdr:to>
    <xdr:cxnSp macro="">
      <xdr:nvCxnSpPr>
        <xdr:cNvPr id="591" name="Straight Arrow Connector 590">
          <a:extLst>
            <a:ext uri="{FF2B5EF4-FFF2-40B4-BE49-F238E27FC236}">
              <a16:creationId xmlns:a16="http://schemas.microsoft.com/office/drawing/2014/main" id="{00000000-0008-0000-1200-00004F020000}"/>
            </a:ext>
          </a:extLst>
        </xdr:cNvPr>
        <xdr:cNvCxnSpPr/>
      </xdr:nvCxnSpPr>
      <xdr:spPr>
        <a:xfrm flipV="1">
          <a:off x="6392333"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861</xdr:row>
      <xdr:rowOff>169334</xdr:rowOff>
    </xdr:from>
    <xdr:to>
      <xdr:col>9</xdr:col>
      <xdr:colOff>603250</xdr:colOff>
      <xdr:row>870</xdr:row>
      <xdr:rowOff>31750</xdr:rowOff>
    </xdr:to>
    <xdr:cxnSp macro="">
      <xdr:nvCxnSpPr>
        <xdr:cNvPr id="592" name="Straight Arrow Connector 591">
          <a:extLst>
            <a:ext uri="{FF2B5EF4-FFF2-40B4-BE49-F238E27FC236}">
              <a16:creationId xmlns:a16="http://schemas.microsoft.com/office/drawing/2014/main" id="{00000000-0008-0000-1200-000050020000}"/>
            </a:ext>
          </a:extLst>
        </xdr:cNvPr>
        <xdr:cNvCxnSpPr/>
      </xdr:nvCxnSpPr>
      <xdr:spPr>
        <a:xfrm>
          <a:off x="6413500"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867</xdr:row>
      <xdr:rowOff>158750</xdr:rowOff>
    </xdr:from>
    <xdr:to>
      <xdr:col>11</xdr:col>
      <xdr:colOff>571500</xdr:colOff>
      <xdr:row>870</xdr:row>
      <xdr:rowOff>0</xdr:rowOff>
    </xdr:to>
    <xdr:cxnSp macro="">
      <xdr:nvCxnSpPr>
        <xdr:cNvPr id="593" name="Straight Arrow Connector 592">
          <a:extLst>
            <a:ext uri="{FF2B5EF4-FFF2-40B4-BE49-F238E27FC236}">
              <a16:creationId xmlns:a16="http://schemas.microsoft.com/office/drawing/2014/main" id="{00000000-0008-0000-1200-000051020000}"/>
            </a:ext>
          </a:extLst>
        </xdr:cNvPr>
        <xdr:cNvCxnSpPr/>
      </xdr:nvCxnSpPr>
      <xdr:spPr>
        <a:xfrm flipV="1">
          <a:off x="7556500" y="80168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825</xdr:row>
      <xdr:rowOff>0</xdr:rowOff>
    </xdr:from>
    <xdr:to>
      <xdr:col>15</xdr:col>
      <xdr:colOff>603250</xdr:colOff>
      <xdr:row>827</xdr:row>
      <xdr:rowOff>1</xdr:rowOff>
    </xdr:to>
    <xdr:cxnSp macro="">
      <xdr:nvCxnSpPr>
        <xdr:cNvPr id="594" name="Straight Arrow Connector 593">
          <a:extLst>
            <a:ext uri="{FF2B5EF4-FFF2-40B4-BE49-F238E27FC236}">
              <a16:creationId xmlns:a16="http://schemas.microsoft.com/office/drawing/2014/main" id="{00000000-0008-0000-1200-000052020000}"/>
            </a:ext>
          </a:extLst>
        </xdr:cNvPr>
        <xdr:cNvCxnSpPr/>
      </xdr:nvCxnSpPr>
      <xdr:spPr>
        <a:xfrm flipV="1">
          <a:off x="10530417"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827</xdr:row>
      <xdr:rowOff>10584</xdr:rowOff>
    </xdr:from>
    <xdr:to>
      <xdr:col>15</xdr:col>
      <xdr:colOff>592666</xdr:colOff>
      <xdr:row>828</xdr:row>
      <xdr:rowOff>95250</xdr:rowOff>
    </xdr:to>
    <xdr:cxnSp macro="">
      <xdr:nvCxnSpPr>
        <xdr:cNvPr id="595" name="Straight Arrow Connector 594">
          <a:extLst>
            <a:ext uri="{FF2B5EF4-FFF2-40B4-BE49-F238E27FC236}">
              <a16:creationId xmlns:a16="http://schemas.microsoft.com/office/drawing/2014/main" id="{00000000-0008-0000-1200-000053020000}"/>
            </a:ext>
          </a:extLst>
        </xdr:cNvPr>
        <xdr:cNvCxnSpPr/>
      </xdr:nvCxnSpPr>
      <xdr:spPr>
        <a:xfrm>
          <a:off x="10572750"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827</xdr:row>
      <xdr:rowOff>10584</xdr:rowOff>
    </xdr:from>
    <xdr:to>
      <xdr:col>15</xdr:col>
      <xdr:colOff>560916</xdr:colOff>
      <xdr:row>831</xdr:row>
      <xdr:rowOff>52917</xdr:rowOff>
    </xdr:to>
    <xdr:cxnSp macro="">
      <xdr:nvCxnSpPr>
        <xdr:cNvPr id="596" name="Straight Arrow Connector 595">
          <a:extLst>
            <a:ext uri="{FF2B5EF4-FFF2-40B4-BE49-F238E27FC236}">
              <a16:creationId xmlns:a16="http://schemas.microsoft.com/office/drawing/2014/main" id="{00000000-0008-0000-1200-000054020000}"/>
            </a:ext>
          </a:extLst>
        </xdr:cNvPr>
        <xdr:cNvCxnSpPr/>
      </xdr:nvCxnSpPr>
      <xdr:spPr>
        <a:xfrm>
          <a:off x="10551583"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827</xdr:row>
      <xdr:rowOff>31750</xdr:rowOff>
    </xdr:from>
    <xdr:to>
      <xdr:col>16</xdr:col>
      <xdr:colOff>21167</xdr:colOff>
      <xdr:row>834</xdr:row>
      <xdr:rowOff>95250</xdr:rowOff>
    </xdr:to>
    <xdr:cxnSp macro="">
      <xdr:nvCxnSpPr>
        <xdr:cNvPr id="597" name="Straight Arrow Connector 596">
          <a:extLst>
            <a:ext uri="{FF2B5EF4-FFF2-40B4-BE49-F238E27FC236}">
              <a16:creationId xmlns:a16="http://schemas.microsoft.com/office/drawing/2014/main" id="{00000000-0008-0000-1200-000055020000}"/>
            </a:ext>
          </a:extLst>
        </xdr:cNvPr>
        <xdr:cNvCxnSpPr/>
      </xdr:nvCxnSpPr>
      <xdr:spPr>
        <a:xfrm>
          <a:off x="10583333" y="72421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841</xdr:row>
      <xdr:rowOff>0</xdr:rowOff>
    </xdr:from>
    <xdr:to>
      <xdr:col>16</xdr:col>
      <xdr:colOff>0</xdr:colOff>
      <xdr:row>841</xdr:row>
      <xdr:rowOff>42334</xdr:rowOff>
    </xdr:to>
    <xdr:cxnSp macro="">
      <xdr:nvCxnSpPr>
        <xdr:cNvPr id="598" name="Straight Arrow Connector 597">
          <a:extLst>
            <a:ext uri="{FF2B5EF4-FFF2-40B4-BE49-F238E27FC236}">
              <a16:creationId xmlns:a16="http://schemas.microsoft.com/office/drawing/2014/main" id="{00000000-0008-0000-1200-000056020000}"/>
            </a:ext>
          </a:extLst>
        </xdr:cNvPr>
        <xdr:cNvCxnSpPr/>
      </xdr:nvCxnSpPr>
      <xdr:spPr>
        <a:xfrm>
          <a:off x="10562166" y="75057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841</xdr:row>
      <xdr:rowOff>21166</xdr:rowOff>
    </xdr:from>
    <xdr:to>
      <xdr:col>15</xdr:col>
      <xdr:colOff>560916</xdr:colOff>
      <xdr:row>844</xdr:row>
      <xdr:rowOff>84667</xdr:rowOff>
    </xdr:to>
    <xdr:cxnSp macro="">
      <xdr:nvCxnSpPr>
        <xdr:cNvPr id="599" name="Straight Arrow Connector 598">
          <a:extLst>
            <a:ext uri="{FF2B5EF4-FFF2-40B4-BE49-F238E27FC236}">
              <a16:creationId xmlns:a16="http://schemas.microsoft.com/office/drawing/2014/main" id="{00000000-0008-0000-1200-000057020000}"/>
            </a:ext>
          </a:extLst>
        </xdr:cNvPr>
        <xdr:cNvCxnSpPr/>
      </xdr:nvCxnSpPr>
      <xdr:spPr>
        <a:xfrm>
          <a:off x="10615083"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841</xdr:row>
      <xdr:rowOff>52916</xdr:rowOff>
    </xdr:from>
    <xdr:to>
      <xdr:col>15</xdr:col>
      <xdr:colOff>592666</xdr:colOff>
      <xdr:row>847</xdr:row>
      <xdr:rowOff>63501</xdr:rowOff>
    </xdr:to>
    <xdr:cxnSp macro="">
      <xdr:nvCxnSpPr>
        <xdr:cNvPr id="600" name="Straight Arrow Connector 599">
          <a:extLst>
            <a:ext uri="{FF2B5EF4-FFF2-40B4-BE49-F238E27FC236}">
              <a16:creationId xmlns:a16="http://schemas.microsoft.com/office/drawing/2014/main" id="{00000000-0008-0000-1200-000058020000}"/>
            </a:ext>
          </a:extLst>
        </xdr:cNvPr>
        <xdr:cNvCxnSpPr/>
      </xdr:nvCxnSpPr>
      <xdr:spPr>
        <a:xfrm>
          <a:off x="10572750"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855</xdr:row>
      <xdr:rowOff>116416</xdr:rowOff>
    </xdr:from>
    <xdr:to>
      <xdr:col>15</xdr:col>
      <xdr:colOff>592666</xdr:colOff>
      <xdr:row>858</xdr:row>
      <xdr:rowOff>158750</xdr:rowOff>
    </xdr:to>
    <xdr:cxnSp macro="">
      <xdr:nvCxnSpPr>
        <xdr:cNvPr id="601" name="Straight Arrow Connector 600">
          <a:extLst>
            <a:ext uri="{FF2B5EF4-FFF2-40B4-BE49-F238E27FC236}">
              <a16:creationId xmlns:a16="http://schemas.microsoft.com/office/drawing/2014/main" id="{00000000-0008-0000-1200-000059020000}"/>
            </a:ext>
          </a:extLst>
        </xdr:cNvPr>
        <xdr:cNvCxnSpPr/>
      </xdr:nvCxnSpPr>
      <xdr:spPr>
        <a:xfrm flipV="1">
          <a:off x="10562166"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857</xdr:row>
      <xdr:rowOff>95250</xdr:rowOff>
    </xdr:from>
    <xdr:to>
      <xdr:col>15</xdr:col>
      <xdr:colOff>582083</xdr:colOff>
      <xdr:row>859</xdr:row>
      <xdr:rowOff>52917</xdr:rowOff>
    </xdr:to>
    <xdr:cxnSp macro="">
      <xdr:nvCxnSpPr>
        <xdr:cNvPr id="602" name="Straight Arrow Connector 601">
          <a:extLst>
            <a:ext uri="{FF2B5EF4-FFF2-40B4-BE49-F238E27FC236}">
              <a16:creationId xmlns:a16="http://schemas.microsoft.com/office/drawing/2014/main" id="{00000000-0008-0000-1200-00005A020000}"/>
            </a:ext>
          </a:extLst>
        </xdr:cNvPr>
        <xdr:cNvCxnSpPr/>
      </xdr:nvCxnSpPr>
      <xdr:spPr>
        <a:xfrm flipV="1">
          <a:off x="10604500"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116417</xdr:rowOff>
    </xdr:from>
    <xdr:to>
      <xdr:col>15</xdr:col>
      <xdr:colOff>592666</xdr:colOff>
      <xdr:row>863</xdr:row>
      <xdr:rowOff>95250</xdr:rowOff>
    </xdr:to>
    <xdr:cxnSp macro="">
      <xdr:nvCxnSpPr>
        <xdr:cNvPr id="603" name="Straight Arrow Connector 602">
          <a:extLst>
            <a:ext uri="{FF2B5EF4-FFF2-40B4-BE49-F238E27FC236}">
              <a16:creationId xmlns:a16="http://schemas.microsoft.com/office/drawing/2014/main" id="{00000000-0008-0000-1200-00005B020000}"/>
            </a:ext>
          </a:extLst>
        </xdr:cNvPr>
        <xdr:cNvCxnSpPr/>
      </xdr:nvCxnSpPr>
      <xdr:spPr>
        <a:xfrm>
          <a:off x="10593916"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870</xdr:row>
      <xdr:rowOff>116416</xdr:rowOff>
    </xdr:from>
    <xdr:to>
      <xdr:col>16</xdr:col>
      <xdr:colOff>0</xdr:colOff>
      <xdr:row>877</xdr:row>
      <xdr:rowOff>74084</xdr:rowOff>
    </xdr:to>
    <xdr:cxnSp macro="">
      <xdr:nvCxnSpPr>
        <xdr:cNvPr id="604" name="Straight Arrow Connector 603">
          <a:extLst>
            <a:ext uri="{FF2B5EF4-FFF2-40B4-BE49-F238E27FC236}">
              <a16:creationId xmlns:a16="http://schemas.microsoft.com/office/drawing/2014/main" id="{00000000-0008-0000-1200-00005C020000}"/>
            </a:ext>
          </a:extLst>
        </xdr:cNvPr>
        <xdr:cNvCxnSpPr/>
      </xdr:nvCxnSpPr>
      <xdr:spPr>
        <a:xfrm>
          <a:off x="10572750" y="80697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838</xdr:row>
      <xdr:rowOff>52917</xdr:rowOff>
    </xdr:from>
    <xdr:to>
      <xdr:col>15</xdr:col>
      <xdr:colOff>603250</xdr:colOff>
      <xdr:row>840</xdr:row>
      <xdr:rowOff>148167</xdr:rowOff>
    </xdr:to>
    <xdr:cxnSp macro="">
      <xdr:nvCxnSpPr>
        <xdr:cNvPr id="605" name="Straight Arrow Connector 604">
          <a:extLst>
            <a:ext uri="{FF2B5EF4-FFF2-40B4-BE49-F238E27FC236}">
              <a16:creationId xmlns:a16="http://schemas.microsoft.com/office/drawing/2014/main" id="{00000000-0008-0000-1200-00005D020000}"/>
            </a:ext>
          </a:extLst>
        </xdr:cNvPr>
        <xdr:cNvCxnSpPr/>
      </xdr:nvCxnSpPr>
      <xdr:spPr>
        <a:xfrm flipV="1">
          <a:off x="10583333"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873</xdr:row>
      <xdr:rowOff>42333</xdr:rowOff>
    </xdr:from>
    <xdr:to>
      <xdr:col>11</xdr:col>
      <xdr:colOff>603250</xdr:colOff>
      <xdr:row>885</xdr:row>
      <xdr:rowOff>10583</xdr:rowOff>
    </xdr:to>
    <xdr:cxnSp macro="">
      <xdr:nvCxnSpPr>
        <xdr:cNvPr id="606" name="Straight Arrow Connector 605">
          <a:extLst>
            <a:ext uri="{FF2B5EF4-FFF2-40B4-BE49-F238E27FC236}">
              <a16:creationId xmlns:a16="http://schemas.microsoft.com/office/drawing/2014/main" id="{00000000-0008-0000-1200-00005E020000}"/>
            </a:ext>
          </a:extLst>
        </xdr:cNvPr>
        <xdr:cNvCxnSpPr/>
      </xdr:nvCxnSpPr>
      <xdr:spPr>
        <a:xfrm>
          <a:off x="7598834"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863</xdr:row>
      <xdr:rowOff>21167</xdr:rowOff>
    </xdr:from>
    <xdr:to>
      <xdr:col>13</xdr:col>
      <xdr:colOff>592667</xdr:colOff>
      <xdr:row>865</xdr:row>
      <xdr:rowOff>0</xdr:rowOff>
    </xdr:to>
    <xdr:cxnSp macro="">
      <xdr:nvCxnSpPr>
        <xdr:cNvPr id="607" name="Straight Arrow Connector 606">
          <a:extLst>
            <a:ext uri="{FF2B5EF4-FFF2-40B4-BE49-F238E27FC236}">
              <a16:creationId xmlns:a16="http://schemas.microsoft.com/office/drawing/2014/main" id="{00000000-0008-0000-1200-00005F020000}"/>
            </a:ext>
          </a:extLst>
        </xdr:cNvPr>
        <xdr:cNvCxnSpPr/>
      </xdr:nvCxnSpPr>
      <xdr:spPr>
        <a:xfrm flipV="1">
          <a:off x="8794750" y="7926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868</xdr:row>
      <xdr:rowOff>21166</xdr:rowOff>
    </xdr:from>
    <xdr:to>
      <xdr:col>13</xdr:col>
      <xdr:colOff>592667</xdr:colOff>
      <xdr:row>869</xdr:row>
      <xdr:rowOff>169334</xdr:rowOff>
    </xdr:to>
    <xdr:cxnSp macro="">
      <xdr:nvCxnSpPr>
        <xdr:cNvPr id="608" name="Straight Arrow Connector 607">
          <a:extLst>
            <a:ext uri="{FF2B5EF4-FFF2-40B4-BE49-F238E27FC236}">
              <a16:creationId xmlns:a16="http://schemas.microsoft.com/office/drawing/2014/main" id="{00000000-0008-0000-1200-000060020000}"/>
            </a:ext>
          </a:extLst>
        </xdr:cNvPr>
        <xdr:cNvCxnSpPr/>
      </xdr:nvCxnSpPr>
      <xdr:spPr>
        <a:xfrm>
          <a:off x="8784166" y="8022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883</xdr:row>
      <xdr:rowOff>21167</xdr:rowOff>
    </xdr:from>
    <xdr:to>
      <xdr:col>13</xdr:col>
      <xdr:colOff>592667</xdr:colOff>
      <xdr:row>885</xdr:row>
      <xdr:rowOff>63500</xdr:rowOff>
    </xdr:to>
    <xdr:cxnSp macro="">
      <xdr:nvCxnSpPr>
        <xdr:cNvPr id="609" name="Straight Arrow Connector 608">
          <a:extLst>
            <a:ext uri="{FF2B5EF4-FFF2-40B4-BE49-F238E27FC236}">
              <a16:creationId xmlns:a16="http://schemas.microsoft.com/office/drawing/2014/main" id="{00000000-0008-0000-1200-000061020000}"/>
            </a:ext>
          </a:extLst>
        </xdr:cNvPr>
        <xdr:cNvCxnSpPr/>
      </xdr:nvCxnSpPr>
      <xdr:spPr>
        <a:xfrm flipV="1">
          <a:off x="879475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888</xdr:row>
      <xdr:rowOff>0</xdr:rowOff>
    </xdr:from>
    <xdr:to>
      <xdr:col>14</xdr:col>
      <xdr:colOff>10584</xdr:colOff>
      <xdr:row>896</xdr:row>
      <xdr:rowOff>148167</xdr:rowOff>
    </xdr:to>
    <xdr:cxnSp macro="">
      <xdr:nvCxnSpPr>
        <xdr:cNvPr id="610" name="Straight Arrow Connector 609">
          <a:extLst>
            <a:ext uri="{FF2B5EF4-FFF2-40B4-BE49-F238E27FC236}">
              <a16:creationId xmlns:a16="http://schemas.microsoft.com/office/drawing/2014/main" id="{00000000-0008-0000-1200-000062020000}"/>
            </a:ext>
          </a:extLst>
        </xdr:cNvPr>
        <xdr:cNvCxnSpPr/>
      </xdr:nvCxnSpPr>
      <xdr:spPr>
        <a:xfrm>
          <a:off x="8805333" y="8420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95250</xdr:rowOff>
    </xdr:from>
    <xdr:to>
      <xdr:col>15</xdr:col>
      <xdr:colOff>582083</xdr:colOff>
      <xdr:row>861</xdr:row>
      <xdr:rowOff>137583</xdr:rowOff>
    </xdr:to>
    <xdr:cxnSp macro="">
      <xdr:nvCxnSpPr>
        <xdr:cNvPr id="611" name="Straight Arrow Connector 610">
          <a:extLst>
            <a:ext uri="{FF2B5EF4-FFF2-40B4-BE49-F238E27FC236}">
              <a16:creationId xmlns:a16="http://schemas.microsoft.com/office/drawing/2014/main" id="{00000000-0008-0000-1200-000063020000}"/>
            </a:ext>
          </a:extLst>
        </xdr:cNvPr>
        <xdr:cNvCxnSpPr/>
      </xdr:nvCxnSpPr>
      <xdr:spPr>
        <a:xfrm>
          <a:off x="10593916"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868</xdr:row>
      <xdr:rowOff>52916</xdr:rowOff>
    </xdr:from>
    <xdr:to>
      <xdr:col>16</xdr:col>
      <xdr:colOff>0</xdr:colOff>
      <xdr:row>870</xdr:row>
      <xdr:rowOff>0</xdr:rowOff>
    </xdr:to>
    <xdr:cxnSp macro="">
      <xdr:nvCxnSpPr>
        <xdr:cNvPr id="612" name="Straight Arrow Connector 611">
          <a:extLst>
            <a:ext uri="{FF2B5EF4-FFF2-40B4-BE49-F238E27FC236}">
              <a16:creationId xmlns:a16="http://schemas.microsoft.com/office/drawing/2014/main" id="{00000000-0008-0000-1200-000064020000}"/>
            </a:ext>
          </a:extLst>
        </xdr:cNvPr>
        <xdr:cNvCxnSpPr/>
      </xdr:nvCxnSpPr>
      <xdr:spPr>
        <a:xfrm flipV="1">
          <a:off x="10541000" y="8025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21167</xdr:rowOff>
    </xdr:from>
    <xdr:to>
      <xdr:col>15</xdr:col>
      <xdr:colOff>592666</xdr:colOff>
      <xdr:row>871</xdr:row>
      <xdr:rowOff>84667</xdr:rowOff>
    </xdr:to>
    <xdr:cxnSp macro="">
      <xdr:nvCxnSpPr>
        <xdr:cNvPr id="613" name="Straight Arrow Connector 612">
          <a:extLst>
            <a:ext uri="{FF2B5EF4-FFF2-40B4-BE49-F238E27FC236}">
              <a16:creationId xmlns:a16="http://schemas.microsoft.com/office/drawing/2014/main" id="{00000000-0008-0000-1200-000065020000}"/>
            </a:ext>
          </a:extLst>
        </xdr:cNvPr>
        <xdr:cNvCxnSpPr/>
      </xdr:nvCxnSpPr>
      <xdr:spPr>
        <a:xfrm>
          <a:off x="10530417"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0</xdr:rowOff>
    </xdr:from>
    <xdr:to>
      <xdr:col>16</xdr:col>
      <xdr:colOff>0</xdr:colOff>
      <xdr:row>874</xdr:row>
      <xdr:rowOff>42334</xdr:rowOff>
    </xdr:to>
    <xdr:cxnSp macro="">
      <xdr:nvCxnSpPr>
        <xdr:cNvPr id="614" name="Straight Arrow Connector 613">
          <a:extLst>
            <a:ext uri="{FF2B5EF4-FFF2-40B4-BE49-F238E27FC236}">
              <a16:creationId xmlns:a16="http://schemas.microsoft.com/office/drawing/2014/main" id="{00000000-0008-0000-1200-000066020000}"/>
            </a:ext>
          </a:extLst>
        </xdr:cNvPr>
        <xdr:cNvCxnSpPr/>
      </xdr:nvCxnSpPr>
      <xdr:spPr>
        <a:xfrm>
          <a:off x="10530417" y="80581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881</xdr:row>
      <xdr:rowOff>0</xdr:rowOff>
    </xdr:from>
    <xdr:to>
      <xdr:col>15</xdr:col>
      <xdr:colOff>603250</xdr:colOff>
      <xdr:row>883</xdr:row>
      <xdr:rowOff>1</xdr:rowOff>
    </xdr:to>
    <xdr:cxnSp macro="">
      <xdr:nvCxnSpPr>
        <xdr:cNvPr id="615" name="Straight Arrow Connector 614">
          <a:extLst>
            <a:ext uri="{FF2B5EF4-FFF2-40B4-BE49-F238E27FC236}">
              <a16:creationId xmlns:a16="http://schemas.microsoft.com/office/drawing/2014/main" id="{00000000-0008-0000-1200-000067020000}"/>
            </a:ext>
          </a:extLst>
        </xdr:cNvPr>
        <xdr:cNvCxnSpPr/>
      </xdr:nvCxnSpPr>
      <xdr:spPr>
        <a:xfrm flipV="1">
          <a:off x="10530417"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883</xdr:row>
      <xdr:rowOff>10584</xdr:rowOff>
    </xdr:from>
    <xdr:to>
      <xdr:col>15</xdr:col>
      <xdr:colOff>592666</xdr:colOff>
      <xdr:row>884</xdr:row>
      <xdr:rowOff>95250</xdr:rowOff>
    </xdr:to>
    <xdr:cxnSp macro="">
      <xdr:nvCxnSpPr>
        <xdr:cNvPr id="616" name="Straight Arrow Connector 615">
          <a:extLst>
            <a:ext uri="{FF2B5EF4-FFF2-40B4-BE49-F238E27FC236}">
              <a16:creationId xmlns:a16="http://schemas.microsoft.com/office/drawing/2014/main" id="{00000000-0008-0000-1200-000068020000}"/>
            </a:ext>
          </a:extLst>
        </xdr:cNvPr>
        <xdr:cNvCxnSpPr/>
      </xdr:nvCxnSpPr>
      <xdr:spPr>
        <a:xfrm>
          <a:off x="10572750"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883</xdr:row>
      <xdr:rowOff>10584</xdr:rowOff>
    </xdr:from>
    <xdr:to>
      <xdr:col>15</xdr:col>
      <xdr:colOff>560916</xdr:colOff>
      <xdr:row>887</xdr:row>
      <xdr:rowOff>52917</xdr:rowOff>
    </xdr:to>
    <xdr:cxnSp macro="">
      <xdr:nvCxnSpPr>
        <xdr:cNvPr id="617" name="Straight Arrow Connector 616">
          <a:extLst>
            <a:ext uri="{FF2B5EF4-FFF2-40B4-BE49-F238E27FC236}">
              <a16:creationId xmlns:a16="http://schemas.microsoft.com/office/drawing/2014/main" id="{00000000-0008-0000-1200-000069020000}"/>
            </a:ext>
          </a:extLst>
        </xdr:cNvPr>
        <xdr:cNvCxnSpPr/>
      </xdr:nvCxnSpPr>
      <xdr:spPr>
        <a:xfrm>
          <a:off x="10551583"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618" name="Straight Arrow Connector 617">
          <a:extLst>
            <a:ext uri="{FF2B5EF4-FFF2-40B4-BE49-F238E27FC236}">
              <a16:creationId xmlns:a16="http://schemas.microsoft.com/office/drawing/2014/main" id="{00000000-0008-0000-1200-00006A020000}"/>
            </a:ext>
          </a:extLst>
        </xdr:cNvPr>
        <xdr:cNvCxnSpPr/>
      </xdr:nvCxnSpPr>
      <xdr:spPr>
        <a:xfrm>
          <a:off x="10583333" y="8328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897</xdr:row>
      <xdr:rowOff>0</xdr:rowOff>
    </xdr:from>
    <xdr:to>
      <xdr:col>16</xdr:col>
      <xdr:colOff>0</xdr:colOff>
      <xdr:row>897</xdr:row>
      <xdr:rowOff>42334</xdr:rowOff>
    </xdr:to>
    <xdr:cxnSp macro="">
      <xdr:nvCxnSpPr>
        <xdr:cNvPr id="619" name="Straight Arrow Connector 618">
          <a:extLst>
            <a:ext uri="{FF2B5EF4-FFF2-40B4-BE49-F238E27FC236}">
              <a16:creationId xmlns:a16="http://schemas.microsoft.com/office/drawing/2014/main" id="{00000000-0008-0000-1200-00006B020000}"/>
            </a:ext>
          </a:extLst>
        </xdr:cNvPr>
        <xdr:cNvCxnSpPr/>
      </xdr:nvCxnSpPr>
      <xdr:spPr>
        <a:xfrm>
          <a:off x="10562166" y="8591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897</xdr:row>
      <xdr:rowOff>21166</xdr:rowOff>
    </xdr:from>
    <xdr:to>
      <xdr:col>15</xdr:col>
      <xdr:colOff>560916</xdr:colOff>
      <xdr:row>900</xdr:row>
      <xdr:rowOff>84667</xdr:rowOff>
    </xdr:to>
    <xdr:cxnSp macro="">
      <xdr:nvCxnSpPr>
        <xdr:cNvPr id="620" name="Straight Arrow Connector 619">
          <a:extLst>
            <a:ext uri="{FF2B5EF4-FFF2-40B4-BE49-F238E27FC236}">
              <a16:creationId xmlns:a16="http://schemas.microsoft.com/office/drawing/2014/main" id="{00000000-0008-0000-1200-00006C020000}"/>
            </a:ext>
          </a:extLst>
        </xdr:cNvPr>
        <xdr:cNvCxnSpPr/>
      </xdr:nvCxnSpPr>
      <xdr:spPr>
        <a:xfrm>
          <a:off x="10615083"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897</xdr:row>
      <xdr:rowOff>52916</xdr:rowOff>
    </xdr:from>
    <xdr:to>
      <xdr:col>15</xdr:col>
      <xdr:colOff>592666</xdr:colOff>
      <xdr:row>903</xdr:row>
      <xdr:rowOff>63501</xdr:rowOff>
    </xdr:to>
    <xdr:cxnSp macro="">
      <xdr:nvCxnSpPr>
        <xdr:cNvPr id="621" name="Straight Arrow Connector 620">
          <a:extLst>
            <a:ext uri="{FF2B5EF4-FFF2-40B4-BE49-F238E27FC236}">
              <a16:creationId xmlns:a16="http://schemas.microsoft.com/office/drawing/2014/main" id="{00000000-0008-0000-1200-00006D020000}"/>
            </a:ext>
          </a:extLst>
        </xdr:cNvPr>
        <xdr:cNvCxnSpPr/>
      </xdr:nvCxnSpPr>
      <xdr:spPr>
        <a:xfrm>
          <a:off x="10572750"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894</xdr:row>
      <xdr:rowOff>52917</xdr:rowOff>
    </xdr:from>
    <xdr:to>
      <xdr:col>15</xdr:col>
      <xdr:colOff>603250</xdr:colOff>
      <xdr:row>896</xdr:row>
      <xdr:rowOff>148167</xdr:rowOff>
    </xdr:to>
    <xdr:cxnSp macro="">
      <xdr:nvCxnSpPr>
        <xdr:cNvPr id="622" name="Straight Arrow Connector 621">
          <a:extLst>
            <a:ext uri="{FF2B5EF4-FFF2-40B4-BE49-F238E27FC236}">
              <a16:creationId xmlns:a16="http://schemas.microsoft.com/office/drawing/2014/main" id="{00000000-0008-0000-1200-00006E020000}"/>
            </a:ext>
          </a:extLst>
        </xdr:cNvPr>
        <xdr:cNvCxnSpPr/>
      </xdr:nvCxnSpPr>
      <xdr:spPr>
        <a:xfrm flipV="1">
          <a:off x="10583333"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805</xdr:row>
      <xdr:rowOff>127000</xdr:rowOff>
    </xdr:from>
    <xdr:to>
      <xdr:col>8</xdr:col>
      <xdr:colOff>63500</xdr:colOff>
      <xdr:row>824</xdr:row>
      <xdr:rowOff>0</xdr:rowOff>
    </xdr:to>
    <xdr:cxnSp macro="">
      <xdr:nvCxnSpPr>
        <xdr:cNvPr id="623" name="Straight Arrow Connector 622">
          <a:extLst>
            <a:ext uri="{FF2B5EF4-FFF2-40B4-BE49-F238E27FC236}">
              <a16:creationId xmlns:a16="http://schemas.microsoft.com/office/drawing/2014/main" id="{00000000-0008-0000-1200-00006F020000}"/>
            </a:ext>
          </a:extLst>
        </xdr:cNvPr>
        <xdr:cNvCxnSpPr/>
      </xdr:nvCxnSpPr>
      <xdr:spPr>
        <a:xfrm flipV="1">
          <a:off x="5207000" y="68135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912</xdr:row>
      <xdr:rowOff>10584</xdr:rowOff>
    </xdr:from>
    <xdr:to>
      <xdr:col>1</xdr:col>
      <xdr:colOff>603250</xdr:colOff>
      <xdr:row>1005</xdr:row>
      <xdr:rowOff>158750</xdr:rowOff>
    </xdr:to>
    <xdr:cxnSp macro="">
      <xdr:nvCxnSpPr>
        <xdr:cNvPr id="624" name="Straight Arrow Connector 623">
          <a:extLst>
            <a:ext uri="{FF2B5EF4-FFF2-40B4-BE49-F238E27FC236}">
              <a16:creationId xmlns:a16="http://schemas.microsoft.com/office/drawing/2014/main" id="{00000000-0008-0000-1200-000070020000}"/>
            </a:ext>
          </a:extLst>
        </xdr:cNvPr>
        <xdr:cNvCxnSpPr/>
      </xdr:nvCxnSpPr>
      <xdr:spPr>
        <a:xfrm flipV="1">
          <a:off x="603250" y="963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1008</xdr:row>
      <xdr:rowOff>169333</xdr:rowOff>
    </xdr:from>
    <xdr:to>
      <xdr:col>1</xdr:col>
      <xdr:colOff>603250</xdr:colOff>
      <xdr:row>1050</xdr:row>
      <xdr:rowOff>148167</xdr:rowOff>
    </xdr:to>
    <xdr:cxnSp macro="">
      <xdr:nvCxnSpPr>
        <xdr:cNvPr id="625" name="Straight Arrow Connector 624">
          <a:extLst>
            <a:ext uri="{FF2B5EF4-FFF2-40B4-BE49-F238E27FC236}">
              <a16:creationId xmlns:a16="http://schemas.microsoft.com/office/drawing/2014/main" id="{00000000-0008-0000-1200-000071020000}"/>
            </a:ext>
          </a:extLst>
        </xdr:cNvPr>
        <xdr:cNvCxnSpPr/>
      </xdr:nvCxnSpPr>
      <xdr:spPr>
        <a:xfrm>
          <a:off x="603250" y="19790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984</xdr:row>
      <xdr:rowOff>158750</xdr:rowOff>
    </xdr:from>
    <xdr:to>
      <xdr:col>3</xdr:col>
      <xdr:colOff>603250</xdr:colOff>
      <xdr:row>1051</xdr:row>
      <xdr:rowOff>10583</xdr:rowOff>
    </xdr:to>
    <xdr:cxnSp macro="">
      <xdr:nvCxnSpPr>
        <xdr:cNvPr id="626" name="Straight Arrow Connector 625">
          <a:extLst>
            <a:ext uri="{FF2B5EF4-FFF2-40B4-BE49-F238E27FC236}">
              <a16:creationId xmlns:a16="http://schemas.microsoft.com/office/drawing/2014/main" id="{00000000-0008-0000-1200-000072020000}"/>
            </a:ext>
          </a:extLst>
        </xdr:cNvPr>
        <xdr:cNvCxnSpPr/>
      </xdr:nvCxnSpPr>
      <xdr:spPr>
        <a:xfrm flipV="1">
          <a:off x="2296584"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1053</xdr:row>
      <xdr:rowOff>10583</xdr:rowOff>
    </xdr:from>
    <xdr:to>
      <xdr:col>4</xdr:col>
      <xdr:colOff>63500</xdr:colOff>
      <xdr:row>1204</xdr:row>
      <xdr:rowOff>158750</xdr:rowOff>
    </xdr:to>
    <xdr:cxnSp macro="">
      <xdr:nvCxnSpPr>
        <xdr:cNvPr id="627" name="Straight Arrow Connector 626">
          <a:extLst>
            <a:ext uri="{FF2B5EF4-FFF2-40B4-BE49-F238E27FC236}">
              <a16:creationId xmlns:a16="http://schemas.microsoft.com/office/drawing/2014/main" id="{00000000-0008-0000-1200-00007302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947</xdr:row>
      <xdr:rowOff>1</xdr:rowOff>
    </xdr:from>
    <xdr:to>
      <xdr:col>6</xdr:col>
      <xdr:colOff>0</xdr:colOff>
      <xdr:row>981</xdr:row>
      <xdr:rowOff>116417</xdr:rowOff>
    </xdr:to>
    <xdr:cxnSp macro="">
      <xdr:nvCxnSpPr>
        <xdr:cNvPr id="628" name="Straight Arrow Connector 627">
          <a:extLst>
            <a:ext uri="{FF2B5EF4-FFF2-40B4-BE49-F238E27FC236}">
              <a16:creationId xmlns:a16="http://schemas.microsoft.com/office/drawing/2014/main" id="{00000000-0008-0000-1200-00007402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984</xdr:row>
      <xdr:rowOff>169334</xdr:rowOff>
    </xdr:from>
    <xdr:to>
      <xdr:col>5</xdr:col>
      <xdr:colOff>571500</xdr:colOff>
      <xdr:row>1053</xdr:row>
      <xdr:rowOff>0</xdr:rowOff>
    </xdr:to>
    <xdr:cxnSp macro="">
      <xdr:nvCxnSpPr>
        <xdr:cNvPr id="629" name="Straight Arrow Connector 628">
          <a:extLst>
            <a:ext uri="{FF2B5EF4-FFF2-40B4-BE49-F238E27FC236}">
              <a16:creationId xmlns:a16="http://schemas.microsoft.com/office/drawing/2014/main" id="{00000000-0008-0000-1200-00007502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922</xdr:row>
      <xdr:rowOff>148167</xdr:rowOff>
    </xdr:from>
    <xdr:to>
      <xdr:col>7</xdr:col>
      <xdr:colOff>603250</xdr:colOff>
      <xdr:row>944</xdr:row>
      <xdr:rowOff>31750</xdr:rowOff>
    </xdr:to>
    <xdr:cxnSp macro="">
      <xdr:nvCxnSpPr>
        <xdr:cNvPr id="630" name="Straight Arrow Connector 629">
          <a:extLst>
            <a:ext uri="{FF2B5EF4-FFF2-40B4-BE49-F238E27FC236}">
              <a16:creationId xmlns:a16="http://schemas.microsoft.com/office/drawing/2014/main" id="{00000000-0008-0000-1200-00007602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947</xdr:row>
      <xdr:rowOff>10584</xdr:rowOff>
    </xdr:from>
    <xdr:to>
      <xdr:col>8</xdr:col>
      <xdr:colOff>21167</xdr:colOff>
      <xdr:row>975</xdr:row>
      <xdr:rowOff>148166</xdr:rowOff>
    </xdr:to>
    <xdr:cxnSp macro="">
      <xdr:nvCxnSpPr>
        <xdr:cNvPr id="631" name="Straight Arrow Connector 630">
          <a:extLst>
            <a:ext uri="{FF2B5EF4-FFF2-40B4-BE49-F238E27FC236}">
              <a16:creationId xmlns:a16="http://schemas.microsoft.com/office/drawing/2014/main" id="{00000000-0008-0000-1200-00007702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914</xdr:row>
      <xdr:rowOff>137583</xdr:rowOff>
    </xdr:from>
    <xdr:to>
      <xdr:col>9</xdr:col>
      <xdr:colOff>603250</xdr:colOff>
      <xdr:row>920</xdr:row>
      <xdr:rowOff>21166</xdr:rowOff>
    </xdr:to>
    <xdr:cxnSp macro="">
      <xdr:nvCxnSpPr>
        <xdr:cNvPr id="632" name="Straight Arrow Connector 631">
          <a:extLst>
            <a:ext uri="{FF2B5EF4-FFF2-40B4-BE49-F238E27FC236}">
              <a16:creationId xmlns:a16="http://schemas.microsoft.com/office/drawing/2014/main" id="{00000000-0008-0000-1200-00007802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923</xdr:row>
      <xdr:rowOff>0</xdr:rowOff>
    </xdr:from>
    <xdr:to>
      <xdr:col>9</xdr:col>
      <xdr:colOff>582083</xdr:colOff>
      <xdr:row>931</xdr:row>
      <xdr:rowOff>10583</xdr:rowOff>
    </xdr:to>
    <xdr:cxnSp macro="">
      <xdr:nvCxnSpPr>
        <xdr:cNvPr id="633" name="Straight Arrow Connector 632">
          <a:extLst>
            <a:ext uri="{FF2B5EF4-FFF2-40B4-BE49-F238E27FC236}">
              <a16:creationId xmlns:a16="http://schemas.microsoft.com/office/drawing/2014/main" id="{00000000-0008-0000-1200-00007902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928</xdr:row>
      <xdr:rowOff>169333</xdr:rowOff>
    </xdr:from>
    <xdr:to>
      <xdr:col>11</xdr:col>
      <xdr:colOff>603250</xdr:colOff>
      <xdr:row>931</xdr:row>
      <xdr:rowOff>21167</xdr:rowOff>
    </xdr:to>
    <xdr:cxnSp macro="">
      <xdr:nvCxnSpPr>
        <xdr:cNvPr id="634" name="Straight Arrow Connector 633">
          <a:extLst>
            <a:ext uri="{FF2B5EF4-FFF2-40B4-BE49-F238E27FC236}">
              <a16:creationId xmlns:a16="http://schemas.microsoft.com/office/drawing/2014/main" id="{00000000-0008-0000-1200-00007A02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934</xdr:row>
      <xdr:rowOff>42333</xdr:rowOff>
    </xdr:from>
    <xdr:to>
      <xdr:col>11</xdr:col>
      <xdr:colOff>603250</xdr:colOff>
      <xdr:row>946</xdr:row>
      <xdr:rowOff>10583</xdr:rowOff>
    </xdr:to>
    <xdr:cxnSp macro="">
      <xdr:nvCxnSpPr>
        <xdr:cNvPr id="635" name="Straight Arrow Connector 634">
          <a:extLst>
            <a:ext uri="{FF2B5EF4-FFF2-40B4-BE49-F238E27FC236}">
              <a16:creationId xmlns:a16="http://schemas.microsoft.com/office/drawing/2014/main" id="{00000000-0008-0000-1200-00007B02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924</xdr:row>
      <xdr:rowOff>21167</xdr:rowOff>
    </xdr:from>
    <xdr:to>
      <xdr:col>13</xdr:col>
      <xdr:colOff>592667</xdr:colOff>
      <xdr:row>926</xdr:row>
      <xdr:rowOff>0</xdr:rowOff>
    </xdr:to>
    <xdr:cxnSp macro="">
      <xdr:nvCxnSpPr>
        <xdr:cNvPr id="636" name="Straight Arrow Connector 635">
          <a:extLst>
            <a:ext uri="{FF2B5EF4-FFF2-40B4-BE49-F238E27FC236}">
              <a16:creationId xmlns:a16="http://schemas.microsoft.com/office/drawing/2014/main" id="{00000000-0008-0000-1200-00007C02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929</xdr:row>
      <xdr:rowOff>21166</xdr:rowOff>
    </xdr:from>
    <xdr:to>
      <xdr:col>13</xdr:col>
      <xdr:colOff>592667</xdr:colOff>
      <xdr:row>930</xdr:row>
      <xdr:rowOff>169334</xdr:rowOff>
    </xdr:to>
    <xdr:cxnSp macro="">
      <xdr:nvCxnSpPr>
        <xdr:cNvPr id="637" name="Straight Arrow Connector 636">
          <a:extLst>
            <a:ext uri="{FF2B5EF4-FFF2-40B4-BE49-F238E27FC236}">
              <a16:creationId xmlns:a16="http://schemas.microsoft.com/office/drawing/2014/main" id="{00000000-0008-0000-1200-00007D02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944</xdr:row>
      <xdr:rowOff>21167</xdr:rowOff>
    </xdr:from>
    <xdr:to>
      <xdr:col>13</xdr:col>
      <xdr:colOff>592667</xdr:colOff>
      <xdr:row>946</xdr:row>
      <xdr:rowOff>63500</xdr:rowOff>
    </xdr:to>
    <xdr:cxnSp macro="">
      <xdr:nvCxnSpPr>
        <xdr:cNvPr id="638" name="Straight Arrow Connector 637">
          <a:extLst>
            <a:ext uri="{FF2B5EF4-FFF2-40B4-BE49-F238E27FC236}">
              <a16:creationId xmlns:a16="http://schemas.microsoft.com/office/drawing/2014/main" id="{00000000-0008-0000-1200-00007E02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949</xdr:row>
      <xdr:rowOff>0</xdr:rowOff>
    </xdr:from>
    <xdr:to>
      <xdr:col>14</xdr:col>
      <xdr:colOff>10584</xdr:colOff>
      <xdr:row>957</xdr:row>
      <xdr:rowOff>148167</xdr:rowOff>
    </xdr:to>
    <xdr:cxnSp macro="">
      <xdr:nvCxnSpPr>
        <xdr:cNvPr id="639" name="Straight Arrow Connector 638">
          <a:extLst>
            <a:ext uri="{FF2B5EF4-FFF2-40B4-BE49-F238E27FC236}">
              <a16:creationId xmlns:a16="http://schemas.microsoft.com/office/drawing/2014/main" id="{00000000-0008-0000-1200-00007F02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916</xdr:row>
      <xdr:rowOff>0</xdr:rowOff>
    </xdr:from>
    <xdr:to>
      <xdr:col>15</xdr:col>
      <xdr:colOff>603250</xdr:colOff>
      <xdr:row>921</xdr:row>
      <xdr:rowOff>31750</xdr:rowOff>
    </xdr:to>
    <xdr:cxnSp macro="">
      <xdr:nvCxnSpPr>
        <xdr:cNvPr id="640" name="Straight Arrow Connector 639">
          <a:extLst>
            <a:ext uri="{FF2B5EF4-FFF2-40B4-BE49-F238E27FC236}">
              <a16:creationId xmlns:a16="http://schemas.microsoft.com/office/drawing/2014/main" id="{00000000-0008-0000-1200-00008002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919</xdr:row>
      <xdr:rowOff>52917</xdr:rowOff>
    </xdr:from>
    <xdr:to>
      <xdr:col>15</xdr:col>
      <xdr:colOff>603250</xdr:colOff>
      <xdr:row>921</xdr:row>
      <xdr:rowOff>95250</xdr:rowOff>
    </xdr:to>
    <xdr:cxnSp macro="">
      <xdr:nvCxnSpPr>
        <xdr:cNvPr id="641" name="Straight Arrow Connector 640">
          <a:extLst>
            <a:ext uri="{FF2B5EF4-FFF2-40B4-BE49-F238E27FC236}">
              <a16:creationId xmlns:a16="http://schemas.microsoft.com/office/drawing/2014/main" id="{00000000-0008-0000-1200-00008102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921</xdr:row>
      <xdr:rowOff>158750</xdr:rowOff>
    </xdr:from>
    <xdr:to>
      <xdr:col>15</xdr:col>
      <xdr:colOff>582083</xdr:colOff>
      <xdr:row>922</xdr:row>
      <xdr:rowOff>137583</xdr:rowOff>
    </xdr:to>
    <xdr:cxnSp macro="">
      <xdr:nvCxnSpPr>
        <xdr:cNvPr id="642" name="Straight Arrow Connector 641">
          <a:extLst>
            <a:ext uri="{FF2B5EF4-FFF2-40B4-BE49-F238E27FC236}">
              <a16:creationId xmlns:a16="http://schemas.microsoft.com/office/drawing/2014/main" id="{00000000-0008-0000-1200-00008202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921</xdr:row>
      <xdr:rowOff>105834</xdr:rowOff>
    </xdr:from>
    <xdr:to>
      <xdr:col>16</xdr:col>
      <xdr:colOff>0</xdr:colOff>
      <xdr:row>925</xdr:row>
      <xdr:rowOff>84667</xdr:rowOff>
    </xdr:to>
    <xdr:cxnSp macro="">
      <xdr:nvCxnSpPr>
        <xdr:cNvPr id="643" name="Straight Arrow Connector 642">
          <a:extLst>
            <a:ext uri="{FF2B5EF4-FFF2-40B4-BE49-F238E27FC236}">
              <a16:creationId xmlns:a16="http://schemas.microsoft.com/office/drawing/2014/main" id="{00000000-0008-0000-1200-00008302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929</xdr:row>
      <xdr:rowOff>52916</xdr:rowOff>
    </xdr:from>
    <xdr:to>
      <xdr:col>16</xdr:col>
      <xdr:colOff>0</xdr:colOff>
      <xdr:row>931</xdr:row>
      <xdr:rowOff>0</xdr:rowOff>
    </xdr:to>
    <xdr:cxnSp macro="">
      <xdr:nvCxnSpPr>
        <xdr:cNvPr id="644" name="Straight Arrow Connector 643">
          <a:extLst>
            <a:ext uri="{FF2B5EF4-FFF2-40B4-BE49-F238E27FC236}">
              <a16:creationId xmlns:a16="http://schemas.microsoft.com/office/drawing/2014/main" id="{00000000-0008-0000-1200-00008402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931</xdr:row>
      <xdr:rowOff>21167</xdr:rowOff>
    </xdr:from>
    <xdr:to>
      <xdr:col>15</xdr:col>
      <xdr:colOff>582083</xdr:colOff>
      <xdr:row>932</xdr:row>
      <xdr:rowOff>42333</xdr:rowOff>
    </xdr:to>
    <xdr:cxnSp macro="">
      <xdr:nvCxnSpPr>
        <xdr:cNvPr id="645" name="Straight Arrow Connector 644">
          <a:extLst>
            <a:ext uri="{FF2B5EF4-FFF2-40B4-BE49-F238E27FC236}">
              <a16:creationId xmlns:a16="http://schemas.microsoft.com/office/drawing/2014/main" id="{00000000-0008-0000-1200-00008502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931</xdr:row>
      <xdr:rowOff>21167</xdr:rowOff>
    </xdr:from>
    <xdr:to>
      <xdr:col>16</xdr:col>
      <xdr:colOff>42333</xdr:colOff>
      <xdr:row>936</xdr:row>
      <xdr:rowOff>21168</xdr:rowOff>
    </xdr:to>
    <xdr:cxnSp macro="">
      <xdr:nvCxnSpPr>
        <xdr:cNvPr id="646" name="Straight Arrow Connector 645">
          <a:extLst>
            <a:ext uri="{FF2B5EF4-FFF2-40B4-BE49-F238E27FC236}">
              <a16:creationId xmlns:a16="http://schemas.microsoft.com/office/drawing/2014/main" id="{00000000-0008-0000-1200-00008602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931</xdr:row>
      <xdr:rowOff>31750</xdr:rowOff>
    </xdr:from>
    <xdr:to>
      <xdr:col>16</xdr:col>
      <xdr:colOff>42334</xdr:colOff>
      <xdr:row>938</xdr:row>
      <xdr:rowOff>63501</xdr:rowOff>
    </xdr:to>
    <xdr:cxnSp macro="">
      <xdr:nvCxnSpPr>
        <xdr:cNvPr id="647" name="Straight Arrow Connector 646">
          <a:extLst>
            <a:ext uri="{FF2B5EF4-FFF2-40B4-BE49-F238E27FC236}">
              <a16:creationId xmlns:a16="http://schemas.microsoft.com/office/drawing/2014/main" id="{00000000-0008-0000-1200-00008702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968</xdr:row>
      <xdr:rowOff>42333</xdr:rowOff>
    </xdr:from>
    <xdr:to>
      <xdr:col>9</xdr:col>
      <xdr:colOff>592666</xdr:colOff>
      <xdr:row>976</xdr:row>
      <xdr:rowOff>42333</xdr:rowOff>
    </xdr:to>
    <xdr:cxnSp macro="">
      <xdr:nvCxnSpPr>
        <xdr:cNvPr id="648" name="Straight Arrow Connector 647">
          <a:extLst>
            <a:ext uri="{FF2B5EF4-FFF2-40B4-BE49-F238E27FC236}">
              <a16:creationId xmlns:a16="http://schemas.microsoft.com/office/drawing/2014/main" id="{00000000-0008-0000-1200-00008802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978</xdr:row>
      <xdr:rowOff>169334</xdr:rowOff>
    </xdr:from>
    <xdr:to>
      <xdr:col>9</xdr:col>
      <xdr:colOff>603250</xdr:colOff>
      <xdr:row>987</xdr:row>
      <xdr:rowOff>31750</xdr:rowOff>
    </xdr:to>
    <xdr:cxnSp macro="">
      <xdr:nvCxnSpPr>
        <xdr:cNvPr id="649" name="Straight Arrow Connector 648">
          <a:extLst>
            <a:ext uri="{FF2B5EF4-FFF2-40B4-BE49-F238E27FC236}">
              <a16:creationId xmlns:a16="http://schemas.microsoft.com/office/drawing/2014/main" id="{00000000-0008-0000-1200-00008902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984</xdr:row>
      <xdr:rowOff>158750</xdr:rowOff>
    </xdr:from>
    <xdr:to>
      <xdr:col>11</xdr:col>
      <xdr:colOff>571500</xdr:colOff>
      <xdr:row>987</xdr:row>
      <xdr:rowOff>0</xdr:rowOff>
    </xdr:to>
    <xdr:cxnSp macro="">
      <xdr:nvCxnSpPr>
        <xdr:cNvPr id="650" name="Straight Arrow Connector 649">
          <a:extLst>
            <a:ext uri="{FF2B5EF4-FFF2-40B4-BE49-F238E27FC236}">
              <a16:creationId xmlns:a16="http://schemas.microsoft.com/office/drawing/2014/main" id="{00000000-0008-0000-1200-00008A02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942</xdr:row>
      <xdr:rowOff>0</xdr:rowOff>
    </xdr:from>
    <xdr:to>
      <xdr:col>15</xdr:col>
      <xdr:colOff>603250</xdr:colOff>
      <xdr:row>944</xdr:row>
      <xdr:rowOff>1</xdr:rowOff>
    </xdr:to>
    <xdr:cxnSp macro="">
      <xdr:nvCxnSpPr>
        <xdr:cNvPr id="651" name="Straight Arrow Connector 650">
          <a:extLst>
            <a:ext uri="{FF2B5EF4-FFF2-40B4-BE49-F238E27FC236}">
              <a16:creationId xmlns:a16="http://schemas.microsoft.com/office/drawing/2014/main" id="{00000000-0008-0000-1200-00008B02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944</xdr:row>
      <xdr:rowOff>10584</xdr:rowOff>
    </xdr:from>
    <xdr:to>
      <xdr:col>15</xdr:col>
      <xdr:colOff>592666</xdr:colOff>
      <xdr:row>945</xdr:row>
      <xdr:rowOff>95250</xdr:rowOff>
    </xdr:to>
    <xdr:cxnSp macro="">
      <xdr:nvCxnSpPr>
        <xdr:cNvPr id="652" name="Straight Arrow Connector 651">
          <a:extLst>
            <a:ext uri="{FF2B5EF4-FFF2-40B4-BE49-F238E27FC236}">
              <a16:creationId xmlns:a16="http://schemas.microsoft.com/office/drawing/2014/main" id="{00000000-0008-0000-1200-00008C02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944</xdr:row>
      <xdr:rowOff>10584</xdr:rowOff>
    </xdr:from>
    <xdr:to>
      <xdr:col>15</xdr:col>
      <xdr:colOff>560916</xdr:colOff>
      <xdr:row>948</xdr:row>
      <xdr:rowOff>52917</xdr:rowOff>
    </xdr:to>
    <xdr:cxnSp macro="">
      <xdr:nvCxnSpPr>
        <xdr:cNvPr id="653" name="Straight Arrow Connector 652">
          <a:extLst>
            <a:ext uri="{FF2B5EF4-FFF2-40B4-BE49-F238E27FC236}">
              <a16:creationId xmlns:a16="http://schemas.microsoft.com/office/drawing/2014/main" id="{00000000-0008-0000-1200-00008D02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944</xdr:row>
      <xdr:rowOff>31750</xdr:rowOff>
    </xdr:from>
    <xdr:to>
      <xdr:col>16</xdr:col>
      <xdr:colOff>21167</xdr:colOff>
      <xdr:row>951</xdr:row>
      <xdr:rowOff>95250</xdr:rowOff>
    </xdr:to>
    <xdr:cxnSp macro="">
      <xdr:nvCxnSpPr>
        <xdr:cNvPr id="654" name="Straight Arrow Connector 653">
          <a:extLst>
            <a:ext uri="{FF2B5EF4-FFF2-40B4-BE49-F238E27FC236}">
              <a16:creationId xmlns:a16="http://schemas.microsoft.com/office/drawing/2014/main" id="{00000000-0008-0000-1200-00008E02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958</xdr:row>
      <xdr:rowOff>0</xdr:rowOff>
    </xdr:from>
    <xdr:to>
      <xdr:col>16</xdr:col>
      <xdr:colOff>0</xdr:colOff>
      <xdr:row>958</xdr:row>
      <xdr:rowOff>42334</xdr:rowOff>
    </xdr:to>
    <xdr:cxnSp macro="">
      <xdr:nvCxnSpPr>
        <xdr:cNvPr id="655" name="Straight Arrow Connector 654">
          <a:extLst>
            <a:ext uri="{FF2B5EF4-FFF2-40B4-BE49-F238E27FC236}">
              <a16:creationId xmlns:a16="http://schemas.microsoft.com/office/drawing/2014/main" id="{00000000-0008-0000-1200-00008F02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958</xdr:row>
      <xdr:rowOff>21166</xdr:rowOff>
    </xdr:from>
    <xdr:to>
      <xdr:col>15</xdr:col>
      <xdr:colOff>560916</xdr:colOff>
      <xdr:row>961</xdr:row>
      <xdr:rowOff>84667</xdr:rowOff>
    </xdr:to>
    <xdr:cxnSp macro="">
      <xdr:nvCxnSpPr>
        <xdr:cNvPr id="656" name="Straight Arrow Connector 655">
          <a:extLst>
            <a:ext uri="{FF2B5EF4-FFF2-40B4-BE49-F238E27FC236}">
              <a16:creationId xmlns:a16="http://schemas.microsoft.com/office/drawing/2014/main" id="{00000000-0008-0000-1200-00009002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958</xdr:row>
      <xdr:rowOff>52916</xdr:rowOff>
    </xdr:from>
    <xdr:to>
      <xdr:col>15</xdr:col>
      <xdr:colOff>592666</xdr:colOff>
      <xdr:row>964</xdr:row>
      <xdr:rowOff>63501</xdr:rowOff>
    </xdr:to>
    <xdr:cxnSp macro="">
      <xdr:nvCxnSpPr>
        <xdr:cNvPr id="657" name="Straight Arrow Connector 656">
          <a:extLst>
            <a:ext uri="{FF2B5EF4-FFF2-40B4-BE49-F238E27FC236}">
              <a16:creationId xmlns:a16="http://schemas.microsoft.com/office/drawing/2014/main" id="{00000000-0008-0000-1200-00009102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972</xdr:row>
      <xdr:rowOff>116416</xdr:rowOff>
    </xdr:from>
    <xdr:to>
      <xdr:col>15</xdr:col>
      <xdr:colOff>592666</xdr:colOff>
      <xdr:row>975</xdr:row>
      <xdr:rowOff>158750</xdr:rowOff>
    </xdr:to>
    <xdr:cxnSp macro="">
      <xdr:nvCxnSpPr>
        <xdr:cNvPr id="658" name="Straight Arrow Connector 657">
          <a:extLst>
            <a:ext uri="{FF2B5EF4-FFF2-40B4-BE49-F238E27FC236}">
              <a16:creationId xmlns:a16="http://schemas.microsoft.com/office/drawing/2014/main" id="{00000000-0008-0000-1200-00009202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974</xdr:row>
      <xdr:rowOff>95250</xdr:rowOff>
    </xdr:from>
    <xdr:to>
      <xdr:col>15</xdr:col>
      <xdr:colOff>582083</xdr:colOff>
      <xdr:row>976</xdr:row>
      <xdr:rowOff>52917</xdr:rowOff>
    </xdr:to>
    <xdr:cxnSp macro="">
      <xdr:nvCxnSpPr>
        <xdr:cNvPr id="659" name="Straight Arrow Connector 658">
          <a:extLst>
            <a:ext uri="{FF2B5EF4-FFF2-40B4-BE49-F238E27FC236}">
              <a16:creationId xmlns:a16="http://schemas.microsoft.com/office/drawing/2014/main" id="{00000000-0008-0000-1200-00009302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116417</xdr:rowOff>
    </xdr:from>
    <xdr:to>
      <xdr:col>15</xdr:col>
      <xdr:colOff>592666</xdr:colOff>
      <xdr:row>980</xdr:row>
      <xdr:rowOff>95250</xdr:rowOff>
    </xdr:to>
    <xdr:cxnSp macro="">
      <xdr:nvCxnSpPr>
        <xdr:cNvPr id="660" name="Straight Arrow Connector 659">
          <a:extLst>
            <a:ext uri="{FF2B5EF4-FFF2-40B4-BE49-F238E27FC236}">
              <a16:creationId xmlns:a16="http://schemas.microsoft.com/office/drawing/2014/main" id="{00000000-0008-0000-1200-00009402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987</xdr:row>
      <xdr:rowOff>116416</xdr:rowOff>
    </xdr:from>
    <xdr:to>
      <xdr:col>16</xdr:col>
      <xdr:colOff>0</xdr:colOff>
      <xdr:row>994</xdr:row>
      <xdr:rowOff>74084</xdr:rowOff>
    </xdr:to>
    <xdr:cxnSp macro="">
      <xdr:nvCxnSpPr>
        <xdr:cNvPr id="661" name="Straight Arrow Connector 660">
          <a:extLst>
            <a:ext uri="{FF2B5EF4-FFF2-40B4-BE49-F238E27FC236}">
              <a16:creationId xmlns:a16="http://schemas.microsoft.com/office/drawing/2014/main" id="{00000000-0008-0000-1200-00009502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955</xdr:row>
      <xdr:rowOff>52917</xdr:rowOff>
    </xdr:from>
    <xdr:to>
      <xdr:col>15</xdr:col>
      <xdr:colOff>603250</xdr:colOff>
      <xdr:row>957</xdr:row>
      <xdr:rowOff>148167</xdr:rowOff>
    </xdr:to>
    <xdr:cxnSp macro="">
      <xdr:nvCxnSpPr>
        <xdr:cNvPr id="662" name="Straight Arrow Connector 661">
          <a:extLst>
            <a:ext uri="{FF2B5EF4-FFF2-40B4-BE49-F238E27FC236}">
              <a16:creationId xmlns:a16="http://schemas.microsoft.com/office/drawing/2014/main" id="{00000000-0008-0000-1200-00009602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990</xdr:row>
      <xdr:rowOff>42333</xdr:rowOff>
    </xdr:from>
    <xdr:to>
      <xdr:col>11</xdr:col>
      <xdr:colOff>603250</xdr:colOff>
      <xdr:row>1002</xdr:row>
      <xdr:rowOff>10583</xdr:rowOff>
    </xdr:to>
    <xdr:cxnSp macro="">
      <xdr:nvCxnSpPr>
        <xdr:cNvPr id="663" name="Straight Arrow Connector 662">
          <a:extLst>
            <a:ext uri="{FF2B5EF4-FFF2-40B4-BE49-F238E27FC236}">
              <a16:creationId xmlns:a16="http://schemas.microsoft.com/office/drawing/2014/main" id="{00000000-0008-0000-1200-00009702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980</xdr:row>
      <xdr:rowOff>21167</xdr:rowOff>
    </xdr:from>
    <xdr:to>
      <xdr:col>13</xdr:col>
      <xdr:colOff>592667</xdr:colOff>
      <xdr:row>982</xdr:row>
      <xdr:rowOff>0</xdr:rowOff>
    </xdr:to>
    <xdr:cxnSp macro="">
      <xdr:nvCxnSpPr>
        <xdr:cNvPr id="664" name="Straight Arrow Connector 663">
          <a:extLst>
            <a:ext uri="{FF2B5EF4-FFF2-40B4-BE49-F238E27FC236}">
              <a16:creationId xmlns:a16="http://schemas.microsoft.com/office/drawing/2014/main" id="{00000000-0008-0000-1200-00009802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985</xdr:row>
      <xdr:rowOff>21166</xdr:rowOff>
    </xdr:from>
    <xdr:to>
      <xdr:col>13</xdr:col>
      <xdr:colOff>592667</xdr:colOff>
      <xdr:row>986</xdr:row>
      <xdr:rowOff>169334</xdr:rowOff>
    </xdr:to>
    <xdr:cxnSp macro="">
      <xdr:nvCxnSpPr>
        <xdr:cNvPr id="665" name="Straight Arrow Connector 664">
          <a:extLst>
            <a:ext uri="{FF2B5EF4-FFF2-40B4-BE49-F238E27FC236}">
              <a16:creationId xmlns:a16="http://schemas.microsoft.com/office/drawing/2014/main" id="{00000000-0008-0000-1200-00009902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1000</xdr:row>
      <xdr:rowOff>21167</xdr:rowOff>
    </xdr:from>
    <xdr:to>
      <xdr:col>13</xdr:col>
      <xdr:colOff>592667</xdr:colOff>
      <xdr:row>1002</xdr:row>
      <xdr:rowOff>63500</xdr:rowOff>
    </xdr:to>
    <xdr:cxnSp macro="">
      <xdr:nvCxnSpPr>
        <xdr:cNvPr id="666" name="Straight Arrow Connector 665">
          <a:extLst>
            <a:ext uri="{FF2B5EF4-FFF2-40B4-BE49-F238E27FC236}">
              <a16:creationId xmlns:a16="http://schemas.microsoft.com/office/drawing/2014/main" id="{00000000-0008-0000-1200-00009A02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1005</xdr:row>
      <xdr:rowOff>0</xdr:rowOff>
    </xdr:from>
    <xdr:to>
      <xdr:col>14</xdr:col>
      <xdr:colOff>10584</xdr:colOff>
      <xdr:row>1013</xdr:row>
      <xdr:rowOff>148167</xdr:rowOff>
    </xdr:to>
    <xdr:cxnSp macro="">
      <xdr:nvCxnSpPr>
        <xdr:cNvPr id="667" name="Straight Arrow Connector 666">
          <a:extLst>
            <a:ext uri="{FF2B5EF4-FFF2-40B4-BE49-F238E27FC236}">
              <a16:creationId xmlns:a16="http://schemas.microsoft.com/office/drawing/2014/main" id="{00000000-0008-0000-1200-00009B02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95250</xdr:rowOff>
    </xdr:from>
    <xdr:to>
      <xdr:col>15</xdr:col>
      <xdr:colOff>582083</xdr:colOff>
      <xdr:row>978</xdr:row>
      <xdr:rowOff>137583</xdr:rowOff>
    </xdr:to>
    <xdr:cxnSp macro="">
      <xdr:nvCxnSpPr>
        <xdr:cNvPr id="668" name="Straight Arrow Connector 667">
          <a:extLst>
            <a:ext uri="{FF2B5EF4-FFF2-40B4-BE49-F238E27FC236}">
              <a16:creationId xmlns:a16="http://schemas.microsoft.com/office/drawing/2014/main" id="{00000000-0008-0000-1200-00009C02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985</xdr:row>
      <xdr:rowOff>52916</xdr:rowOff>
    </xdr:from>
    <xdr:to>
      <xdr:col>16</xdr:col>
      <xdr:colOff>0</xdr:colOff>
      <xdr:row>987</xdr:row>
      <xdr:rowOff>0</xdr:rowOff>
    </xdr:to>
    <xdr:cxnSp macro="">
      <xdr:nvCxnSpPr>
        <xdr:cNvPr id="669" name="Straight Arrow Connector 668">
          <a:extLst>
            <a:ext uri="{FF2B5EF4-FFF2-40B4-BE49-F238E27FC236}">
              <a16:creationId xmlns:a16="http://schemas.microsoft.com/office/drawing/2014/main" id="{00000000-0008-0000-1200-00009D02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21167</xdr:rowOff>
    </xdr:from>
    <xdr:to>
      <xdr:col>15</xdr:col>
      <xdr:colOff>592666</xdr:colOff>
      <xdr:row>988</xdr:row>
      <xdr:rowOff>84667</xdr:rowOff>
    </xdr:to>
    <xdr:cxnSp macro="">
      <xdr:nvCxnSpPr>
        <xdr:cNvPr id="670" name="Straight Arrow Connector 669">
          <a:extLst>
            <a:ext uri="{FF2B5EF4-FFF2-40B4-BE49-F238E27FC236}">
              <a16:creationId xmlns:a16="http://schemas.microsoft.com/office/drawing/2014/main" id="{00000000-0008-0000-1200-00009E02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0</xdr:rowOff>
    </xdr:from>
    <xdr:to>
      <xdr:col>16</xdr:col>
      <xdr:colOff>0</xdr:colOff>
      <xdr:row>991</xdr:row>
      <xdr:rowOff>42334</xdr:rowOff>
    </xdr:to>
    <xdr:cxnSp macro="">
      <xdr:nvCxnSpPr>
        <xdr:cNvPr id="671" name="Straight Arrow Connector 670">
          <a:extLst>
            <a:ext uri="{FF2B5EF4-FFF2-40B4-BE49-F238E27FC236}">
              <a16:creationId xmlns:a16="http://schemas.microsoft.com/office/drawing/2014/main" id="{00000000-0008-0000-1200-00009F02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998</xdr:row>
      <xdr:rowOff>0</xdr:rowOff>
    </xdr:from>
    <xdr:to>
      <xdr:col>15</xdr:col>
      <xdr:colOff>603250</xdr:colOff>
      <xdr:row>1000</xdr:row>
      <xdr:rowOff>1</xdr:rowOff>
    </xdr:to>
    <xdr:cxnSp macro="">
      <xdr:nvCxnSpPr>
        <xdr:cNvPr id="672" name="Straight Arrow Connector 671">
          <a:extLst>
            <a:ext uri="{FF2B5EF4-FFF2-40B4-BE49-F238E27FC236}">
              <a16:creationId xmlns:a16="http://schemas.microsoft.com/office/drawing/2014/main" id="{00000000-0008-0000-1200-0000A002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1000</xdr:row>
      <xdr:rowOff>10584</xdr:rowOff>
    </xdr:from>
    <xdr:to>
      <xdr:col>15</xdr:col>
      <xdr:colOff>592666</xdr:colOff>
      <xdr:row>1001</xdr:row>
      <xdr:rowOff>95250</xdr:rowOff>
    </xdr:to>
    <xdr:cxnSp macro="">
      <xdr:nvCxnSpPr>
        <xdr:cNvPr id="673" name="Straight Arrow Connector 672">
          <a:extLst>
            <a:ext uri="{FF2B5EF4-FFF2-40B4-BE49-F238E27FC236}">
              <a16:creationId xmlns:a16="http://schemas.microsoft.com/office/drawing/2014/main" id="{00000000-0008-0000-1200-0000A102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1000</xdr:row>
      <xdr:rowOff>10584</xdr:rowOff>
    </xdr:from>
    <xdr:to>
      <xdr:col>15</xdr:col>
      <xdr:colOff>560916</xdr:colOff>
      <xdr:row>1004</xdr:row>
      <xdr:rowOff>52917</xdr:rowOff>
    </xdr:to>
    <xdr:cxnSp macro="">
      <xdr:nvCxnSpPr>
        <xdr:cNvPr id="674" name="Straight Arrow Connector 673">
          <a:extLst>
            <a:ext uri="{FF2B5EF4-FFF2-40B4-BE49-F238E27FC236}">
              <a16:creationId xmlns:a16="http://schemas.microsoft.com/office/drawing/2014/main" id="{00000000-0008-0000-1200-0000A202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675" name="Straight Arrow Connector 674">
          <a:extLst>
            <a:ext uri="{FF2B5EF4-FFF2-40B4-BE49-F238E27FC236}">
              <a16:creationId xmlns:a16="http://schemas.microsoft.com/office/drawing/2014/main" id="{00000000-0008-0000-1200-0000A302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1014</xdr:row>
      <xdr:rowOff>0</xdr:rowOff>
    </xdr:from>
    <xdr:to>
      <xdr:col>16</xdr:col>
      <xdr:colOff>0</xdr:colOff>
      <xdr:row>1014</xdr:row>
      <xdr:rowOff>42334</xdr:rowOff>
    </xdr:to>
    <xdr:cxnSp macro="">
      <xdr:nvCxnSpPr>
        <xdr:cNvPr id="676" name="Straight Arrow Connector 675">
          <a:extLst>
            <a:ext uri="{FF2B5EF4-FFF2-40B4-BE49-F238E27FC236}">
              <a16:creationId xmlns:a16="http://schemas.microsoft.com/office/drawing/2014/main" id="{00000000-0008-0000-1200-0000A402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1014</xdr:row>
      <xdr:rowOff>21166</xdr:rowOff>
    </xdr:from>
    <xdr:to>
      <xdr:col>15</xdr:col>
      <xdr:colOff>560916</xdr:colOff>
      <xdr:row>1017</xdr:row>
      <xdr:rowOff>84667</xdr:rowOff>
    </xdr:to>
    <xdr:cxnSp macro="">
      <xdr:nvCxnSpPr>
        <xdr:cNvPr id="677" name="Straight Arrow Connector 676">
          <a:extLst>
            <a:ext uri="{FF2B5EF4-FFF2-40B4-BE49-F238E27FC236}">
              <a16:creationId xmlns:a16="http://schemas.microsoft.com/office/drawing/2014/main" id="{00000000-0008-0000-1200-0000A502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1014</xdr:row>
      <xdr:rowOff>52916</xdr:rowOff>
    </xdr:from>
    <xdr:to>
      <xdr:col>15</xdr:col>
      <xdr:colOff>592666</xdr:colOff>
      <xdr:row>1020</xdr:row>
      <xdr:rowOff>63501</xdr:rowOff>
    </xdr:to>
    <xdr:cxnSp macro="">
      <xdr:nvCxnSpPr>
        <xdr:cNvPr id="678" name="Straight Arrow Connector 677">
          <a:extLst>
            <a:ext uri="{FF2B5EF4-FFF2-40B4-BE49-F238E27FC236}">
              <a16:creationId xmlns:a16="http://schemas.microsoft.com/office/drawing/2014/main" id="{00000000-0008-0000-1200-0000A602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1011</xdr:row>
      <xdr:rowOff>52917</xdr:rowOff>
    </xdr:from>
    <xdr:to>
      <xdr:col>15</xdr:col>
      <xdr:colOff>603250</xdr:colOff>
      <xdr:row>1013</xdr:row>
      <xdr:rowOff>148167</xdr:rowOff>
    </xdr:to>
    <xdr:cxnSp macro="">
      <xdr:nvCxnSpPr>
        <xdr:cNvPr id="679" name="Straight Arrow Connector 678">
          <a:extLst>
            <a:ext uri="{FF2B5EF4-FFF2-40B4-BE49-F238E27FC236}">
              <a16:creationId xmlns:a16="http://schemas.microsoft.com/office/drawing/2014/main" id="{00000000-0008-0000-1200-0000A702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1055</xdr:row>
      <xdr:rowOff>95250</xdr:rowOff>
    </xdr:from>
    <xdr:to>
      <xdr:col>8</xdr:col>
      <xdr:colOff>21167</xdr:colOff>
      <xdr:row>1087</xdr:row>
      <xdr:rowOff>148166</xdr:rowOff>
    </xdr:to>
    <xdr:cxnSp macro="">
      <xdr:nvCxnSpPr>
        <xdr:cNvPr id="680" name="Straight Arrow Connector 679">
          <a:extLst>
            <a:ext uri="{FF2B5EF4-FFF2-40B4-BE49-F238E27FC236}">
              <a16:creationId xmlns:a16="http://schemas.microsoft.com/office/drawing/2014/main" id="{00000000-0008-0000-1200-0000A802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1026</xdr:row>
      <xdr:rowOff>137583</xdr:rowOff>
    </xdr:from>
    <xdr:to>
      <xdr:col>9</xdr:col>
      <xdr:colOff>603250</xdr:colOff>
      <xdr:row>1032</xdr:row>
      <xdr:rowOff>21166</xdr:rowOff>
    </xdr:to>
    <xdr:cxnSp macro="">
      <xdr:nvCxnSpPr>
        <xdr:cNvPr id="681" name="Straight Arrow Connector 680">
          <a:extLst>
            <a:ext uri="{FF2B5EF4-FFF2-40B4-BE49-F238E27FC236}">
              <a16:creationId xmlns:a16="http://schemas.microsoft.com/office/drawing/2014/main" id="{00000000-0008-0000-1200-0000A902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1035</xdr:row>
      <xdr:rowOff>0</xdr:rowOff>
    </xdr:from>
    <xdr:to>
      <xdr:col>9</xdr:col>
      <xdr:colOff>582083</xdr:colOff>
      <xdr:row>1043</xdr:row>
      <xdr:rowOff>10583</xdr:rowOff>
    </xdr:to>
    <xdr:cxnSp macro="">
      <xdr:nvCxnSpPr>
        <xdr:cNvPr id="682" name="Straight Arrow Connector 681">
          <a:extLst>
            <a:ext uri="{FF2B5EF4-FFF2-40B4-BE49-F238E27FC236}">
              <a16:creationId xmlns:a16="http://schemas.microsoft.com/office/drawing/2014/main" id="{00000000-0008-0000-1200-0000AA02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683" name="Straight Arrow Connector 682">
          <a:extLst>
            <a:ext uri="{FF2B5EF4-FFF2-40B4-BE49-F238E27FC236}">
              <a16:creationId xmlns:a16="http://schemas.microsoft.com/office/drawing/2014/main" id="{00000000-0008-0000-1200-0000AB02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684" name="Straight Arrow Connector 683">
          <a:extLst>
            <a:ext uri="{FF2B5EF4-FFF2-40B4-BE49-F238E27FC236}">
              <a16:creationId xmlns:a16="http://schemas.microsoft.com/office/drawing/2014/main" id="{00000000-0008-0000-1200-0000AC02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685" name="Straight Arrow Connector 684">
          <a:extLst>
            <a:ext uri="{FF2B5EF4-FFF2-40B4-BE49-F238E27FC236}">
              <a16:creationId xmlns:a16="http://schemas.microsoft.com/office/drawing/2014/main" id="{00000000-0008-0000-1200-0000AD02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686" name="Straight Arrow Connector 685">
          <a:extLst>
            <a:ext uri="{FF2B5EF4-FFF2-40B4-BE49-F238E27FC236}">
              <a16:creationId xmlns:a16="http://schemas.microsoft.com/office/drawing/2014/main" id="{00000000-0008-0000-1200-0000AE020000}"/>
            </a:ext>
          </a:extLst>
        </xdr:cNvPr>
        <xdr:cNvCxnSpPr/>
      </xdr:nvCxnSpPr>
      <xdr:spPr>
        <a:xfrm>
          <a:off x="8784166" y="25929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687" name="Straight Arrow Connector 686">
          <a:extLst>
            <a:ext uri="{FF2B5EF4-FFF2-40B4-BE49-F238E27FC236}">
              <a16:creationId xmlns:a16="http://schemas.microsoft.com/office/drawing/2014/main" id="{00000000-0008-0000-1200-0000AF02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688" name="Straight Arrow Connector 687">
          <a:extLst>
            <a:ext uri="{FF2B5EF4-FFF2-40B4-BE49-F238E27FC236}">
              <a16:creationId xmlns:a16="http://schemas.microsoft.com/office/drawing/2014/main" id="{00000000-0008-0000-1200-0000B002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1028</xdr:row>
      <xdr:rowOff>0</xdr:rowOff>
    </xdr:from>
    <xdr:to>
      <xdr:col>15</xdr:col>
      <xdr:colOff>603250</xdr:colOff>
      <xdr:row>1033</xdr:row>
      <xdr:rowOff>31750</xdr:rowOff>
    </xdr:to>
    <xdr:cxnSp macro="">
      <xdr:nvCxnSpPr>
        <xdr:cNvPr id="689" name="Straight Arrow Connector 688">
          <a:extLst>
            <a:ext uri="{FF2B5EF4-FFF2-40B4-BE49-F238E27FC236}">
              <a16:creationId xmlns:a16="http://schemas.microsoft.com/office/drawing/2014/main" id="{00000000-0008-0000-1200-0000B102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690" name="Straight Arrow Connector 689">
          <a:extLst>
            <a:ext uri="{FF2B5EF4-FFF2-40B4-BE49-F238E27FC236}">
              <a16:creationId xmlns:a16="http://schemas.microsoft.com/office/drawing/2014/main" id="{00000000-0008-0000-1200-0000B202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691" name="Straight Arrow Connector 690">
          <a:extLst>
            <a:ext uri="{FF2B5EF4-FFF2-40B4-BE49-F238E27FC236}">
              <a16:creationId xmlns:a16="http://schemas.microsoft.com/office/drawing/2014/main" id="{00000000-0008-0000-1200-0000B302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692" name="Straight Arrow Connector 691">
          <a:extLst>
            <a:ext uri="{FF2B5EF4-FFF2-40B4-BE49-F238E27FC236}">
              <a16:creationId xmlns:a16="http://schemas.microsoft.com/office/drawing/2014/main" id="{00000000-0008-0000-1200-0000B402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1041</xdr:row>
      <xdr:rowOff>52916</xdr:rowOff>
    </xdr:from>
    <xdr:to>
      <xdr:col>16</xdr:col>
      <xdr:colOff>0</xdr:colOff>
      <xdr:row>1043</xdr:row>
      <xdr:rowOff>0</xdr:rowOff>
    </xdr:to>
    <xdr:cxnSp macro="">
      <xdr:nvCxnSpPr>
        <xdr:cNvPr id="693" name="Straight Arrow Connector 692">
          <a:extLst>
            <a:ext uri="{FF2B5EF4-FFF2-40B4-BE49-F238E27FC236}">
              <a16:creationId xmlns:a16="http://schemas.microsoft.com/office/drawing/2014/main" id="{00000000-0008-0000-1200-0000B502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694" name="Straight Arrow Connector 693">
          <a:extLst>
            <a:ext uri="{FF2B5EF4-FFF2-40B4-BE49-F238E27FC236}">
              <a16:creationId xmlns:a16="http://schemas.microsoft.com/office/drawing/2014/main" id="{00000000-0008-0000-1200-0000B602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695" name="Straight Arrow Connector 694">
          <a:extLst>
            <a:ext uri="{FF2B5EF4-FFF2-40B4-BE49-F238E27FC236}">
              <a16:creationId xmlns:a16="http://schemas.microsoft.com/office/drawing/2014/main" id="{00000000-0008-0000-1200-0000B702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696" name="Straight Arrow Connector 695">
          <a:extLst>
            <a:ext uri="{FF2B5EF4-FFF2-40B4-BE49-F238E27FC236}">
              <a16:creationId xmlns:a16="http://schemas.microsoft.com/office/drawing/2014/main" id="{00000000-0008-0000-1200-0000B802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1080</xdr:row>
      <xdr:rowOff>42333</xdr:rowOff>
    </xdr:from>
    <xdr:to>
      <xdr:col>9</xdr:col>
      <xdr:colOff>592666</xdr:colOff>
      <xdr:row>1088</xdr:row>
      <xdr:rowOff>42333</xdr:rowOff>
    </xdr:to>
    <xdr:cxnSp macro="">
      <xdr:nvCxnSpPr>
        <xdr:cNvPr id="697" name="Straight Arrow Connector 696">
          <a:extLst>
            <a:ext uri="{FF2B5EF4-FFF2-40B4-BE49-F238E27FC236}">
              <a16:creationId xmlns:a16="http://schemas.microsoft.com/office/drawing/2014/main" id="{00000000-0008-0000-1200-0000B902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1090</xdr:row>
      <xdr:rowOff>169334</xdr:rowOff>
    </xdr:from>
    <xdr:to>
      <xdr:col>9</xdr:col>
      <xdr:colOff>603250</xdr:colOff>
      <xdr:row>1099</xdr:row>
      <xdr:rowOff>31750</xdr:rowOff>
    </xdr:to>
    <xdr:cxnSp macro="">
      <xdr:nvCxnSpPr>
        <xdr:cNvPr id="698" name="Straight Arrow Connector 697">
          <a:extLst>
            <a:ext uri="{FF2B5EF4-FFF2-40B4-BE49-F238E27FC236}">
              <a16:creationId xmlns:a16="http://schemas.microsoft.com/office/drawing/2014/main" id="{00000000-0008-0000-1200-0000BA02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699" name="Straight Arrow Connector 698">
          <a:extLst>
            <a:ext uri="{FF2B5EF4-FFF2-40B4-BE49-F238E27FC236}">
              <a16:creationId xmlns:a16="http://schemas.microsoft.com/office/drawing/2014/main" id="{00000000-0008-0000-1200-0000BB02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700" name="Straight Arrow Connector 699">
          <a:extLst>
            <a:ext uri="{FF2B5EF4-FFF2-40B4-BE49-F238E27FC236}">
              <a16:creationId xmlns:a16="http://schemas.microsoft.com/office/drawing/2014/main" id="{00000000-0008-0000-1200-0000BC020000}"/>
            </a:ext>
          </a:extLst>
        </xdr:cNvPr>
        <xdr:cNvCxnSpPr/>
      </xdr:nvCxnSpPr>
      <xdr:spPr>
        <a:xfrm flipV="1">
          <a:off x="10530417"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701" name="Straight Arrow Connector 700">
          <a:extLst>
            <a:ext uri="{FF2B5EF4-FFF2-40B4-BE49-F238E27FC236}">
              <a16:creationId xmlns:a16="http://schemas.microsoft.com/office/drawing/2014/main" id="{00000000-0008-0000-1200-0000BD02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702" name="Straight Arrow Connector 701">
          <a:extLst>
            <a:ext uri="{FF2B5EF4-FFF2-40B4-BE49-F238E27FC236}">
              <a16:creationId xmlns:a16="http://schemas.microsoft.com/office/drawing/2014/main" id="{00000000-0008-0000-1200-0000BE02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703" name="Straight Arrow Connector 702">
          <a:extLst>
            <a:ext uri="{FF2B5EF4-FFF2-40B4-BE49-F238E27FC236}">
              <a16:creationId xmlns:a16="http://schemas.microsoft.com/office/drawing/2014/main" id="{00000000-0008-0000-1200-0000BF02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704" name="Straight Arrow Connector 703">
          <a:extLst>
            <a:ext uri="{FF2B5EF4-FFF2-40B4-BE49-F238E27FC236}">
              <a16:creationId xmlns:a16="http://schemas.microsoft.com/office/drawing/2014/main" id="{00000000-0008-0000-1200-0000C002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705" name="Straight Arrow Connector 704">
          <a:extLst>
            <a:ext uri="{FF2B5EF4-FFF2-40B4-BE49-F238E27FC236}">
              <a16:creationId xmlns:a16="http://schemas.microsoft.com/office/drawing/2014/main" id="{00000000-0008-0000-1200-0000C102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706" name="Straight Arrow Connector 705">
          <a:extLst>
            <a:ext uri="{FF2B5EF4-FFF2-40B4-BE49-F238E27FC236}">
              <a16:creationId xmlns:a16="http://schemas.microsoft.com/office/drawing/2014/main" id="{00000000-0008-0000-1200-0000C202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707" name="Straight Arrow Connector 706">
          <a:extLst>
            <a:ext uri="{FF2B5EF4-FFF2-40B4-BE49-F238E27FC236}">
              <a16:creationId xmlns:a16="http://schemas.microsoft.com/office/drawing/2014/main" id="{00000000-0008-0000-1200-0000C302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708" name="Straight Arrow Connector 707">
          <a:extLst>
            <a:ext uri="{FF2B5EF4-FFF2-40B4-BE49-F238E27FC236}">
              <a16:creationId xmlns:a16="http://schemas.microsoft.com/office/drawing/2014/main" id="{00000000-0008-0000-1200-0000C402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709" name="Straight Arrow Connector 708">
          <a:extLst>
            <a:ext uri="{FF2B5EF4-FFF2-40B4-BE49-F238E27FC236}">
              <a16:creationId xmlns:a16="http://schemas.microsoft.com/office/drawing/2014/main" id="{00000000-0008-0000-1200-0000C502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710" name="Straight Arrow Connector 709">
          <a:extLst>
            <a:ext uri="{FF2B5EF4-FFF2-40B4-BE49-F238E27FC236}">
              <a16:creationId xmlns:a16="http://schemas.microsoft.com/office/drawing/2014/main" id="{00000000-0008-0000-1200-0000C602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711" name="Straight Arrow Connector 710">
          <a:extLst>
            <a:ext uri="{FF2B5EF4-FFF2-40B4-BE49-F238E27FC236}">
              <a16:creationId xmlns:a16="http://schemas.microsoft.com/office/drawing/2014/main" id="{00000000-0008-0000-1200-0000C702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712" name="Straight Arrow Connector 711">
          <a:extLst>
            <a:ext uri="{FF2B5EF4-FFF2-40B4-BE49-F238E27FC236}">
              <a16:creationId xmlns:a16="http://schemas.microsoft.com/office/drawing/2014/main" id="{00000000-0008-0000-1200-0000C802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713" name="Straight Arrow Connector 712">
          <a:extLst>
            <a:ext uri="{FF2B5EF4-FFF2-40B4-BE49-F238E27FC236}">
              <a16:creationId xmlns:a16="http://schemas.microsoft.com/office/drawing/2014/main" id="{00000000-0008-0000-1200-0000C902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714" name="Straight Arrow Connector 713">
          <a:extLst>
            <a:ext uri="{FF2B5EF4-FFF2-40B4-BE49-F238E27FC236}">
              <a16:creationId xmlns:a16="http://schemas.microsoft.com/office/drawing/2014/main" id="{00000000-0008-0000-1200-0000CA02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715" name="Straight Arrow Connector 714">
          <a:extLst>
            <a:ext uri="{FF2B5EF4-FFF2-40B4-BE49-F238E27FC236}">
              <a16:creationId xmlns:a16="http://schemas.microsoft.com/office/drawing/2014/main" id="{00000000-0008-0000-1200-0000CB02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716" name="Straight Arrow Connector 715">
          <a:extLst>
            <a:ext uri="{FF2B5EF4-FFF2-40B4-BE49-F238E27FC236}">
              <a16:creationId xmlns:a16="http://schemas.microsoft.com/office/drawing/2014/main" id="{00000000-0008-0000-1200-0000CC02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717" name="Straight Arrow Connector 716">
          <a:extLst>
            <a:ext uri="{FF2B5EF4-FFF2-40B4-BE49-F238E27FC236}">
              <a16:creationId xmlns:a16="http://schemas.microsoft.com/office/drawing/2014/main" id="{00000000-0008-0000-1200-0000CD02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1097</xdr:row>
      <xdr:rowOff>52916</xdr:rowOff>
    </xdr:from>
    <xdr:to>
      <xdr:col>16</xdr:col>
      <xdr:colOff>0</xdr:colOff>
      <xdr:row>1099</xdr:row>
      <xdr:rowOff>0</xdr:rowOff>
    </xdr:to>
    <xdr:cxnSp macro="">
      <xdr:nvCxnSpPr>
        <xdr:cNvPr id="718" name="Straight Arrow Connector 717">
          <a:extLst>
            <a:ext uri="{FF2B5EF4-FFF2-40B4-BE49-F238E27FC236}">
              <a16:creationId xmlns:a16="http://schemas.microsoft.com/office/drawing/2014/main" id="{00000000-0008-0000-1200-0000CE02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719" name="Straight Arrow Connector 718">
          <a:extLst>
            <a:ext uri="{FF2B5EF4-FFF2-40B4-BE49-F238E27FC236}">
              <a16:creationId xmlns:a16="http://schemas.microsoft.com/office/drawing/2014/main" id="{00000000-0008-0000-1200-0000CF02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720" name="Straight Arrow Connector 719">
          <a:extLst>
            <a:ext uri="{FF2B5EF4-FFF2-40B4-BE49-F238E27FC236}">
              <a16:creationId xmlns:a16="http://schemas.microsoft.com/office/drawing/2014/main" id="{00000000-0008-0000-1200-0000D002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721" name="Straight Arrow Connector 720">
          <a:extLst>
            <a:ext uri="{FF2B5EF4-FFF2-40B4-BE49-F238E27FC236}">
              <a16:creationId xmlns:a16="http://schemas.microsoft.com/office/drawing/2014/main" id="{00000000-0008-0000-1200-0000D1020000}"/>
            </a:ext>
          </a:extLst>
        </xdr:cNvPr>
        <xdr:cNvCxnSpPr/>
      </xdr:nvCxnSpPr>
      <xdr:spPr>
        <a:xfrm flipV="1">
          <a:off x="10530417"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722" name="Straight Arrow Connector 721">
          <a:extLst>
            <a:ext uri="{FF2B5EF4-FFF2-40B4-BE49-F238E27FC236}">
              <a16:creationId xmlns:a16="http://schemas.microsoft.com/office/drawing/2014/main" id="{00000000-0008-0000-1200-0000D202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723" name="Straight Arrow Connector 722">
          <a:extLst>
            <a:ext uri="{FF2B5EF4-FFF2-40B4-BE49-F238E27FC236}">
              <a16:creationId xmlns:a16="http://schemas.microsoft.com/office/drawing/2014/main" id="{00000000-0008-0000-1200-0000D302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724" name="Straight Arrow Connector 723">
          <a:extLst>
            <a:ext uri="{FF2B5EF4-FFF2-40B4-BE49-F238E27FC236}">
              <a16:creationId xmlns:a16="http://schemas.microsoft.com/office/drawing/2014/main" id="{00000000-0008-0000-1200-0000D402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725" name="Straight Arrow Connector 724">
          <a:extLst>
            <a:ext uri="{FF2B5EF4-FFF2-40B4-BE49-F238E27FC236}">
              <a16:creationId xmlns:a16="http://schemas.microsoft.com/office/drawing/2014/main" id="{00000000-0008-0000-1200-0000D502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726" name="Straight Arrow Connector 725">
          <a:extLst>
            <a:ext uri="{FF2B5EF4-FFF2-40B4-BE49-F238E27FC236}">
              <a16:creationId xmlns:a16="http://schemas.microsoft.com/office/drawing/2014/main" id="{00000000-0008-0000-1200-0000D602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727" name="Straight Arrow Connector 726">
          <a:extLst>
            <a:ext uri="{FF2B5EF4-FFF2-40B4-BE49-F238E27FC236}">
              <a16:creationId xmlns:a16="http://schemas.microsoft.com/office/drawing/2014/main" id="{00000000-0008-0000-1200-0000D702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728" name="Straight Arrow Connector 727">
          <a:extLst>
            <a:ext uri="{FF2B5EF4-FFF2-40B4-BE49-F238E27FC236}">
              <a16:creationId xmlns:a16="http://schemas.microsoft.com/office/drawing/2014/main" id="{00000000-0008-0000-1200-0000D802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1034</xdr:row>
      <xdr:rowOff>127000</xdr:rowOff>
    </xdr:from>
    <xdr:to>
      <xdr:col>8</xdr:col>
      <xdr:colOff>63500</xdr:colOff>
      <xdr:row>1053</xdr:row>
      <xdr:rowOff>0</xdr:rowOff>
    </xdr:to>
    <xdr:cxnSp macro="">
      <xdr:nvCxnSpPr>
        <xdr:cNvPr id="729" name="Straight Arrow Connector 728">
          <a:extLst>
            <a:ext uri="{FF2B5EF4-FFF2-40B4-BE49-F238E27FC236}">
              <a16:creationId xmlns:a16="http://schemas.microsoft.com/office/drawing/2014/main" id="{00000000-0008-0000-1200-0000D902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1171</xdr:row>
      <xdr:rowOff>1</xdr:rowOff>
    </xdr:from>
    <xdr:to>
      <xdr:col>6</xdr:col>
      <xdr:colOff>0</xdr:colOff>
      <xdr:row>1205</xdr:row>
      <xdr:rowOff>116417</xdr:rowOff>
    </xdr:to>
    <xdr:cxnSp macro="">
      <xdr:nvCxnSpPr>
        <xdr:cNvPr id="730" name="Straight Arrow Connector 729">
          <a:extLst>
            <a:ext uri="{FF2B5EF4-FFF2-40B4-BE49-F238E27FC236}">
              <a16:creationId xmlns:a16="http://schemas.microsoft.com/office/drawing/2014/main" id="{00000000-0008-0000-1200-0000DA020000}"/>
            </a:ext>
          </a:extLst>
        </xdr:cNvPr>
        <xdr:cNvCxnSpPr/>
      </xdr:nvCxnSpPr>
      <xdr:spPr>
        <a:xfrm flipV="1">
          <a:off x="3714750" y="51244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1208</xdr:row>
      <xdr:rowOff>169334</xdr:rowOff>
    </xdr:from>
    <xdr:to>
      <xdr:col>5</xdr:col>
      <xdr:colOff>571500</xdr:colOff>
      <xdr:row>1277</xdr:row>
      <xdr:rowOff>0</xdr:rowOff>
    </xdr:to>
    <xdr:cxnSp macro="">
      <xdr:nvCxnSpPr>
        <xdr:cNvPr id="731" name="Straight Arrow Connector 730">
          <a:extLst>
            <a:ext uri="{FF2B5EF4-FFF2-40B4-BE49-F238E27FC236}">
              <a16:creationId xmlns:a16="http://schemas.microsoft.com/office/drawing/2014/main" id="{00000000-0008-0000-1200-0000DB020000}"/>
            </a:ext>
          </a:extLst>
        </xdr:cNvPr>
        <xdr:cNvCxnSpPr/>
      </xdr:nvCxnSpPr>
      <xdr:spPr>
        <a:xfrm>
          <a:off x="379941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1146</xdr:row>
      <xdr:rowOff>148167</xdr:rowOff>
    </xdr:from>
    <xdr:to>
      <xdr:col>7</xdr:col>
      <xdr:colOff>603250</xdr:colOff>
      <xdr:row>1168</xdr:row>
      <xdr:rowOff>31750</xdr:rowOff>
    </xdr:to>
    <xdr:cxnSp macro="">
      <xdr:nvCxnSpPr>
        <xdr:cNvPr id="732" name="Straight Arrow Connector 731">
          <a:extLst>
            <a:ext uri="{FF2B5EF4-FFF2-40B4-BE49-F238E27FC236}">
              <a16:creationId xmlns:a16="http://schemas.microsoft.com/office/drawing/2014/main" id="{00000000-0008-0000-1200-0000DC020000}"/>
            </a:ext>
          </a:extLst>
        </xdr:cNvPr>
        <xdr:cNvCxnSpPr/>
      </xdr:nvCxnSpPr>
      <xdr:spPr>
        <a:xfrm flipV="1">
          <a:off x="517525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1171</xdr:row>
      <xdr:rowOff>10584</xdr:rowOff>
    </xdr:from>
    <xdr:to>
      <xdr:col>8</xdr:col>
      <xdr:colOff>21167</xdr:colOff>
      <xdr:row>1199</xdr:row>
      <xdr:rowOff>148166</xdr:rowOff>
    </xdr:to>
    <xdr:cxnSp macro="">
      <xdr:nvCxnSpPr>
        <xdr:cNvPr id="733" name="Straight Arrow Connector 732">
          <a:extLst>
            <a:ext uri="{FF2B5EF4-FFF2-40B4-BE49-F238E27FC236}">
              <a16:creationId xmlns:a16="http://schemas.microsoft.com/office/drawing/2014/main" id="{00000000-0008-0000-1200-0000DD020000}"/>
            </a:ext>
          </a:extLst>
        </xdr:cNvPr>
        <xdr:cNvCxnSpPr/>
      </xdr:nvCxnSpPr>
      <xdr:spPr>
        <a:xfrm>
          <a:off x="5175250" y="51255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1138</xdr:row>
      <xdr:rowOff>137583</xdr:rowOff>
    </xdr:from>
    <xdr:to>
      <xdr:col>9</xdr:col>
      <xdr:colOff>603250</xdr:colOff>
      <xdr:row>1144</xdr:row>
      <xdr:rowOff>21166</xdr:rowOff>
    </xdr:to>
    <xdr:cxnSp macro="">
      <xdr:nvCxnSpPr>
        <xdr:cNvPr id="734" name="Straight Arrow Connector 733">
          <a:extLst>
            <a:ext uri="{FF2B5EF4-FFF2-40B4-BE49-F238E27FC236}">
              <a16:creationId xmlns:a16="http://schemas.microsoft.com/office/drawing/2014/main" id="{00000000-0008-0000-1200-0000DE020000}"/>
            </a:ext>
          </a:extLst>
        </xdr:cNvPr>
        <xdr:cNvCxnSpPr/>
      </xdr:nvCxnSpPr>
      <xdr:spPr>
        <a:xfrm flipV="1">
          <a:off x="6381750"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1147</xdr:row>
      <xdr:rowOff>0</xdr:rowOff>
    </xdr:from>
    <xdr:to>
      <xdr:col>9</xdr:col>
      <xdr:colOff>582083</xdr:colOff>
      <xdr:row>1155</xdr:row>
      <xdr:rowOff>10583</xdr:rowOff>
    </xdr:to>
    <xdr:cxnSp macro="">
      <xdr:nvCxnSpPr>
        <xdr:cNvPr id="735" name="Straight Arrow Connector 734">
          <a:extLst>
            <a:ext uri="{FF2B5EF4-FFF2-40B4-BE49-F238E27FC236}">
              <a16:creationId xmlns:a16="http://schemas.microsoft.com/office/drawing/2014/main" id="{00000000-0008-0000-1200-0000DF020000}"/>
            </a:ext>
          </a:extLst>
        </xdr:cNvPr>
        <xdr:cNvCxnSpPr/>
      </xdr:nvCxnSpPr>
      <xdr:spPr>
        <a:xfrm>
          <a:off x="6413500"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1152</xdr:row>
      <xdr:rowOff>169333</xdr:rowOff>
    </xdr:from>
    <xdr:to>
      <xdr:col>11</xdr:col>
      <xdr:colOff>603250</xdr:colOff>
      <xdr:row>1155</xdr:row>
      <xdr:rowOff>21167</xdr:rowOff>
    </xdr:to>
    <xdr:cxnSp macro="">
      <xdr:nvCxnSpPr>
        <xdr:cNvPr id="736" name="Straight Arrow Connector 735">
          <a:extLst>
            <a:ext uri="{FF2B5EF4-FFF2-40B4-BE49-F238E27FC236}">
              <a16:creationId xmlns:a16="http://schemas.microsoft.com/office/drawing/2014/main" id="{00000000-0008-0000-1200-0000E0020000}"/>
            </a:ext>
          </a:extLst>
        </xdr:cNvPr>
        <xdr:cNvCxnSpPr/>
      </xdr:nvCxnSpPr>
      <xdr:spPr>
        <a:xfrm flipV="1">
          <a:off x="7609417"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1158</xdr:row>
      <xdr:rowOff>42333</xdr:rowOff>
    </xdr:from>
    <xdr:to>
      <xdr:col>11</xdr:col>
      <xdr:colOff>603250</xdr:colOff>
      <xdr:row>1170</xdr:row>
      <xdr:rowOff>10583</xdr:rowOff>
    </xdr:to>
    <xdr:cxnSp macro="">
      <xdr:nvCxnSpPr>
        <xdr:cNvPr id="737" name="Straight Arrow Connector 736">
          <a:extLst>
            <a:ext uri="{FF2B5EF4-FFF2-40B4-BE49-F238E27FC236}">
              <a16:creationId xmlns:a16="http://schemas.microsoft.com/office/drawing/2014/main" id="{00000000-0008-0000-1200-0000E1020000}"/>
            </a:ext>
          </a:extLst>
        </xdr:cNvPr>
        <xdr:cNvCxnSpPr/>
      </xdr:nvCxnSpPr>
      <xdr:spPr>
        <a:xfrm>
          <a:off x="7598834"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1148</xdr:row>
      <xdr:rowOff>21167</xdr:rowOff>
    </xdr:from>
    <xdr:to>
      <xdr:col>13</xdr:col>
      <xdr:colOff>592667</xdr:colOff>
      <xdr:row>1150</xdr:row>
      <xdr:rowOff>0</xdr:rowOff>
    </xdr:to>
    <xdr:cxnSp macro="">
      <xdr:nvCxnSpPr>
        <xdr:cNvPr id="738" name="Straight Arrow Connector 737">
          <a:extLst>
            <a:ext uri="{FF2B5EF4-FFF2-40B4-BE49-F238E27FC236}">
              <a16:creationId xmlns:a16="http://schemas.microsoft.com/office/drawing/2014/main" id="{00000000-0008-0000-1200-0000E2020000}"/>
            </a:ext>
          </a:extLst>
        </xdr:cNvPr>
        <xdr:cNvCxnSpPr/>
      </xdr:nvCxnSpPr>
      <xdr:spPr>
        <a:xfrm flipV="1">
          <a:off x="8794750" y="46693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1153</xdr:row>
      <xdr:rowOff>21166</xdr:rowOff>
    </xdr:from>
    <xdr:to>
      <xdr:col>13</xdr:col>
      <xdr:colOff>592667</xdr:colOff>
      <xdr:row>1154</xdr:row>
      <xdr:rowOff>169334</xdr:rowOff>
    </xdr:to>
    <xdr:cxnSp macro="">
      <xdr:nvCxnSpPr>
        <xdr:cNvPr id="739" name="Straight Arrow Connector 738">
          <a:extLst>
            <a:ext uri="{FF2B5EF4-FFF2-40B4-BE49-F238E27FC236}">
              <a16:creationId xmlns:a16="http://schemas.microsoft.com/office/drawing/2014/main" id="{00000000-0008-0000-1200-0000E3020000}"/>
            </a:ext>
          </a:extLst>
        </xdr:cNvPr>
        <xdr:cNvCxnSpPr/>
      </xdr:nvCxnSpPr>
      <xdr:spPr>
        <a:xfrm>
          <a:off x="8784166" y="47646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1168</xdr:row>
      <xdr:rowOff>21167</xdr:rowOff>
    </xdr:from>
    <xdr:to>
      <xdr:col>13</xdr:col>
      <xdr:colOff>592667</xdr:colOff>
      <xdr:row>1170</xdr:row>
      <xdr:rowOff>63500</xdr:rowOff>
    </xdr:to>
    <xdr:cxnSp macro="">
      <xdr:nvCxnSpPr>
        <xdr:cNvPr id="740" name="Straight Arrow Connector 739">
          <a:extLst>
            <a:ext uri="{FF2B5EF4-FFF2-40B4-BE49-F238E27FC236}">
              <a16:creationId xmlns:a16="http://schemas.microsoft.com/office/drawing/2014/main" id="{00000000-0008-0000-1200-0000E4020000}"/>
            </a:ext>
          </a:extLst>
        </xdr:cNvPr>
        <xdr:cNvCxnSpPr/>
      </xdr:nvCxnSpPr>
      <xdr:spPr>
        <a:xfrm flipV="1">
          <a:off x="879475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1173</xdr:row>
      <xdr:rowOff>0</xdr:rowOff>
    </xdr:from>
    <xdr:to>
      <xdr:col>14</xdr:col>
      <xdr:colOff>10584</xdr:colOff>
      <xdr:row>1181</xdr:row>
      <xdr:rowOff>148167</xdr:rowOff>
    </xdr:to>
    <xdr:cxnSp macro="">
      <xdr:nvCxnSpPr>
        <xdr:cNvPr id="741" name="Straight Arrow Connector 740">
          <a:extLst>
            <a:ext uri="{FF2B5EF4-FFF2-40B4-BE49-F238E27FC236}">
              <a16:creationId xmlns:a16="http://schemas.microsoft.com/office/drawing/2014/main" id="{00000000-0008-0000-1200-0000E5020000}"/>
            </a:ext>
          </a:extLst>
        </xdr:cNvPr>
        <xdr:cNvCxnSpPr/>
      </xdr:nvCxnSpPr>
      <xdr:spPr>
        <a:xfrm>
          <a:off x="8805333" y="51625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1140</xdr:row>
      <xdr:rowOff>0</xdr:rowOff>
    </xdr:from>
    <xdr:to>
      <xdr:col>15</xdr:col>
      <xdr:colOff>603250</xdr:colOff>
      <xdr:row>1145</xdr:row>
      <xdr:rowOff>31750</xdr:rowOff>
    </xdr:to>
    <xdr:cxnSp macro="">
      <xdr:nvCxnSpPr>
        <xdr:cNvPr id="742" name="Straight Arrow Connector 741">
          <a:extLst>
            <a:ext uri="{FF2B5EF4-FFF2-40B4-BE49-F238E27FC236}">
              <a16:creationId xmlns:a16="http://schemas.microsoft.com/office/drawing/2014/main" id="{00000000-0008-0000-1200-0000E6020000}"/>
            </a:ext>
          </a:extLst>
        </xdr:cNvPr>
        <xdr:cNvCxnSpPr/>
      </xdr:nvCxnSpPr>
      <xdr:spPr>
        <a:xfrm flipV="1">
          <a:off x="10541000"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1143</xdr:row>
      <xdr:rowOff>52917</xdr:rowOff>
    </xdr:from>
    <xdr:to>
      <xdr:col>15</xdr:col>
      <xdr:colOff>603250</xdr:colOff>
      <xdr:row>1145</xdr:row>
      <xdr:rowOff>95250</xdr:rowOff>
    </xdr:to>
    <xdr:cxnSp macro="">
      <xdr:nvCxnSpPr>
        <xdr:cNvPr id="743" name="Straight Arrow Connector 742">
          <a:extLst>
            <a:ext uri="{FF2B5EF4-FFF2-40B4-BE49-F238E27FC236}">
              <a16:creationId xmlns:a16="http://schemas.microsoft.com/office/drawing/2014/main" id="{00000000-0008-0000-1200-0000E7020000}"/>
            </a:ext>
          </a:extLst>
        </xdr:cNvPr>
        <xdr:cNvCxnSpPr/>
      </xdr:nvCxnSpPr>
      <xdr:spPr>
        <a:xfrm flipV="1">
          <a:off x="10583333"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1145</xdr:row>
      <xdr:rowOff>158750</xdr:rowOff>
    </xdr:from>
    <xdr:to>
      <xdr:col>15</xdr:col>
      <xdr:colOff>582083</xdr:colOff>
      <xdr:row>1146</xdr:row>
      <xdr:rowOff>137583</xdr:rowOff>
    </xdr:to>
    <xdr:cxnSp macro="">
      <xdr:nvCxnSpPr>
        <xdr:cNvPr id="744" name="Straight Arrow Connector 743">
          <a:extLst>
            <a:ext uri="{FF2B5EF4-FFF2-40B4-BE49-F238E27FC236}">
              <a16:creationId xmlns:a16="http://schemas.microsoft.com/office/drawing/2014/main" id="{00000000-0008-0000-1200-0000E8020000}"/>
            </a:ext>
          </a:extLst>
        </xdr:cNvPr>
        <xdr:cNvCxnSpPr/>
      </xdr:nvCxnSpPr>
      <xdr:spPr>
        <a:xfrm>
          <a:off x="10604500"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1145</xdr:row>
      <xdr:rowOff>105834</xdr:rowOff>
    </xdr:from>
    <xdr:to>
      <xdr:col>16</xdr:col>
      <xdr:colOff>0</xdr:colOff>
      <xdr:row>1149</xdr:row>
      <xdr:rowOff>84667</xdr:rowOff>
    </xdr:to>
    <xdr:cxnSp macro="">
      <xdr:nvCxnSpPr>
        <xdr:cNvPr id="745" name="Straight Arrow Connector 744">
          <a:extLst>
            <a:ext uri="{FF2B5EF4-FFF2-40B4-BE49-F238E27FC236}">
              <a16:creationId xmlns:a16="http://schemas.microsoft.com/office/drawing/2014/main" id="{00000000-0008-0000-1200-0000E9020000}"/>
            </a:ext>
          </a:extLst>
        </xdr:cNvPr>
        <xdr:cNvCxnSpPr/>
      </xdr:nvCxnSpPr>
      <xdr:spPr>
        <a:xfrm>
          <a:off x="10519834" y="46206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1153</xdr:row>
      <xdr:rowOff>52916</xdr:rowOff>
    </xdr:from>
    <xdr:to>
      <xdr:col>16</xdr:col>
      <xdr:colOff>0</xdr:colOff>
      <xdr:row>1155</xdr:row>
      <xdr:rowOff>0</xdr:rowOff>
    </xdr:to>
    <xdr:cxnSp macro="">
      <xdr:nvCxnSpPr>
        <xdr:cNvPr id="746" name="Straight Arrow Connector 745">
          <a:extLst>
            <a:ext uri="{FF2B5EF4-FFF2-40B4-BE49-F238E27FC236}">
              <a16:creationId xmlns:a16="http://schemas.microsoft.com/office/drawing/2014/main" id="{00000000-0008-0000-1200-0000EA020000}"/>
            </a:ext>
          </a:extLst>
        </xdr:cNvPr>
        <xdr:cNvCxnSpPr/>
      </xdr:nvCxnSpPr>
      <xdr:spPr>
        <a:xfrm flipV="1">
          <a:off x="10541000" y="47677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1155</xdr:row>
      <xdr:rowOff>21167</xdr:rowOff>
    </xdr:from>
    <xdr:to>
      <xdr:col>15</xdr:col>
      <xdr:colOff>582083</xdr:colOff>
      <xdr:row>1156</xdr:row>
      <xdr:rowOff>42333</xdr:rowOff>
    </xdr:to>
    <xdr:cxnSp macro="">
      <xdr:nvCxnSpPr>
        <xdr:cNvPr id="747" name="Straight Arrow Connector 746">
          <a:extLst>
            <a:ext uri="{FF2B5EF4-FFF2-40B4-BE49-F238E27FC236}">
              <a16:creationId xmlns:a16="http://schemas.microsoft.com/office/drawing/2014/main" id="{00000000-0008-0000-1200-0000EB020000}"/>
            </a:ext>
          </a:extLst>
        </xdr:cNvPr>
        <xdr:cNvCxnSpPr/>
      </xdr:nvCxnSpPr>
      <xdr:spPr>
        <a:xfrm>
          <a:off x="10551583"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1155</xdr:row>
      <xdr:rowOff>21167</xdr:rowOff>
    </xdr:from>
    <xdr:to>
      <xdr:col>16</xdr:col>
      <xdr:colOff>42333</xdr:colOff>
      <xdr:row>1160</xdr:row>
      <xdr:rowOff>21168</xdr:rowOff>
    </xdr:to>
    <xdr:cxnSp macro="">
      <xdr:nvCxnSpPr>
        <xdr:cNvPr id="748" name="Straight Arrow Connector 747">
          <a:extLst>
            <a:ext uri="{FF2B5EF4-FFF2-40B4-BE49-F238E27FC236}">
              <a16:creationId xmlns:a16="http://schemas.microsoft.com/office/drawing/2014/main" id="{00000000-0008-0000-1200-0000EC020000}"/>
            </a:ext>
          </a:extLst>
        </xdr:cNvPr>
        <xdr:cNvCxnSpPr/>
      </xdr:nvCxnSpPr>
      <xdr:spPr>
        <a:xfrm>
          <a:off x="10530417" y="48027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749" name="Straight Arrow Connector 748">
          <a:extLst>
            <a:ext uri="{FF2B5EF4-FFF2-40B4-BE49-F238E27FC236}">
              <a16:creationId xmlns:a16="http://schemas.microsoft.com/office/drawing/2014/main" id="{00000000-0008-0000-1200-0000ED020000}"/>
            </a:ext>
          </a:extLst>
        </xdr:cNvPr>
        <xdr:cNvCxnSpPr/>
      </xdr:nvCxnSpPr>
      <xdr:spPr>
        <a:xfrm>
          <a:off x="10541000" y="48037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1192</xdr:row>
      <xdr:rowOff>42333</xdr:rowOff>
    </xdr:from>
    <xdr:to>
      <xdr:col>9</xdr:col>
      <xdr:colOff>592666</xdr:colOff>
      <xdr:row>1200</xdr:row>
      <xdr:rowOff>42333</xdr:rowOff>
    </xdr:to>
    <xdr:cxnSp macro="">
      <xdr:nvCxnSpPr>
        <xdr:cNvPr id="750" name="Straight Arrow Connector 749">
          <a:extLst>
            <a:ext uri="{FF2B5EF4-FFF2-40B4-BE49-F238E27FC236}">
              <a16:creationId xmlns:a16="http://schemas.microsoft.com/office/drawing/2014/main" id="{00000000-0008-0000-1200-0000EE020000}"/>
            </a:ext>
          </a:extLst>
        </xdr:cNvPr>
        <xdr:cNvCxnSpPr/>
      </xdr:nvCxnSpPr>
      <xdr:spPr>
        <a:xfrm flipV="1">
          <a:off x="6392333"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1202</xdr:row>
      <xdr:rowOff>169334</xdr:rowOff>
    </xdr:from>
    <xdr:to>
      <xdr:col>9</xdr:col>
      <xdr:colOff>603250</xdr:colOff>
      <xdr:row>1211</xdr:row>
      <xdr:rowOff>31750</xdr:rowOff>
    </xdr:to>
    <xdr:cxnSp macro="">
      <xdr:nvCxnSpPr>
        <xdr:cNvPr id="751" name="Straight Arrow Connector 750">
          <a:extLst>
            <a:ext uri="{FF2B5EF4-FFF2-40B4-BE49-F238E27FC236}">
              <a16:creationId xmlns:a16="http://schemas.microsoft.com/office/drawing/2014/main" id="{00000000-0008-0000-1200-0000EF020000}"/>
            </a:ext>
          </a:extLst>
        </xdr:cNvPr>
        <xdr:cNvCxnSpPr/>
      </xdr:nvCxnSpPr>
      <xdr:spPr>
        <a:xfrm>
          <a:off x="6413500"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1208</xdr:row>
      <xdr:rowOff>158750</xdr:rowOff>
    </xdr:from>
    <xdr:to>
      <xdr:col>11</xdr:col>
      <xdr:colOff>571500</xdr:colOff>
      <xdr:row>1211</xdr:row>
      <xdr:rowOff>0</xdr:rowOff>
    </xdr:to>
    <xdr:cxnSp macro="">
      <xdr:nvCxnSpPr>
        <xdr:cNvPr id="752" name="Straight Arrow Connector 751">
          <a:extLst>
            <a:ext uri="{FF2B5EF4-FFF2-40B4-BE49-F238E27FC236}">
              <a16:creationId xmlns:a16="http://schemas.microsoft.com/office/drawing/2014/main" id="{00000000-0008-0000-1200-0000F0020000}"/>
            </a:ext>
          </a:extLst>
        </xdr:cNvPr>
        <xdr:cNvCxnSpPr/>
      </xdr:nvCxnSpPr>
      <xdr:spPr>
        <a:xfrm flipV="1">
          <a:off x="7556500" y="58451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1166</xdr:row>
      <xdr:rowOff>0</xdr:rowOff>
    </xdr:from>
    <xdr:to>
      <xdr:col>15</xdr:col>
      <xdr:colOff>603250</xdr:colOff>
      <xdr:row>1168</xdr:row>
      <xdr:rowOff>1</xdr:rowOff>
    </xdr:to>
    <xdr:cxnSp macro="">
      <xdr:nvCxnSpPr>
        <xdr:cNvPr id="753" name="Straight Arrow Connector 752">
          <a:extLst>
            <a:ext uri="{FF2B5EF4-FFF2-40B4-BE49-F238E27FC236}">
              <a16:creationId xmlns:a16="http://schemas.microsoft.com/office/drawing/2014/main" id="{00000000-0008-0000-1200-0000F1020000}"/>
            </a:ext>
          </a:extLst>
        </xdr:cNvPr>
        <xdr:cNvCxnSpPr/>
      </xdr:nvCxnSpPr>
      <xdr:spPr>
        <a:xfrm flipV="1">
          <a:off x="10530417"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1168</xdr:row>
      <xdr:rowOff>10584</xdr:rowOff>
    </xdr:from>
    <xdr:to>
      <xdr:col>15</xdr:col>
      <xdr:colOff>592666</xdr:colOff>
      <xdr:row>1169</xdr:row>
      <xdr:rowOff>95250</xdr:rowOff>
    </xdr:to>
    <xdr:cxnSp macro="">
      <xdr:nvCxnSpPr>
        <xdr:cNvPr id="754" name="Straight Arrow Connector 753">
          <a:extLst>
            <a:ext uri="{FF2B5EF4-FFF2-40B4-BE49-F238E27FC236}">
              <a16:creationId xmlns:a16="http://schemas.microsoft.com/office/drawing/2014/main" id="{00000000-0008-0000-1200-0000F2020000}"/>
            </a:ext>
          </a:extLst>
        </xdr:cNvPr>
        <xdr:cNvCxnSpPr/>
      </xdr:nvCxnSpPr>
      <xdr:spPr>
        <a:xfrm>
          <a:off x="10572750"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1168</xdr:row>
      <xdr:rowOff>10584</xdr:rowOff>
    </xdr:from>
    <xdr:to>
      <xdr:col>15</xdr:col>
      <xdr:colOff>560916</xdr:colOff>
      <xdr:row>1172</xdr:row>
      <xdr:rowOff>52917</xdr:rowOff>
    </xdr:to>
    <xdr:cxnSp macro="">
      <xdr:nvCxnSpPr>
        <xdr:cNvPr id="755" name="Straight Arrow Connector 754">
          <a:extLst>
            <a:ext uri="{FF2B5EF4-FFF2-40B4-BE49-F238E27FC236}">
              <a16:creationId xmlns:a16="http://schemas.microsoft.com/office/drawing/2014/main" id="{00000000-0008-0000-1200-0000F3020000}"/>
            </a:ext>
          </a:extLst>
        </xdr:cNvPr>
        <xdr:cNvCxnSpPr/>
      </xdr:nvCxnSpPr>
      <xdr:spPr>
        <a:xfrm>
          <a:off x="10551583"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756" name="Straight Arrow Connector 755">
          <a:extLst>
            <a:ext uri="{FF2B5EF4-FFF2-40B4-BE49-F238E27FC236}">
              <a16:creationId xmlns:a16="http://schemas.microsoft.com/office/drawing/2014/main" id="{00000000-0008-0000-1200-0000F4020000}"/>
            </a:ext>
          </a:extLst>
        </xdr:cNvPr>
        <xdr:cNvCxnSpPr/>
      </xdr:nvCxnSpPr>
      <xdr:spPr>
        <a:xfrm>
          <a:off x="10583333" y="50704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1182</xdr:row>
      <xdr:rowOff>0</xdr:rowOff>
    </xdr:from>
    <xdr:to>
      <xdr:col>16</xdr:col>
      <xdr:colOff>0</xdr:colOff>
      <xdr:row>1182</xdr:row>
      <xdr:rowOff>42334</xdr:rowOff>
    </xdr:to>
    <xdr:cxnSp macro="">
      <xdr:nvCxnSpPr>
        <xdr:cNvPr id="757" name="Straight Arrow Connector 756">
          <a:extLst>
            <a:ext uri="{FF2B5EF4-FFF2-40B4-BE49-F238E27FC236}">
              <a16:creationId xmlns:a16="http://schemas.microsoft.com/office/drawing/2014/main" id="{00000000-0008-0000-1200-0000F5020000}"/>
            </a:ext>
          </a:extLst>
        </xdr:cNvPr>
        <xdr:cNvCxnSpPr/>
      </xdr:nvCxnSpPr>
      <xdr:spPr>
        <a:xfrm>
          <a:off x="10562166" y="53340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1182</xdr:row>
      <xdr:rowOff>21166</xdr:rowOff>
    </xdr:from>
    <xdr:to>
      <xdr:col>15</xdr:col>
      <xdr:colOff>560916</xdr:colOff>
      <xdr:row>1185</xdr:row>
      <xdr:rowOff>84667</xdr:rowOff>
    </xdr:to>
    <xdr:cxnSp macro="">
      <xdr:nvCxnSpPr>
        <xdr:cNvPr id="758" name="Straight Arrow Connector 757">
          <a:extLst>
            <a:ext uri="{FF2B5EF4-FFF2-40B4-BE49-F238E27FC236}">
              <a16:creationId xmlns:a16="http://schemas.microsoft.com/office/drawing/2014/main" id="{00000000-0008-0000-1200-0000F6020000}"/>
            </a:ext>
          </a:extLst>
        </xdr:cNvPr>
        <xdr:cNvCxnSpPr/>
      </xdr:nvCxnSpPr>
      <xdr:spPr>
        <a:xfrm>
          <a:off x="10615083"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1182</xdr:row>
      <xdr:rowOff>52916</xdr:rowOff>
    </xdr:from>
    <xdr:to>
      <xdr:col>15</xdr:col>
      <xdr:colOff>592666</xdr:colOff>
      <xdr:row>1188</xdr:row>
      <xdr:rowOff>63501</xdr:rowOff>
    </xdr:to>
    <xdr:cxnSp macro="">
      <xdr:nvCxnSpPr>
        <xdr:cNvPr id="759" name="Straight Arrow Connector 758">
          <a:extLst>
            <a:ext uri="{FF2B5EF4-FFF2-40B4-BE49-F238E27FC236}">
              <a16:creationId xmlns:a16="http://schemas.microsoft.com/office/drawing/2014/main" id="{00000000-0008-0000-1200-0000F7020000}"/>
            </a:ext>
          </a:extLst>
        </xdr:cNvPr>
        <xdr:cNvCxnSpPr/>
      </xdr:nvCxnSpPr>
      <xdr:spPr>
        <a:xfrm>
          <a:off x="10572750"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1196</xdr:row>
      <xdr:rowOff>116416</xdr:rowOff>
    </xdr:from>
    <xdr:to>
      <xdr:col>15</xdr:col>
      <xdr:colOff>592666</xdr:colOff>
      <xdr:row>1199</xdr:row>
      <xdr:rowOff>158750</xdr:rowOff>
    </xdr:to>
    <xdr:cxnSp macro="">
      <xdr:nvCxnSpPr>
        <xdr:cNvPr id="760" name="Straight Arrow Connector 759">
          <a:extLst>
            <a:ext uri="{FF2B5EF4-FFF2-40B4-BE49-F238E27FC236}">
              <a16:creationId xmlns:a16="http://schemas.microsoft.com/office/drawing/2014/main" id="{00000000-0008-0000-1200-0000F8020000}"/>
            </a:ext>
          </a:extLst>
        </xdr:cNvPr>
        <xdr:cNvCxnSpPr/>
      </xdr:nvCxnSpPr>
      <xdr:spPr>
        <a:xfrm flipV="1">
          <a:off x="10562166"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1198</xdr:row>
      <xdr:rowOff>95250</xdr:rowOff>
    </xdr:from>
    <xdr:to>
      <xdr:col>15</xdr:col>
      <xdr:colOff>582083</xdr:colOff>
      <xdr:row>1200</xdr:row>
      <xdr:rowOff>52917</xdr:rowOff>
    </xdr:to>
    <xdr:cxnSp macro="">
      <xdr:nvCxnSpPr>
        <xdr:cNvPr id="761" name="Straight Arrow Connector 760">
          <a:extLst>
            <a:ext uri="{FF2B5EF4-FFF2-40B4-BE49-F238E27FC236}">
              <a16:creationId xmlns:a16="http://schemas.microsoft.com/office/drawing/2014/main" id="{00000000-0008-0000-1200-0000F9020000}"/>
            </a:ext>
          </a:extLst>
        </xdr:cNvPr>
        <xdr:cNvCxnSpPr/>
      </xdr:nvCxnSpPr>
      <xdr:spPr>
        <a:xfrm flipV="1">
          <a:off x="10604500"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116417</xdr:rowOff>
    </xdr:from>
    <xdr:to>
      <xdr:col>15</xdr:col>
      <xdr:colOff>592666</xdr:colOff>
      <xdr:row>1204</xdr:row>
      <xdr:rowOff>95250</xdr:rowOff>
    </xdr:to>
    <xdr:cxnSp macro="">
      <xdr:nvCxnSpPr>
        <xdr:cNvPr id="762" name="Straight Arrow Connector 761">
          <a:extLst>
            <a:ext uri="{FF2B5EF4-FFF2-40B4-BE49-F238E27FC236}">
              <a16:creationId xmlns:a16="http://schemas.microsoft.com/office/drawing/2014/main" id="{00000000-0008-0000-1200-0000FA020000}"/>
            </a:ext>
          </a:extLst>
        </xdr:cNvPr>
        <xdr:cNvCxnSpPr/>
      </xdr:nvCxnSpPr>
      <xdr:spPr>
        <a:xfrm>
          <a:off x="10593916"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1211</xdr:row>
      <xdr:rowOff>116416</xdr:rowOff>
    </xdr:from>
    <xdr:to>
      <xdr:col>16</xdr:col>
      <xdr:colOff>0</xdr:colOff>
      <xdr:row>1218</xdr:row>
      <xdr:rowOff>74084</xdr:rowOff>
    </xdr:to>
    <xdr:cxnSp macro="">
      <xdr:nvCxnSpPr>
        <xdr:cNvPr id="763" name="Straight Arrow Connector 762">
          <a:extLst>
            <a:ext uri="{FF2B5EF4-FFF2-40B4-BE49-F238E27FC236}">
              <a16:creationId xmlns:a16="http://schemas.microsoft.com/office/drawing/2014/main" id="{00000000-0008-0000-1200-0000FB020000}"/>
            </a:ext>
          </a:extLst>
        </xdr:cNvPr>
        <xdr:cNvCxnSpPr/>
      </xdr:nvCxnSpPr>
      <xdr:spPr>
        <a:xfrm>
          <a:off x="10572750" y="58980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1179</xdr:row>
      <xdr:rowOff>52917</xdr:rowOff>
    </xdr:from>
    <xdr:to>
      <xdr:col>15</xdr:col>
      <xdr:colOff>603250</xdr:colOff>
      <xdr:row>1181</xdr:row>
      <xdr:rowOff>148167</xdr:rowOff>
    </xdr:to>
    <xdr:cxnSp macro="">
      <xdr:nvCxnSpPr>
        <xdr:cNvPr id="764" name="Straight Arrow Connector 763">
          <a:extLst>
            <a:ext uri="{FF2B5EF4-FFF2-40B4-BE49-F238E27FC236}">
              <a16:creationId xmlns:a16="http://schemas.microsoft.com/office/drawing/2014/main" id="{00000000-0008-0000-1200-0000FC020000}"/>
            </a:ext>
          </a:extLst>
        </xdr:cNvPr>
        <xdr:cNvCxnSpPr/>
      </xdr:nvCxnSpPr>
      <xdr:spPr>
        <a:xfrm flipV="1">
          <a:off x="10583333"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1214</xdr:row>
      <xdr:rowOff>42333</xdr:rowOff>
    </xdr:from>
    <xdr:to>
      <xdr:col>11</xdr:col>
      <xdr:colOff>603250</xdr:colOff>
      <xdr:row>1226</xdr:row>
      <xdr:rowOff>10583</xdr:rowOff>
    </xdr:to>
    <xdr:cxnSp macro="">
      <xdr:nvCxnSpPr>
        <xdr:cNvPr id="765" name="Straight Arrow Connector 764">
          <a:extLst>
            <a:ext uri="{FF2B5EF4-FFF2-40B4-BE49-F238E27FC236}">
              <a16:creationId xmlns:a16="http://schemas.microsoft.com/office/drawing/2014/main" id="{00000000-0008-0000-1200-0000FD020000}"/>
            </a:ext>
          </a:extLst>
        </xdr:cNvPr>
        <xdr:cNvCxnSpPr/>
      </xdr:nvCxnSpPr>
      <xdr:spPr>
        <a:xfrm>
          <a:off x="7598834"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1204</xdr:row>
      <xdr:rowOff>21167</xdr:rowOff>
    </xdr:from>
    <xdr:to>
      <xdr:col>13</xdr:col>
      <xdr:colOff>592667</xdr:colOff>
      <xdr:row>1206</xdr:row>
      <xdr:rowOff>0</xdr:rowOff>
    </xdr:to>
    <xdr:cxnSp macro="">
      <xdr:nvCxnSpPr>
        <xdr:cNvPr id="766" name="Straight Arrow Connector 765">
          <a:extLst>
            <a:ext uri="{FF2B5EF4-FFF2-40B4-BE49-F238E27FC236}">
              <a16:creationId xmlns:a16="http://schemas.microsoft.com/office/drawing/2014/main" id="{00000000-0008-0000-1200-0000FE020000}"/>
            </a:ext>
          </a:extLst>
        </xdr:cNvPr>
        <xdr:cNvCxnSpPr/>
      </xdr:nvCxnSpPr>
      <xdr:spPr>
        <a:xfrm flipV="1">
          <a:off x="8794750" y="57552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1209</xdr:row>
      <xdr:rowOff>21166</xdr:rowOff>
    </xdr:from>
    <xdr:to>
      <xdr:col>13</xdr:col>
      <xdr:colOff>592667</xdr:colOff>
      <xdr:row>1210</xdr:row>
      <xdr:rowOff>169334</xdr:rowOff>
    </xdr:to>
    <xdr:cxnSp macro="">
      <xdr:nvCxnSpPr>
        <xdr:cNvPr id="767" name="Straight Arrow Connector 766">
          <a:extLst>
            <a:ext uri="{FF2B5EF4-FFF2-40B4-BE49-F238E27FC236}">
              <a16:creationId xmlns:a16="http://schemas.microsoft.com/office/drawing/2014/main" id="{00000000-0008-0000-1200-0000FF020000}"/>
            </a:ext>
          </a:extLst>
        </xdr:cNvPr>
        <xdr:cNvCxnSpPr/>
      </xdr:nvCxnSpPr>
      <xdr:spPr>
        <a:xfrm>
          <a:off x="8784166" y="58504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1224</xdr:row>
      <xdr:rowOff>21167</xdr:rowOff>
    </xdr:from>
    <xdr:to>
      <xdr:col>13</xdr:col>
      <xdr:colOff>592667</xdr:colOff>
      <xdr:row>1226</xdr:row>
      <xdr:rowOff>63500</xdr:rowOff>
    </xdr:to>
    <xdr:cxnSp macro="">
      <xdr:nvCxnSpPr>
        <xdr:cNvPr id="768" name="Straight Arrow Connector 767">
          <a:extLst>
            <a:ext uri="{FF2B5EF4-FFF2-40B4-BE49-F238E27FC236}">
              <a16:creationId xmlns:a16="http://schemas.microsoft.com/office/drawing/2014/main" id="{00000000-0008-0000-1200-000000030000}"/>
            </a:ext>
          </a:extLst>
        </xdr:cNvPr>
        <xdr:cNvCxnSpPr/>
      </xdr:nvCxnSpPr>
      <xdr:spPr>
        <a:xfrm flipV="1">
          <a:off x="879475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1229</xdr:row>
      <xdr:rowOff>0</xdr:rowOff>
    </xdr:from>
    <xdr:to>
      <xdr:col>14</xdr:col>
      <xdr:colOff>10584</xdr:colOff>
      <xdr:row>1237</xdr:row>
      <xdr:rowOff>148167</xdr:rowOff>
    </xdr:to>
    <xdr:cxnSp macro="">
      <xdr:nvCxnSpPr>
        <xdr:cNvPr id="769" name="Straight Arrow Connector 768">
          <a:extLst>
            <a:ext uri="{FF2B5EF4-FFF2-40B4-BE49-F238E27FC236}">
              <a16:creationId xmlns:a16="http://schemas.microsoft.com/office/drawing/2014/main" id="{00000000-0008-0000-1200-000001030000}"/>
            </a:ext>
          </a:extLst>
        </xdr:cNvPr>
        <xdr:cNvCxnSpPr/>
      </xdr:nvCxnSpPr>
      <xdr:spPr>
        <a:xfrm>
          <a:off x="8805333" y="62484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95250</xdr:rowOff>
    </xdr:from>
    <xdr:to>
      <xdr:col>15</xdr:col>
      <xdr:colOff>582083</xdr:colOff>
      <xdr:row>1202</xdr:row>
      <xdr:rowOff>137583</xdr:rowOff>
    </xdr:to>
    <xdr:cxnSp macro="">
      <xdr:nvCxnSpPr>
        <xdr:cNvPr id="770" name="Straight Arrow Connector 769">
          <a:extLst>
            <a:ext uri="{FF2B5EF4-FFF2-40B4-BE49-F238E27FC236}">
              <a16:creationId xmlns:a16="http://schemas.microsoft.com/office/drawing/2014/main" id="{00000000-0008-0000-1200-000002030000}"/>
            </a:ext>
          </a:extLst>
        </xdr:cNvPr>
        <xdr:cNvCxnSpPr/>
      </xdr:nvCxnSpPr>
      <xdr:spPr>
        <a:xfrm>
          <a:off x="10593916"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1209</xdr:row>
      <xdr:rowOff>52916</xdr:rowOff>
    </xdr:from>
    <xdr:to>
      <xdr:col>16</xdr:col>
      <xdr:colOff>0</xdr:colOff>
      <xdr:row>1211</xdr:row>
      <xdr:rowOff>0</xdr:rowOff>
    </xdr:to>
    <xdr:cxnSp macro="">
      <xdr:nvCxnSpPr>
        <xdr:cNvPr id="771" name="Straight Arrow Connector 770">
          <a:extLst>
            <a:ext uri="{FF2B5EF4-FFF2-40B4-BE49-F238E27FC236}">
              <a16:creationId xmlns:a16="http://schemas.microsoft.com/office/drawing/2014/main" id="{00000000-0008-0000-1200-000003030000}"/>
            </a:ext>
          </a:extLst>
        </xdr:cNvPr>
        <xdr:cNvCxnSpPr/>
      </xdr:nvCxnSpPr>
      <xdr:spPr>
        <a:xfrm flipV="1">
          <a:off x="10541000" y="58536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21167</xdr:rowOff>
    </xdr:from>
    <xdr:to>
      <xdr:col>15</xdr:col>
      <xdr:colOff>592666</xdr:colOff>
      <xdr:row>1212</xdr:row>
      <xdr:rowOff>84667</xdr:rowOff>
    </xdr:to>
    <xdr:cxnSp macro="">
      <xdr:nvCxnSpPr>
        <xdr:cNvPr id="772" name="Straight Arrow Connector 771">
          <a:extLst>
            <a:ext uri="{FF2B5EF4-FFF2-40B4-BE49-F238E27FC236}">
              <a16:creationId xmlns:a16="http://schemas.microsoft.com/office/drawing/2014/main" id="{00000000-0008-0000-1200-000004030000}"/>
            </a:ext>
          </a:extLst>
        </xdr:cNvPr>
        <xdr:cNvCxnSpPr/>
      </xdr:nvCxnSpPr>
      <xdr:spPr>
        <a:xfrm>
          <a:off x="10530417"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0</xdr:rowOff>
    </xdr:from>
    <xdr:to>
      <xdr:col>16</xdr:col>
      <xdr:colOff>0</xdr:colOff>
      <xdr:row>1215</xdr:row>
      <xdr:rowOff>42334</xdr:rowOff>
    </xdr:to>
    <xdr:cxnSp macro="">
      <xdr:nvCxnSpPr>
        <xdr:cNvPr id="773" name="Straight Arrow Connector 772">
          <a:extLst>
            <a:ext uri="{FF2B5EF4-FFF2-40B4-BE49-F238E27FC236}">
              <a16:creationId xmlns:a16="http://schemas.microsoft.com/office/drawing/2014/main" id="{00000000-0008-0000-1200-000005030000}"/>
            </a:ext>
          </a:extLst>
        </xdr:cNvPr>
        <xdr:cNvCxnSpPr/>
      </xdr:nvCxnSpPr>
      <xdr:spPr>
        <a:xfrm>
          <a:off x="10530417" y="58864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1222</xdr:row>
      <xdr:rowOff>0</xdr:rowOff>
    </xdr:from>
    <xdr:to>
      <xdr:col>15</xdr:col>
      <xdr:colOff>603250</xdr:colOff>
      <xdr:row>1224</xdr:row>
      <xdr:rowOff>1</xdr:rowOff>
    </xdr:to>
    <xdr:cxnSp macro="">
      <xdr:nvCxnSpPr>
        <xdr:cNvPr id="774" name="Straight Arrow Connector 773">
          <a:extLst>
            <a:ext uri="{FF2B5EF4-FFF2-40B4-BE49-F238E27FC236}">
              <a16:creationId xmlns:a16="http://schemas.microsoft.com/office/drawing/2014/main" id="{00000000-0008-0000-1200-000006030000}"/>
            </a:ext>
          </a:extLst>
        </xdr:cNvPr>
        <xdr:cNvCxnSpPr/>
      </xdr:nvCxnSpPr>
      <xdr:spPr>
        <a:xfrm flipV="1">
          <a:off x="10530417"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1224</xdr:row>
      <xdr:rowOff>10584</xdr:rowOff>
    </xdr:from>
    <xdr:to>
      <xdr:col>15</xdr:col>
      <xdr:colOff>592666</xdr:colOff>
      <xdr:row>1225</xdr:row>
      <xdr:rowOff>95250</xdr:rowOff>
    </xdr:to>
    <xdr:cxnSp macro="">
      <xdr:nvCxnSpPr>
        <xdr:cNvPr id="775" name="Straight Arrow Connector 774">
          <a:extLst>
            <a:ext uri="{FF2B5EF4-FFF2-40B4-BE49-F238E27FC236}">
              <a16:creationId xmlns:a16="http://schemas.microsoft.com/office/drawing/2014/main" id="{00000000-0008-0000-1200-000007030000}"/>
            </a:ext>
          </a:extLst>
        </xdr:cNvPr>
        <xdr:cNvCxnSpPr/>
      </xdr:nvCxnSpPr>
      <xdr:spPr>
        <a:xfrm>
          <a:off x="10572750"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1224</xdr:row>
      <xdr:rowOff>10584</xdr:rowOff>
    </xdr:from>
    <xdr:to>
      <xdr:col>15</xdr:col>
      <xdr:colOff>560916</xdr:colOff>
      <xdr:row>1228</xdr:row>
      <xdr:rowOff>52917</xdr:rowOff>
    </xdr:to>
    <xdr:cxnSp macro="">
      <xdr:nvCxnSpPr>
        <xdr:cNvPr id="776" name="Straight Arrow Connector 775">
          <a:extLst>
            <a:ext uri="{FF2B5EF4-FFF2-40B4-BE49-F238E27FC236}">
              <a16:creationId xmlns:a16="http://schemas.microsoft.com/office/drawing/2014/main" id="{00000000-0008-0000-1200-000008030000}"/>
            </a:ext>
          </a:extLst>
        </xdr:cNvPr>
        <xdr:cNvCxnSpPr/>
      </xdr:nvCxnSpPr>
      <xdr:spPr>
        <a:xfrm>
          <a:off x="10551583"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777" name="Straight Arrow Connector 776">
          <a:extLst>
            <a:ext uri="{FF2B5EF4-FFF2-40B4-BE49-F238E27FC236}">
              <a16:creationId xmlns:a16="http://schemas.microsoft.com/office/drawing/2014/main" id="{00000000-0008-0000-1200-000009030000}"/>
            </a:ext>
          </a:extLst>
        </xdr:cNvPr>
        <xdr:cNvCxnSpPr/>
      </xdr:nvCxnSpPr>
      <xdr:spPr>
        <a:xfrm>
          <a:off x="10583333" y="61563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1238</xdr:row>
      <xdr:rowOff>0</xdr:rowOff>
    </xdr:from>
    <xdr:to>
      <xdr:col>16</xdr:col>
      <xdr:colOff>0</xdr:colOff>
      <xdr:row>1238</xdr:row>
      <xdr:rowOff>42334</xdr:rowOff>
    </xdr:to>
    <xdr:cxnSp macro="">
      <xdr:nvCxnSpPr>
        <xdr:cNvPr id="778" name="Straight Arrow Connector 777">
          <a:extLst>
            <a:ext uri="{FF2B5EF4-FFF2-40B4-BE49-F238E27FC236}">
              <a16:creationId xmlns:a16="http://schemas.microsoft.com/office/drawing/2014/main" id="{00000000-0008-0000-1200-00000A030000}"/>
            </a:ext>
          </a:extLst>
        </xdr:cNvPr>
        <xdr:cNvCxnSpPr/>
      </xdr:nvCxnSpPr>
      <xdr:spPr>
        <a:xfrm>
          <a:off x="10562166" y="64198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1238</xdr:row>
      <xdr:rowOff>21166</xdr:rowOff>
    </xdr:from>
    <xdr:to>
      <xdr:col>15</xdr:col>
      <xdr:colOff>560916</xdr:colOff>
      <xdr:row>1241</xdr:row>
      <xdr:rowOff>84667</xdr:rowOff>
    </xdr:to>
    <xdr:cxnSp macro="">
      <xdr:nvCxnSpPr>
        <xdr:cNvPr id="779" name="Straight Arrow Connector 778">
          <a:extLst>
            <a:ext uri="{FF2B5EF4-FFF2-40B4-BE49-F238E27FC236}">
              <a16:creationId xmlns:a16="http://schemas.microsoft.com/office/drawing/2014/main" id="{00000000-0008-0000-1200-00000B030000}"/>
            </a:ext>
          </a:extLst>
        </xdr:cNvPr>
        <xdr:cNvCxnSpPr/>
      </xdr:nvCxnSpPr>
      <xdr:spPr>
        <a:xfrm>
          <a:off x="10615083"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1238</xdr:row>
      <xdr:rowOff>52916</xdr:rowOff>
    </xdr:from>
    <xdr:to>
      <xdr:col>15</xdr:col>
      <xdr:colOff>592666</xdr:colOff>
      <xdr:row>1244</xdr:row>
      <xdr:rowOff>63501</xdr:rowOff>
    </xdr:to>
    <xdr:cxnSp macro="">
      <xdr:nvCxnSpPr>
        <xdr:cNvPr id="780" name="Straight Arrow Connector 779">
          <a:extLst>
            <a:ext uri="{FF2B5EF4-FFF2-40B4-BE49-F238E27FC236}">
              <a16:creationId xmlns:a16="http://schemas.microsoft.com/office/drawing/2014/main" id="{00000000-0008-0000-1200-00000C030000}"/>
            </a:ext>
          </a:extLst>
        </xdr:cNvPr>
        <xdr:cNvCxnSpPr/>
      </xdr:nvCxnSpPr>
      <xdr:spPr>
        <a:xfrm>
          <a:off x="10572750"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1235</xdr:row>
      <xdr:rowOff>52917</xdr:rowOff>
    </xdr:from>
    <xdr:to>
      <xdr:col>15</xdr:col>
      <xdr:colOff>603250</xdr:colOff>
      <xdr:row>1237</xdr:row>
      <xdr:rowOff>148167</xdr:rowOff>
    </xdr:to>
    <xdr:cxnSp macro="">
      <xdr:nvCxnSpPr>
        <xdr:cNvPr id="781" name="Straight Arrow Connector 780">
          <a:extLst>
            <a:ext uri="{FF2B5EF4-FFF2-40B4-BE49-F238E27FC236}">
              <a16:creationId xmlns:a16="http://schemas.microsoft.com/office/drawing/2014/main" id="{00000000-0008-0000-1200-00000D030000}"/>
            </a:ext>
          </a:extLst>
        </xdr:cNvPr>
        <xdr:cNvCxnSpPr/>
      </xdr:nvCxnSpPr>
      <xdr:spPr>
        <a:xfrm flipV="1">
          <a:off x="10583333"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1279</xdr:row>
      <xdr:rowOff>95250</xdr:rowOff>
    </xdr:from>
    <xdr:to>
      <xdr:col>8</xdr:col>
      <xdr:colOff>21167</xdr:colOff>
      <xdr:row>1311</xdr:row>
      <xdr:rowOff>148166</xdr:rowOff>
    </xdr:to>
    <xdr:cxnSp macro="">
      <xdr:nvCxnSpPr>
        <xdr:cNvPr id="782" name="Straight Arrow Connector 781">
          <a:extLst>
            <a:ext uri="{FF2B5EF4-FFF2-40B4-BE49-F238E27FC236}">
              <a16:creationId xmlns:a16="http://schemas.microsoft.com/office/drawing/2014/main" id="{00000000-0008-0000-1200-00000E030000}"/>
            </a:ext>
          </a:extLst>
        </xdr:cNvPr>
        <xdr:cNvCxnSpPr/>
      </xdr:nvCxnSpPr>
      <xdr:spPr>
        <a:xfrm>
          <a:off x="5080000" y="72294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1250</xdr:row>
      <xdr:rowOff>137583</xdr:rowOff>
    </xdr:from>
    <xdr:to>
      <xdr:col>9</xdr:col>
      <xdr:colOff>603250</xdr:colOff>
      <xdr:row>1256</xdr:row>
      <xdr:rowOff>21166</xdr:rowOff>
    </xdr:to>
    <xdr:cxnSp macro="">
      <xdr:nvCxnSpPr>
        <xdr:cNvPr id="783" name="Straight Arrow Connector 782">
          <a:extLst>
            <a:ext uri="{FF2B5EF4-FFF2-40B4-BE49-F238E27FC236}">
              <a16:creationId xmlns:a16="http://schemas.microsoft.com/office/drawing/2014/main" id="{00000000-0008-0000-1200-00000F030000}"/>
            </a:ext>
          </a:extLst>
        </xdr:cNvPr>
        <xdr:cNvCxnSpPr/>
      </xdr:nvCxnSpPr>
      <xdr:spPr>
        <a:xfrm flipV="1">
          <a:off x="6381750"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1259</xdr:row>
      <xdr:rowOff>0</xdr:rowOff>
    </xdr:from>
    <xdr:to>
      <xdr:col>9</xdr:col>
      <xdr:colOff>582083</xdr:colOff>
      <xdr:row>1267</xdr:row>
      <xdr:rowOff>10583</xdr:rowOff>
    </xdr:to>
    <xdr:cxnSp macro="">
      <xdr:nvCxnSpPr>
        <xdr:cNvPr id="784" name="Straight Arrow Connector 783">
          <a:extLst>
            <a:ext uri="{FF2B5EF4-FFF2-40B4-BE49-F238E27FC236}">
              <a16:creationId xmlns:a16="http://schemas.microsoft.com/office/drawing/2014/main" id="{00000000-0008-0000-1200-000010030000}"/>
            </a:ext>
          </a:extLst>
        </xdr:cNvPr>
        <xdr:cNvCxnSpPr/>
      </xdr:nvCxnSpPr>
      <xdr:spPr>
        <a:xfrm>
          <a:off x="6413500"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785" name="Straight Arrow Connector 784">
          <a:extLst>
            <a:ext uri="{FF2B5EF4-FFF2-40B4-BE49-F238E27FC236}">
              <a16:creationId xmlns:a16="http://schemas.microsoft.com/office/drawing/2014/main" id="{00000000-0008-0000-1200-000011030000}"/>
            </a:ext>
          </a:extLst>
        </xdr:cNvPr>
        <xdr:cNvCxnSpPr/>
      </xdr:nvCxnSpPr>
      <xdr:spPr>
        <a:xfrm flipV="1">
          <a:off x="7609417"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786" name="Straight Arrow Connector 785">
          <a:extLst>
            <a:ext uri="{FF2B5EF4-FFF2-40B4-BE49-F238E27FC236}">
              <a16:creationId xmlns:a16="http://schemas.microsoft.com/office/drawing/2014/main" id="{00000000-0008-0000-1200-000012030000}"/>
            </a:ext>
          </a:extLst>
        </xdr:cNvPr>
        <xdr:cNvCxnSpPr/>
      </xdr:nvCxnSpPr>
      <xdr:spPr>
        <a:xfrm>
          <a:off x="7598834"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787" name="Straight Arrow Connector 786">
          <a:extLst>
            <a:ext uri="{FF2B5EF4-FFF2-40B4-BE49-F238E27FC236}">
              <a16:creationId xmlns:a16="http://schemas.microsoft.com/office/drawing/2014/main" id="{00000000-0008-0000-1200-000013030000}"/>
            </a:ext>
          </a:extLst>
        </xdr:cNvPr>
        <xdr:cNvCxnSpPr/>
      </xdr:nvCxnSpPr>
      <xdr:spPr>
        <a:xfrm flipV="1">
          <a:off x="8794750" y="68410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788" name="Straight Arrow Connector 787">
          <a:extLst>
            <a:ext uri="{FF2B5EF4-FFF2-40B4-BE49-F238E27FC236}">
              <a16:creationId xmlns:a16="http://schemas.microsoft.com/office/drawing/2014/main" id="{00000000-0008-0000-1200-000014030000}"/>
            </a:ext>
          </a:extLst>
        </xdr:cNvPr>
        <xdr:cNvCxnSpPr/>
      </xdr:nvCxnSpPr>
      <xdr:spPr>
        <a:xfrm>
          <a:off x="8784166" y="69363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789" name="Straight Arrow Connector 788">
          <a:extLst>
            <a:ext uri="{FF2B5EF4-FFF2-40B4-BE49-F238E27FC236}">
              <a16:creationId xmlns:a16="http://schemas.microsoft.com/office/drawing/2014/main" id="{00000000-0008-0000-1200-000015030000}"/>
            </a:ext>
          </a:extLst>
        </xdr:cNvPr>
        <xdr:cNvCxnSpPr/>
      </xdr:nvCxnSpPr>
      <xdr:spPr>
        <a:xfrm flipV="1">
          <a:off x="879475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790" name="Straight Arrow Connector 789">
          <a:extLst>
            <a:ext uri="{FF2B5EF4-FFF2-40B4-BE49-F238E27FC236}">
              <a16:creationId xmlns:a16="http://schemas.microsoft.com/office/drawing/2014/main" id="{00000000-0008-0000-1200-000016030000}"/>
            </a:ext>
          </a:extLst>
        </xdr:cNvPr>
        <xdr:cNvCxnSpPr/>
      </xdr:nvCxnSpPr>
      <xdr:spPr>
        <a:xfrm>
          <a:off x="8805333" y="73342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1252</xdr:row>
      <xdr:rowOff>0</xdr:rowOff>
    </xdr:from>
    <xdr:to>
      <xdr:col>15</xdr:col>
      <xdr:colOff>603250</xdr:colOff>
      <xdr:row>1257</xdr:row>
      <xdr:rowOff>31750</xdr:rowOff>
    </xdr:to>
    <xdr:cxnSp macro="">
      <xdr:nvCxnSpPr>
        <xdr:cNvPr id="791" name="Straight Arrow Connector 790">
          <a:extLst>
            <a:ext uri="{FF2B5EF4-FFF2-40B4-BE49-F238E27FC236}">
              <a16:creationId xmlns:a16="http://schemas.microsoft.com/office/drawing/2014/main" id="{00000000-0008-0000-1200-000017030000}"/>
            </a:ext>
          </a:extLst>
        </xdr:cNvPr>
        <xdr:cNvCxnSpPr/>
      </xdr:nvCxnSpPr>
      <xdr:spPr>
        <a:xfrm flipV="1">
          <a:off x="10541000"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792" name="Straight Arrow Connector 791">
          <a:extLst>
            <a:ext uri="{FF2B5EF4-FFF2-40B4-BE49-F238E27FC236}">
              <a16:creationId xmlns:a16="http://schemas.microsoft.com/office/drawing/2014/main" id="{00000000-0008-0000-1200-000018030000}"/>
            </a:ext>
          </a:extLst>
        </xdr:cNvPr>
        <xdr:cNvCxnSpPr/>
      </xdr:nvCxnSpPr>
      <xdr:spPr>
        <a:xfrm flipV="1">
          <a:off x="10583333"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793" name="Straight Arrow Connector 792">
          <a:extLst>
            <a:ext uri="{FF2B5EF4-FFF2-40B4-BE49-F238E27FC236}">
              <a16:creationId xmlns:a16="http://schemas.microsoft.com/office/drawing/2014/main" id="{00000000-0008-0000-1200-000019030000}"/>
            </a:ext>
          </a:extLst>
        </xdr:cNvPr>
        <xdr:cNvCxnSpPr/>
      </xdr:nvCxnSpPr>
      <xdr:spPr>
        <a:xfrm>
          <a:off x="10604500"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794" name="Straight Arrow Connector 793">
          <a:extLst>
            <a:ext uri="{FF2B5EF4-FFF2-40B4-BE49-F238E27FC236}">
              <a16:creationId xmlns:a16="http://schemas.microsoft.com/office/drawing/2014/main" id="{00000000-0008-0000-1200-00001A030000}"/>
            </a:ext>
          </a:extLst>
        </xdr:cNvPr>
        <xdr:cNvCxnSpPr/>
      </xdr:nvCxnSpPr>
      <xdr:spPr>
        <a:xfrm>
          <a:off x="10519834" y="67923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1265</xdr:row>
      <xdr:rowOff>52916</xdr:rowOff>
    </xdr:from>
    <xdr:to>
      <xdr:col>16</xdr:col>
      <xdr:colOff>0</xdr:colOff>
      <xdr:row>1267</xdr:row>
      <xdr:rowOff>0</xdr:rowOff>
    </xdr:to>
    <xdr:cxnSp macro="">
      <xdr:nvCxnSpPr>
        <xdr:cNvPr id="795" name="Straight Arrow Connector 794">
          <a:extLst>
            <a:ext uri="{FF2B5EF4-FFF2-40B4-BE49-F238E27FC236}">
              <a16:creationId xmlns:a16="http://schemas.microsoft.com/office/drawing/2014/main" id="{00000000-0008-0000-1200-00001B030000}"/>
            </a:ext>
          </a:extLst>
        </xdr:cNvPr>
        <xdr:cNvCxnSpPr/>
      </xdr:nvCxnSpPr>
      <xdr:spPr>
        <a:xfrm flipV="1">
          <a:off x="10541000" y="69394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796" name="Straight Arrow Connector 795">
          <a:extLst>
            <a:ext uri="{FF2B5EF4-FFF2-40B4-BE49-F238E27FC236}">
              <a16:creationId xmlns:a16="http://schemas.microsoft.com/office/drawing/2014/main" id="{00000000-0008-0000-1200-00001C030000}"/>
            </a:ext>
          </a:extLst>
        </xdr:cNvPr>
        <xdr:cNvCxnSpPr/>
      </xdr:nvCxnSpPr>
      <xdr:spPr>
        <a:xfrm>
          <a:off x="10551583"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797" name="Straight Arrow Connector 796">
          <a:extLst>
            <a:ext uri="{FF2B5EF4-FFF2-40B4-BE49-F238E27FC236}">
              <a16:creationId xmlns:a16="http://schemas.microsoft.com/office/drawing/2014/main" id="{00000000-0008-0000-1200-00001D030000}"/>
            </a:ext>
          </a:extLst>
        </xdr:cNvPr>
        <xdr:cNvCxnSpPr/>
      </xdr:nvCxnSpPr>
      <xdr:spPr>
        <a:xfrm>
          <a:off x="10530417" y="69744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798" name="Straight Arrow Connector 797">
          <a:extLst>
            <a:ext uri="{FF2B5EF4-FFF2-40B4-BE49-F238E27FC236}">
              <a16:creationId xmlns:a16="http://schemas.microsoft.com/office/drawing/2014/main" id="{00000000-0008-0000-1200-00001E030000}"/>
            </a:ext>
          </a:extLst>
        </xdr:cNvPr>
        <xdr:cNvCxnSpPr/>
      </xdr:nvCxnSpPr>
      <xdr:spPr>
        <a:xfrm>
          <a:off x="10541000" y="69754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1304</xdr:row>
      <xdr:rowOff>42333</xdr:rowOff>
    </xdr:from>
    <xdr:to>
      <xdr:col>9</xdr:col>
      <xdr:colOff>592666</xdr:colOff>
      <xdr:row>1312</xdr:row>
      <xdr:rowOff>42333</xdr:rowOff>
    </xdr:to>
    <xdr:cxnSp macro="">
      <xdr:nvCxnSpPr>
        <xdr:cNvPr id="799" name="Straight Arrow Connector 798">
          <a:extLst>
            <a:ext uri="{FF2B5EF4-FFF2-40B4-BE49-F238E27FC236}">
              <a16:creationId xmlns:a16="http://schemas.microsoft.com/office/drawing/2014/main" id="{00000000-0008-0000-1200-00001F030000}"/>
            </a:ext>
          </a:extLst>
        </xdr:cNvPr>
        <xdr:cNvCxnSpPr/>
      </xdr:nvCxnSpPr>
      <xdr:spPr>
        <a:xfrm flipV="1">
          <a:off x="6392333"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1314</xdr:row>
      <xdr:rowOff>169334</xdr:rowOff>
    </xdr:from>
    <xdr:to>
      <xdr:col>9</xdr:col>
      <xdr:colOff>603250</xdr:colOff>
      <xdr:row>1323</xdr:row>
      <xdr:rowOff>31750</xdr:rowOff>
    </xdr:to>
    <xdr:cxnSp macro="">
      <xdr:nvCxnSpPr>
        <xdr:cNvPr id="800" name="Straight Arrow Connector 799">
          <a:extLst>
            <a:ext uri="{FF2B5EF4-FFF2-40B4-BE49-F238E27FC236}">
              <a16:creationId xmlns:a16="http://schemas.microsoft.com/office/drawing/2014/main" id="{00000000-0008-0000-1200-000020030000}"/>
            </a:ext>
          </a:extLst>
        </xdr:cNvPr>
        <xdr:cNvCxnSpPr/>
      </xdr:nvCxnSpPr>
      <xdr:spPr>
        <a:xfrm>
          <a:off x="6413500"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801" name="Straight Arrow Connector 800">
          <a:extLst>
            <a:ext uri="{FF2B5EF4-FFF2-40B4-BE49-F238E27FC236}">
              <a16:creationId xmlns:a16="http://schemas.microsoft.com/office/drawing/2014/main" id="{00000000-0008-0000-1200-000021030000}"/>
            </a:ext>
          </a:extLst>
        </xdr:cNvPr>
        <xdr:cNvCxnSpPr/>
      </xdr:nvCxnSpPr>
      <xdr:spPr>
        <a:xfrm flipV="1">
          <a:off x="7556500" y="80168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802" name="Straight Arrow Connector 801">
          <a:extLst>
            <a:ext uri="{FF2B5EF4-FFF2-40B4-BE49-F238E27FC236}">
              <a16:creationId xmlns:a16="http://schemas.microsoft.com/office/drawing/2014/main" id="{00000000-0008-0000-1200-000022030000}"/>
            </a:ext>
          </a:extLst>
        </xdr:cNvPr>
        <xdr:cNvCxnSpPr/>
      </xdr:nvCxnSpPr>
      <xdr:spPr>
        <a:xfrm flipV="1">
          <a:off x="10530417"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803" name="Straight Arrow Connector 802">
          <a:extLst>
            <a:ext uri="{FF2B5EF4-FFF2-40B4-BE49-F238E27FC236}">
              <a16:creationId xmlns:a16="http://schemas.microsoft.com/office/drawing/2014/main" id="{00000000-0008-0000-1200-000023030000}"/>
            </a:ext>
          </a:extLst>
        </xdr:cNvPr>
        <xdr:cNvCxnSpPr/>
      </xdr:nvCxnSpPr>
      <xdr:spPr>
        <a:xfrm>
          <a:off x="10572750"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804" name="Straight Arrow Connector 803">
          <a:extLst>
            <a:ext uri="{FF2B5EF4-FFF2-40B4-BE49-F238E27FC236}">
              <a16:creationId xmlns:a16="http://schemas.microsoft.com/office/drawing/2014/main" id="{00000000-0008-0000-1200-000024030000}"/>
            </a:ext>
          </a:extLst>
        </xdr:cNvPr>
        <xdr:cNvCxnSpPr/>
      </xdr:nvCxnSpPr>
      <xdr:spPr>
        <a:xfrm>
          <a:off x="10551583"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805" name="Straight Arrow Connector 804">
          <a:extLst>
            <a:ext uri="{FF2B5EF4-FFF2-40B4-BE49-F238E27FC236}">
              <a16:creationId xmlns:a16="http://schemas.microsoft.com/office/drawing/2014/main" id="{00000000-0008-0000-1200-000025030000}"/>
            </a:ext>
          </a:extLst>
        </xdr:cNvPr>
        <xdr:cNvCxnSpPr/>
      </xdr:nvCxnSpPr>
      <xdr:spPr>
        <a:xfrm>
          <a:off x="10583333" y="72421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806" name="Straight Arrow Connector 805">
          <a:extLst>
            <a:ext uri="{FF2B5EF4-FFF2-40B4-BE49-F238E27FC236}">
              <a16:creationId xmlns:a16="http://schemas.microsoft.com/office/drawing/2014/main" id="{00000000-0008-0000-1200-000026030000}"/>
            </a:ext>
          </a:extLst>
        </xdr:cNvPr>
        <xdr:cNvCxnSpPr/>
      </xdr:nvCxnSpPr>
      <xdr:spPr>
        <a:xfrm>
          <a:off x="10562166" y="75057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807" name="Straight Arrow Connector 806">
          <a:extLst>
            <a:ext uri="{FF2B5EF4-FFF2-40B4-BE49-F238E27FC236}">
              <a16:creationId xmlns:a16="http://schemas.microsoft.com/office/drawing/2014/main" id="{00000000-0008-0000-1200-000027030000}"/>
            </a:ext>
          </a:extLst>
        </xdr:cNvPr>
        <xdr:cNvCxnSpPr/>
      </xdr:nvCxnSpPr>
      <xdr:spPr>
        <a:xfrm>
          <a:off x="10615083"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808" name="Straight Arrow Connector 807">
          <a:extLst>
            <a:ext uri="{FF2B5EF4-FFF2-40B4-BE49-F238E27FC236}">
              <a16:creationId xmlns:a16="http://schemas.microsoft.com/office/drawing/2014/main" id="{00000000-0008-0000-1200-000028030000}"/>
            </a:ext>
          </a:extLst>
        </xdr:cNvPr>
        <xdr:cNvCxnSpPr/>
      </xdr:nvCxnSpPr>
      <xdr:spPr>
        <a:xfrm>
          <a:off x="10572750"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809" name="Straight Arrow Connector 808">
          <a:extLst>
            <a:ext uri="{FF2B5EF4-FFF2-40B4-BE49-F238E27FC236}">
              <a16:creationId xmlns:a16="http://schemas.microsoft.com/office/drawing/2014/main" id="{00000000-0008-0000-1200-000029030000}"/>
            </a:ext>
          </a:extLst>
        </xdr:cNvPr>
        <xdr:cNvCxnSpPr/>
      </xdr:nvCxnSpPr>
      <xdr:spPr>
        <a:xfrm flipV="1">
          <a:off x="10562166"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810" name="Straight Arrow Connector 809">
          <a:extLst>
            <a:ext uri="{FF2B5EF4-FFF2-40B4-BE49-F238E27FC236}">
              <a16:creationId xmlns:a16="http://schemas.microsoft.com/office/drawing/2014/main" id="{00000000-0008-0000-1200-00002A030000}"/>
            </a:ext>
          </a:extLst>
        </xdr:cNvPr>
        <xdr:cNvCxnSpPr/>
      </xdr:nvCxnSpPr>
      <xdr:spPr>
        <a:xfrm flipV="1">
          <a:off x="10604500"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811" name="Straight Arrow Connector 810">
          <a:extLst>
            <a:ext uri="{FF2B5EF4-FFF2-40B4-BE49-F238E27FC236}">
              <a16:creationId xmlns:a16="http://schemas.microsoft.com/office/drawing/2014/main" id="{00000000-0008-0000-1200-00002B030000}"/>
            </a:ext>
          </a:extLst>
        </xdr:cNvPr>
        <xdr:cNvCxnSpPr/>
      </xdr:nvCxnSpPr>
      <xdr:spPr>
        <a:xfrm>
          <a:off x="10593916"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812" name="Straight Arrow Connector 811">
          <a:extLst>
            <a:ext uri="{FF2B5EF4-FFF2-40B4-BE49-F238E27FC236}">
              <a16:creationId xmlns:a16="http://schemas.microsoft.com/office/drawing/2014/main" id="{00000000-0008-0000-1200-00002C030000}"/>
            </a:ext>
          </a:extLst>
        </xdr:cNvPr>
        <xdr:cNvCxnSpPr/>
      </xdr:nvCxnSpPr>
      <xdr:spPr>
        <a:xfrm>
          <a:off x="10572750" y="80697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813" name="Straight Arrow Connector 812">
          <a:extLst>
            <a:ext uri="{FF2B5EF4-FFF2-40B4-BE49-F238E27FC236}">
              <a16:creationId xmlns:a16="http://schemas.microsoft.com/office/drawing/2014/main" id="{00000000-0008-0000-1200-00002D030000}"/>
            </a:ext>
          </a:extLst>
        </xdr:cNvPr>
        <xdr:cNvCxnSpPr/>
      </xdr:nvCxnSpPr>
      <xdr:spPr>
        <a:xfrm flipV="1">
          <a:off x="10583333"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814" name="Straight Arrow Connector 813">
          <a:extLst>
            <a:ext uri="{FF2B5EF4-FFF2-40B4-BE49-F238E27FC236}">
              <a16:creationId xmlns:a16="http://schemas.microsoft.com/office/drawing/2014/main" id="{00000000-0008-0000-1200-00002E030000}"/>
            </a:ext>
          </a:extLst>
        </xdr:cNvPr>
        <xdr:cNvCxnSpPr/>
      </xdr:nvCxnSpPr>
      <xdr:spPr>
        <a:xfrm>
          <a:off x="7598834"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815" name="Straight Arrow Connector 814">
          <a:extLst>
            <a:ext uri="{FF2B5EF4-FFF2-40B4-BE49-F238E27FC236}">
              <a16:creationId xmlns:a16="http://schemas.microsoft.com/office/drawing/2014/main" id="{00000000-0008-0000-1200-00002F030000}"/>
            </a:ext>
          </a:extLst>
        </xdr:cNvPr>
        <xdr:cNvCxnSpPr/>
      </xdr:nvCxnSpPr>
      <xdr:spPr>
        <a:xfrm flipV="1">
          <a:off x="8794750" y="7926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816" name="Straight Arrow Connector 815">
          <a:extLst>
            <a:ext uri="{FF2B5EF4-FFF2-40B4-BE49-F238E27FC236}">
              <a16:creationId xmlns:a16="http://schemas.microsoft.com/office/drawing/2014/main" id="{00000000-0008-0000-1200-000030030000}"/>
            </a:ext>
          </a:extLst>
        </xdr:cNvPr>
        <xdr:cNvCxnSpPr/>
      </xdr:nvCxnSpPr>
      <xdr:spPr>
        <a:xfrm>
          <a:off x="8784166" y="8022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817" name="Straight Arrow Connector 816">
          <a:extLst>
            <a:ext uri="{FF2B5EF4-FFF2-40B4-BE49-F238E27FC236}">
              <a16:creationId xmlns:a16="http://schemas.microsoft.com/office/drawing/2014/main" id="{00000000-0008-0000-1200-000031030000}"/>
            </a:ext>
          </a:extLst>
        </xdr:cNvPr>
        <xdr:cNvCxnSpPr/>
      </xdr:nvCxnSpPr>
      <xdr:spPr>
        <a:xfrm flipV="1">
          <a:off x="879475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818" name="Straight Arrow Connector 817">
          <a:extLst>
            <a:ext uri="{FF2B5EF4-FFF2-40B4-BE49-F238E27FC236}">
              <a16:creationId xmlns:a16="http://schemas.microsoft.com/office/drawing/2014/main" id="{00000000-0008-0000-1200-000032030000}"/>
            </a:ext>
          </a:extLst>
        </xdr:cNvPr>
        <xdr:cNvCxnSpPr/>
      </xdr:nvCxnSpPr>
      <xdr:spPr>
        <a:xfrm>
          <a:off x="8805333" y="8420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819" name="Straight Arrow Connector 818">
          <a:extLst>
            <a:ext uri="{FF2B5EF4-FFF2-40B4-BE49-F238E27FC236}">
              <a16:creationId xmlns:a16="http://schemas.microsoft.com/office/drawing/2014/main" id="{00000000-0008-0000-1200-000033030000}"/>
            </a:ext>
          </a:extLst>
        </xdr:cNvPr>
        <xdr:cNvCxnSpPr/>
      </xdr:nvCxnSpPr>
      <xdr:spPr>
        <a:xfrm>
          <a:off x="10593916"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1321</xdr:row>
      <xdr:rowOff>52916</xdr:rowOff>
    </xdr:from>
    <xdr:to>
      <xdr:col>16</xdr:col>
      <xdr:colOff>0</xdr:colOff>
      <xdr:row>1323</xdr:row>
      <xdr:rowOff>0</xdr:rowOff>
    </xdr:to>
    <xdr:cxnSp macro="">
      <xdr:nvCxnSpPr>
        <xdr:cNvPr id="820" name="Straight Arrow Connector 819">
          <a:extLst>
            <a:ext uri="{FF2B5EF4-FFF2-40B4-BE49-F238E27FC236}">
              <a16:creationId xmlns:a16="http://schemas.microsoft.com/office/drawing/2014/main" id="{00000000-0008-0000-1200-000034030000}"/>
            </a:ext>
          </a:extLst>
        </xdr:cNvPr>
        <xdr:cNvCxnSpPr/>
      </xdr:nvCxnSpPr>
      <xdr:spPr>
        <a:xfrm flipV="1">
          <a:off x="10541000" y="8025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821" name="Straight Arrow Connector 820">
          <a:extLst>
            <a:ext uri="{FF2B5EF4-FFF2-40B4-BE49-F238E27FC236}">
              <a16:creationId xmlns:a16="http://schemas.microsoft.com/office/drawing/2014/main" id="{00000000-0008-0000-1200-000035030000}"/>
            </a:ext>
          </a:extLst>
        </xdr:cNvPr>
        <xdr:cNvCxnSpPr/>
      </xdr:nvCxnSpPr>
      <xdr:spPr>
        <a:xfrm>
          <a:off x="10530417"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822" name="Straight Arrow Connector 821">
          <a:extLst>
            <a:ext uri="{FF2B5EF4-FFF2-40B4-BE49-F238E27FC236}">
              <a16:creationId xmlns:a16="http://schemas.microsoft.com/office/drawing/2014/main" id="{00000000-0008-0000-1200-000036030000}"/>
            </a:ext>
          </a:extLst>
        </xdr:cNvPr>
        <xdr:cNvCxnSpPr/>
      </xdr:nvCxnSpPr>
      <xdr:spPr>
        <a:xfrm>
          <a:off x="10530417" y="80581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823" name="Straight Arrow Connector 822">
          <a:extLst>
            <a:ext uri="{FF2B5EF4-FFF2-40B4-BE49-F238E27FC236}">
              <a16:creationId xmlns:a16="http://schemas.microsoft.com/office/drawing/2014/main" id="{00000000-0008-0000-1200-000037030000}"/>
            </a:ext>
          </a:extLst>
        </xdr:cNvPr>
        <xdr:cNvCxnSpPr/>
      </xdr:nvCxnSpPr>
      <xdr:spPr>
        <a:xfrm flipV="1">
          <a:off x="10530417"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824" name="Straight Arrow Connector 823">
          <a:extLst>
            <a:ext uri="{FF2B5EF4-FFF2-40B4-BE49-F238E27FC236}">
              <a16:creationId xmlns:a16="http://schemas.microsoft.com/office/drawing/2014/main" id="{00000000-0008-0000-1200-000038030000}"/>
            </a:ext>
          </a:extLst>
        </xdr:cNvPr>
        <xdr:cNvCxnSpPr/>
      </xdr:nvCxnSpPr>
      <xdr:spPr>
        <a:xfrm>
          <a:off x="10572750"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825" name="Straight Arrow Connector 824">
          <a:extLst>
            <a:ext uri="{FF2B5EF4-FFF2-40B4-BE49-F238E27FC236}">
              <a16:creationId xmlns:a16="http://schemas.microsoft.com/office/drawing/2014/main" id="{00000000-0008-0000-1200-000039030000}"/>
            </a:ext>
          </a:extLst>
        </xdr:cNvPr>
        <xdr:cNvCxnSpPr/>
      </xdr:nvCxnSpPr>
      <xdr:spPr>
        <a:xfrm>
          <a:off x="10551583"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826" name="Straight Arrow Connector 825">
          <a:extLst>
            <a:ext uri="{FF2B5EF4-FFF2-40B4-BE49-F238E27FC236}">
              <a16:creationId xmlns:a16="http://schemas.microsoft.com/office/drawing/2014/main" id="{00000000-0008-0000-1200-00003A030000}"/>
            </a:ext>
          </a:extLst>
        </xdr:cNvPr>
        <xdr:cNvCxnSpPr/>
      </xdr:nvCxnSpPr>
      <xdr:spPr>
        <a:xfrm>
          <a:off x="10583333" y="8328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827" name="Straight Arrow Connector 826">
          <a:extLst>
            <a:ext uri="{FF2B5EF4-FFF2-40B4-BE49-F238E27FC236}">
              <a16:creationId xmlns:a16="http://schemas.microsoft.com/office/drawing/2014/main" id="{00000000-0008-0000-1200-00003B030000}"/>
            </a:ext>
          </a:extLst>
        </xdr:cNvPr>
        <xdr:cNvCxnSpPr/>
      </xdr:nvCxnSpPr>
      <xdr:spPr>
        <a:xfrm>
          <a:off x="10562166" y="8591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828" name="Straight Arrow Connector 827">
          <a:extLst>
            <a:ext uri="{FF2B5EF4-FFF2-40B4-BE49-F238E27FC236}">
              <a16:creationId xmlns:a16="http://schemas.microsoft.com/office/drawing/2014/main" id="{00000000-0008-0000-1200-00003C030000}"/>
            </a:ext>
          </a:extLst>
        </xdr:cNvPr>
        <xdr:cNvCxnSpPr/>
      </xdr:nvCxnSpPr>
      <xdr:spPr>
        <a:xfrm>
          <a:off x="10615083"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829" name="Straight Arrow Connector 828">
          <a:extLst>
            <a:ext uri="{FF2B5EF4-FFF2-40B4-BE49-F238E27FC236}">
              <a16:creationId xmlns:a16="http://schemas.microsoft.com/office/drawing/2014/main" id="{00000000-0008-0000-1200-00003D030000}"/>
            </a:ext>
          </a:extLst>
        </xdr:cNvPr>
        <xdr:cNvCxnSpPr/>
      </xdr:nvCxnSpPr>
      <xdr:spPr>
        <a:xfrm>
          <a:off x="10572750"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830" name="Straight Arrow Connector 829">
          <a:extLst>
            <a:ext uri="{FF2B5EF4-FFF2-40B4-BE49-F238E27FC236}">
              <a16:creationId xmlns:a16="http://schemas.microsoft.com/office/drawing/2014/main" id="{00000000-0008-0000-1200-00003E030000}"/>
            </a:ext>
          </a:extLst>
        </xdr:cNvPr>
        <xdr:cNvCxnSpPr/>
      </xdr:nvCxnSpPr>
      <xdr:spPr>
        <a:xfrm flipV="1">
          <a:off x="10583333"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1258</xdr:row>
      <xdr:rowOff>127000</xdr:rowOff>
    </xdr:from>
    <xdr:to>
      <xdr:col>8</xdr:col>
      <xdr:colOff>63500</xdr:colOff>
      <xdr:row>1277</xdr:row>
      <xdr:rowOff>0</xdr:rowOff>
    </xdr:to>
    <xdr:cxnSp macro="">
      <xdr:nvCxnSpPr>
        <xdr:cNvPr id="831" name="Straight Arrow Connector 830">
          <a:extLst>
            <a:ext uri="{FF2B5EF4-FFF2-40B4-BE49-F238E27FC236}">
              <a16:creationId xmlns:a16="http://schemas.microsoft.com/office/drawing/2014/main" id="{00000000-0008-0000-1200-00003F030000}"/>
            </a:ext>
          </a:extLst>
        </xdr:cNvPr>
        <xdr:cNvCxnSpPr/>
      </xdr:nvCxnSpPr>
      <xdr:spPr>
        <a:xfrm flipV="1">
          <a:off x="5207000" y="68135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832" name="Straight Arrow Connector 831">
          <a:extLst>
            <a:ext uri="{FF2B5EF4-FFF2-40B4-BE49-F238E27FC236}">
              <a16:creationId xmlns:a16="http://schemas.microsoft.com/office/drawing/2014/main" id="{00000000-0008-0000-1200-000040030000}"/>
            </a:ext>
          </a:extLst>
        </xdr:cNvPr>
        <xdr:cNvCxnSpPr/>
      </xdr:nvCxnSpPr>
      <xdr:spPr>
        <a:xfrm flipV="1">
          <a:off x="603250" y="963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833" name="Straight Arrow Connector 832">
          <a:extLst>
            <a:ext uri="{FF2B5EF4-FFF2-40B4-BE49-F238E27FC236}">
              <a16:creationId xmlns:a16="http://schemas.microsoft.com/office/drawing/2014/main" id="{00000000-0008-0000-1200-000041030000}"/>
            </a:ext>
          </a:extLst>
        </xdr:cNvPr>
        <xdr:cNvCxnSpPr/>
      </xdr:nvCxnSpPr>
      <xdr:spPr>
        <a:xfrm>
          <a:off x="603250" y="19790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834" name="Straight Arrow Connector 833">
          <a:extLst>
            <a:ext uri="{FF2B5EF4-FFF2-40B4-BE49-F238E27FC236}">
              <a16:creationId xmlns:a16="http://schemas.microsoft.com/office/drawing/2014/main" id="{00000000-0008-0000-1200-000042030000}"/>
            </a:ext>
          </a:extLst>
        </xdr:cNvPr>
        <xdr:cNvCxnSpPr/>
      </xdr:nvCxnSpPr>
      <xdr:spPr>
        <a:xfrm flipV="1">
          <a:off x="2296584"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835" name="Straight Arrow Connector 834">
          <a:extLst>
            <a:ext uri="{FF2B5EF4-FFF2-40B4-BE49-F238E27FC236}">
              <a16:creationId xmlns:a16="http://schemas.microsoft.com/office/drawing/2014/main" id="{00000000-0008-0000-1200-00004303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836" name="Straight Arrow Connector 835">
          <a:extLst>
            <a:ext uri="{FF2B5EF4-FFF2-40B4-BE49-F238E27FC236}">
              <a16:creationId xmlns:a16="http://schemas.microsoft.com/office/drawing/2014/main" id="{00000000-0008-0000-1200-00004403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837" name="Straight Arrow Connector 836">
          <a:extLst>
            <a:ext uri="{FF2B5EF4-FFF2-40B4-BE49-F238E27FC236}">
              <a16:creationId xmlns:a16="http://schemas.microsoft.com/office/drawing/2014/main" id="{00000000-0008-0000-1200-00004503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838" name="Straight Arrow Connector 837">
          <a:extLst>
            <a:ext uri="{FF2B5EF4-FFF2-40B4-BE49-F238E27FC236}">
              <a16:creationId xmlns:a16="http://schemas.microsoft.com/office/drawing/2014/main" id="{00000000-0008-0000-1200-00004603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839" name="Straight Arrow Connector 838">
          <a:extLst>
            <a:ext uri="{FF2B5EF4-FFF2-40B4-BE49-F238E27FC236}">
              <a16:creationId xmlns:a16="http://schemas.microsoft.com/office/drawing/2014/main" id="{00000000-0008-0000-1200-00004703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840" name="Straight Arrow Connector 839">
          <a:extLst>
            <a:ext uri="{FF2B5EF4-FFF2-40B4-BE49-F238E27FC236}">
              <a16:creationId xmlns:a16="http://schemas.microsoft.com/office/drawing/2014/main" id="{00000000-0008-0000-1200-00004803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841" name="Straight Arrow Connector 840">
          <a:extLst>
            <a:ext uri="{FF2B5EF4-FFF2-40B4-BE49-F238E27FC236}">
              <a16:creationId xmlns:a16="http://schemas.microsoft.com/office/drawing/2014/main" id="{00000000-0008-0000-1200-00004903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842" name="Straight Arrow Connector 841">
          <a:extLst>
            <a:ext uri="{FF2B5EF4-FFF2-40B4-BE49-F238E27FC236}">
              <a16:creationId xmlns:a16="http://schemas.microsoft.com/office/drawing/2014/main" id="{00000000-0008-0000-1200-00004A03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843" name="Straight Arrow Connector 842">
          <a:extLst>
            <a:ext uri="{FF2B5EF4-FFF2-40B4-BE49-F238E27FC236}">
              <a16:creationId xmlns:a16="http://schemas.microsoft.com/office/drawing/2014/main" id="{00000000-0008-0000-1200-00004B03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844" name="Straight Arrow Connector 843">
          <a:extLst>
            <a:ext uri="{FF2B5EF4-FFF2-40B4-BE49-F238E27FC236}">
              <a16:creationId xmlns:a16="http://schemas.microsoft.com/office/drawing/2014/main" id="{00000000-0008-0000-1200-00004C03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845" name="Straight Arrow Connector 844">
          <a:extLst>
            <a:ext uri="{FF2B5EF4-FFF2-40B4-BE49-F238E27FC236}">
              <a16:creationId xmlns:a16="http://schemas.microsoft.com/office/drawing/2014/main" id="{00000000-0008-0000-1200-00004D03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846" name="Straight Arrow Connector 845">
          <a:extLst>
            <a:ext uri="{FF2B5EF4-FFF2-40B4-BE49-F238E27FC236}">
              <a16:creationId xmlns:a16="http://schemas.microsoft.com/office/drawing/2014/main" id="{00000000-0008-0000-1200-00004E03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847" name="Straight Arrow Connector 846">
          <a:extLst>
            <a:ext uri="{FF2B5EF4-FFF2-40B4-BE49-F238E27FC236}">
              <a16:creationId xmlns:a16="http://schemas.microsoft.com/office/drawing/2014/main" id="{00000000-0008-0000-1200-00004F03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848" name="Straight Arrow Connector 847">
          <a:extLst>
            <a:ext uri="{FF2B5EF4-FFF2-40B4-BE49-F238E27FC236}">
              <a16:creationId xmlns:a16="http://schemas.microsoft.com/office/drawing/2014/main" id="{00000000-0008-0000-1200-00005003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849" name="Straight Arrow Connector 848">
          <a:extLst>
            <a:ext uri="{FF2B5EF4-FFF2-40B4-BE49-F238E27FC236}">
              <a16:creationId xmlns:a16="http://schemas.microsoft.com/office/drawing/2014/main" id="{00000000-0008-0000-1200-00005103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850" name="Straight Arrow Connector 849">
          <a:extLst>
            <a:ext uri="{FF2B5EF4-FFF2-40B4-BE49-F238E27FC236}">
              <a16:creationId xmlns:a16="http://schemas.microsoft.com/office/drawing/2014/main" id="{00000000-0008-0000-1200-00005203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851" name="Straight Arrow Connector 850">
          <a:extLst>
            <a:ext uri="{FF2B5EF4-FFF2-40B4-BE49-F238E27FC236}">
              <a16:creationId xmlns:a16="http://schemas.microsoft.com/office/drawing/2014/main" id="{00000000-0008-0000-1200-00005303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852" name="Straight Arrow Connector 851">
          <a:extLst>
            <a:ext uri="{FF2B5EF4-FFF2-40B4-BE49-F238E27FC236}">
              <a16:creationId xmlns:a16="http://schemas.microsoft.com/office/drawing/2014/main" id="{00000000-0008-0000-1200-00005403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853" name="Straight Arrow Connector 852">
          <a:extLst>
            <a:ext uri="{FF2B5EF4-FFF2-40B4-BE49-F238E27FC236}">
              <a16:creationId xmlns:a16="http://schemas.microsoft.com/office/drawing/2014/main" id="{00000000-0008-0000-1200-00005503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854" name="Straight Arrow Connector 853">
          <a:extLst>
            <a:ext uri="{FF2B5EF4-FFF2-40B4-BE49-F238E27FC236}">
              <a16:creationId xmlns:a16="http://schemas.microsoft.com/office/drawing/2014/main" id="{00000000-0008-0000-1200-00005603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855" name="Straight Arrow Connector 854">
          <a:extLst>
            <a:ext uri="{FF2B5EF4-FFF2-40B4-BE49-F238E27FC236}">
              <a16:creationId xmlns:a16="http://schemas.microsoft.com/office/drawing/2014/main" id="{00000000-0008-0000-1200-00005703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856" name="Straight Arrow Connector 855">
          <a:extLst>
            <a:ext uri="{FF2B5EF4-FFF2-40B4-BE49-F238E27FC236}">
              <a16:creationId xmlns:a16="http://schemas.microsoft.com/office/drawing/2014/main" id="{00000000-0008-0000-1200-00005803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857" name="Straight Arrow Connector 856">
          <a:extLst>
            <a:ext uri="{FF2B5EF4-FFF2-40B4-BE49-F238E27FC236}">
              <a16:creationId xmlns:a16="http://schemas.microsoft.com/office/drawing/2014/main" id="{00000000-0008-0000-1200-00005903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858" name="Straight Arrow Connector 857">
          <a:extLst>
            <a:ext uri="{FF2B5EF4-FFF2-40B4-BE49-F238E27FC236}">
              <a16:creationId xmlns:a16="http://schemas.microsoft.com/office/drawing/2014/main" id="{00000000-0008-0000-1200-00005A03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859" name="Straight Arrow Connector 858">
          <a:extLst>
            <a:ext uri="{FF2B5EF4-FFF2-40B4-BE49-F238E27FC236}">
              <a16:creationId xmlns:a16="http://schemas.microsoft.com/office/drawing/2014/main" id="{00000000-0008-0000-1200-00005B03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860" name="Straight Arrow Connector 859">
          <a:extLst>
            <a:ext uri="{FF2B5EF4-FFF2-40B4-BE49-F238E27FC236}">
              <a16:creationId xmlns:a16="http://schemas.microsoft.com/office/drawing/2014/main" id="{00000000-0008-0000-1200-00005C03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861" name="Straight Arrow Connector 860">
          <a:extLst>
            <a:ext uri="{FF2B5EF4-FFF2-40B4-BE49-F238E27FC236}">
              <a16:creationId xmlns:a16="http://schemas.microsoft.com/office/drawing/2014/main" id="{00000000-0008-0000-1200-00005D03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862" name="Straight Arrow Connector 861">
          <a:extLst>
            <a:ext uri="{FF2B5EF4-FFF2-40B4-BE49-F238E27FC236}">
              <a16:creationId xmlns:a16="http://schemas.microsoft.com/office/drawing/2014/main" id="{00000000-0008-0000-1200-00005E03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863" name="Straight Arrow Connector 862">
          <a:extLst>
            <a:ext uri="{FF2B5EF4-FFF2-40B4-BE49-F238E27FC236}">
              <a16:creationId xmlns:a16="http://schemas.microsoft.com/office/drawing/2014/main" id="{00000000-0008-0000-1200-00005F03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864" name="Straight Arrow Connector 863">
          <a:extLst>
            <a:ext uri="{FF2B5EF4-FFF2-40B4-BE49-F238E27FC236}">
              <a16:creationId xmlns:a16="http://schemas.microsoft.com/office/drawing/2014/main" id="{00000000-0008-0000-1200-00006003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865" name="Straight Arrow Connector 864">
          <a:extLst>
            <a:ext uri="{FF2B5EF4-FFF2-40B4-BE49-F238E27FC236}">
              <a16:creationId xmlns:a16="http://schemas.microsoft.com/office/drawing/2014/main" id="{00000000-0008-0000-1200-00006103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866" name="Straight Arrow Connector 865">
          <a:extLst>
            <a:ext uri="{FF2B5EF4-FFF2-40B4-BE49-F238E27FC236}">
              <a16:creationId xmlns:a16="http://schemas.microsoft.com/office/drawing/2014/main" id="{00000000-0008-0000-1200-00006203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867" name="Straight Arrow Connector 866">
          <a:extLst>
            <a:ext uri="{FF2B5EF4-FFF2-40B4-BE49-F238E27FC236}">
              <a16:creationId xmlns:a16="http://schemas.microsoft.com/office/drawing/2014/main" id="{00000000-0008-0000-1200-00006303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868" name="Straight Arrow Connector 867">
          <a:extLst>
            <a:ext uri="{FF2B5EF4-FFF2-40B4-BE49-F238E27FC236}">
              <a16:creationId xmlns:a16="http://schemas.microsoft.com/office/drawing/2014/main" id="{00000000-0008-0000-1200-00006403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869" name="Straight Arrow Connector 868">
          <a:extLst>
            <a:ext uri="{FF2B5EF4-FFF2-40B4-BE49-F238E27FC236}">
              <a16:creationId xmlns:a16="http://schemas.microsoft.com/office/drawing/2014/main" id="{00000000-0008-0000-1200-00006503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870" name="Straight Arrow Connector 869">
          <a:extLst>
            <a:ext uri="{FF2B5EF4-FFF2-40B4-BE49-F238E27FC236}">
              <a16:creationId xmlns:a16="http://schemas.microsoft.com/office/drawing/2014/main" id="{00000000-0008-0000-1200-00006603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871" name="Straight Arrow Connector 870">
          <a:extLst>
            <a:ext uri="{FF2B5EF4-FFF2-40B4-BE49-F238E27FC236}">
              <a16:creationId xmlns:a16="http://schemas.microsoft.com/office/drawing/2014/main" id="{00000000-0008-0000-1200-00006703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872" name="Straight Arrow Connector 871">
          <a:extLst>
            <a:ext uri="{FF2B5EF4-FFF2-40B4-BE49-F238E27FC236}">
              <a16:creationId xmlns:a16="http://schemas.microsoft.com/office/drawing/2014/main" id="{00000000-0008-0000-1200-00006803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873" name="Straight Arrow Connector 872">
          <a:extLst>
            <a:ext uri="{FF2B5EF4-FFF2-40B4-BE49-F238E27FC236}">
              <a16:creationId xmlns:a16="http://schemas.microsoft.com/office/drawing/2014/main" id="{00000000-0008-0000-1200-00006903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874" name="Straight Arrow Connector 873">
          <a:extLst>
            <a:ext uri="{FF2B5EF4-FFF2-40B4-BE49-F238E27FC236}">
              <a16:creationId xmlns:a16="http://schemas.microsoft.com/office/drawing/2014/main" id="{00000000-0008-0000-1200-00006A03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875" name="Straight Arrow Connector 874">
          <a:extLst>
            <a:ext uri="{FF2B5EF4-FFF2-40B4-BE49-F238E27FC236}">
              <a16:creationId xmlns:a16="http://schemas.microsoft.com/office/drawing/2014/main" id="{00000000-0008-0000-1200-00006B03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876" name="Straight Arrow Connector 875">
          <a:extLst>
            <a:ext uri="{FF2B5EF4-FFF2-40B4-BE49-F238E27FC236}">
              <a16:creationId xmlns:a16="http://schemas.microsoft.com/office/drawing/2014/main" id="{00000000-0008-0000-1200-00006C03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877" name="Straight Arrow Connector 876">
          <a:extLst>
            <a:ext uri="{FF2B5EF4-FFF2-40B4-BE49-F238E27FC236}">
              <a16:creationId xmlns:a16="http://schemas.microsoft.com/office/drawing/2014/main" id="{00000000-0008-0000-1200-00006D03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878" name="Straight Arrow Connector 877">
          <a:extLst>
            <a:ext uri="{FF2B5EF4-FFF2-40B4-BE49-F238E27FC236}">
              <a16:creationId xmlns:a16="http://schemas.microsoft.com/office/drawing/2014/main" id="{00000000-0008-0000-1200-00006E03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879" name="Straight Arrow Connector 878">
          <a:extLst>
            <a:ext uri="{FF2B5EF4-FFF2-40B4-BE49-F238E27FC236}">
              <a16:creationId xmlns:a16="http://schemas.microsoft.com/office/drawing/2014/main" id="{00000000-0008-0000-1200-00006F03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880" name="Straight Arrow Connector 879">
          <a:extLst>
            <a:ext uri="{FF2B5EF4-FFF2-40B4-BE49-F238E27FC236}">
              <a16:creationId xmlns:a16="http://schemas.microsoft.com/office/drawing/2014/main" id="{00000000-0008-0000-1200-00007003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881" name="Straight Arrow Connector 880">
          <a:extLst>
            <a:ext uri="{FF2B5EF4-FFF2-40B4-BE49-F238E27FC236}">
              <a16:creationId xmlns:a16="http://schemas.microsoft.com/office/drawing/2014/main" id="{00000000-0008-0000-1200-00007103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882" name="Straight Arrow Connector 881">
          <a:extLst>
            <a:ext uri="{FF2B5EF4-FFF2-40B4-BE49-F238E27FC236}">
              <a16:creationId xmlns:a16="http://schemas.microsoft.com/office/drawing/2014/main" id="{00000000-0008-0000-1200-00007203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883" name="Straight Arrow Connector 882">
          <a:extLst>
            <a:ext uri="{FF2B5EF4-FFF2-40B4-BE49-F238E27FC236}">
              <a16:creationId xmlns:a16="http://schemas.microsoft.com/office/drawing/2014/main" id="{00000000-0008-0000-1200-00007303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1466</xdr:row>
      <xdr:rowOff>0</xdr:rowOff>
    </xdr:from>
    <xdr:to>
      <xdr:col>16</xdr:col>
      <xdr:colOff>0</xdr:colOff>
      <xdr:row>1466</xdr:row>
      <xdr:rowOff>42334</xdr:rowOff>
    </xdr:to>
    <xdr:cxnSp macro="">
      <xdr:nvCxnSpPr>
        <xdr:cNvPr id="884" name="Straight Arrow Connector 883">
          <a:extLst>
            <a:ext uri="{FF2B5EF4-FFF2-40B4-BE49-F238E27FC236}">
              <a16:creationId xmlns:a16="http://schemas.microsoft.com/office/drawing/2014/main" id="{00000000-0008-0000-1200-00007403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1466</xdr:row>
      <xdr:rowOff>21166</xdr:rowOff>
    </xdr:from>
    <xdr:to>
      <xdr:col>15</xdr:col>
      <xdr:colOff>560916</xdr:colOff>
      <xdr:row>1469</xdr:row>
      <xdr:rowOff>84667</xdr:rowOff>
    </xdr:to>
    <xdr:cxnSp macro="">
      <xdr:nvCxnSpPr>
        <xdr:cNvPr id="885" name="Straight Arrow Connector 884">
          <a:extLst>
            <a:ext uri="{FF2B5EF4-FFF2-40B4-BE49-F238E27FC236}">
              <a16:creationId xmlns:a16="http://schemas.microsoft.com/office/drawing/2014/main" id="{00000000-0008-0000-1200-00007503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1466</xdr:row>
      <xdr:rowOff>52916</xdr:rowOff>
    </xdr:from>
    <xdr:to>
      <xdr:col>15</xdr:col>
      <xdr:colOff>592666</xdr:colOff>
      <xdr:row>1472</xdr:row>
      <xdr:rowOff>63501</xdr:rowOff>
    </xdr:to>
    <xdr:cxnSp macro="">
      <xdr:nvCxnSpPr>
        <xdr:cNvPr id="886" name="Straight Arrow Connector 885">
          <a:extLst>
            <a:ext uri="{FF2B5EF4-FFF2-40B4-BE49-F238E27FC236}">
              <a16:creationId xmlns:a16="http://schemas.microsoft.com/office/drawing/2014/main" id="{00000000-0008-0000-1200-00007603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1463</xdr:row>
      <xdr:rowOff>52917</xdr:rowOff>
    </xdr:from>
    <xdr:to>
      <xdr:col>15</xdr:col>
      <xdr:colOff>603250</xdr:colOff>
      <xdr:row>1465</xdr:row>
      <xdr:rowOff>148167</xdr:rowOff>
    </xdr:to>
    <xdr:cxnSp macro="">
      <xdr:nvCxnSpPr>
        <xdr:cNvPr id="887" name="Straight Arrow Connector 886">
          <a:extLst>
            <a:ext uri="{FF2B5EF4-FFF2-40B4-BE49-F238E27FC236}">
              <a16:creationId xmlns:a16="http://schemas.microsoft.com/office/drawing/2014/main" id="{00000000-0008-0000-1200-00007703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888" name="Straight Arrow Connector 887">
          <a:extLst>
            <a:ext uri="{FF2B5EF4-FFF2-40B4-BE49-F238E27FC236}">
              <a16:creationId xmlns:a16="http://schemas.microsoft.com/office/drawing/2014/main" id="{00000000-0008-0000-1200-00007803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889" name="Straight Arrow Connector 888">
          <a:extLst>
            <a:ext uri="{FF2B5EF4-FFF2-40B4-BE49-F238E27FC236}">
              <a16:creationId xmlns:a16="http://schemas.microsoft.com/office/drawing/2014/main" id="{00000000-0008-0000-1200-00007903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890" name="Straight Arrow Connector 889">
          <a:extLst>
            <a:ext uri="{FF2B5EF4-FFF2-40B4-BE49-F238E27FC236}">
              <a16:creationId xmlns:a16="http://schemas.microsoft.com/office/drawing/2014/main" id="{00000000-0008-0000-1200-00007A03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891" name="Straight Arrow Connector 890">
          <a:extLst>
            <a:ext uri="{FF2B5EF4-FFF2-40B4-BE49-F238E27FC236}">
              <a16:creationId xmlns:a16="http://schemas.microsoft.com/office/drawing/2014/main" id="{00000000-0008-0000-1200-00007B03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892" name="Straight Arrow Connector 891">
          <a:extLst>
            <a:ext uri="{FF2B5EF4-FFF2-40B4-BE49-F238E27FC236}">
              <a16:creationId xmlns:a16="http://schemas.microsoft.com/office/drawing/2014/main" id="{00000000-0008-0000-1200-00007C03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893" name="Straight Arrow Connector 892">
          <a:extLst>
            <a:ext uri="{FF2B5EF4-FFF2-40B4-BE49-F238E27FC236}">
              <a16:creationId xmlns:a16="http://schemas.microsoft.com/office/drawing/2014/main" id="{00000000-0008-0000-1200-00007D03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894" name="Straight Arrow Connector 893">
          <a:extLst>
            <a:ext uri="{FF2B5EF4-FFF2-40B4-BE49-F238E27FC236}">
              <a16:creationId xmlns:a16="http://schemas.microsoft.com/office/drawing/2014/main" id="{00000000-0008-0000-1200-00007E030000}"/>
            </a:ext>
          </a:extLst>
        </xdr:cNvPr>
        <xdr:cNvCxnSpPr/>
      </xdr:nvCxnSpPr>
      <xdr:spPr>
        <a:xfrm>
          <a:off x="8784166" y="25929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895" name="Straight Arrow Connector 894">
          <a:extLst>
            <a:ext uri="{FF2B5EF4-FFF2-40B4-BE49-F238E27FC236}">
              <a16:creationId xmlns:a16="http://schemas.microsoft.com/office/drawing/2014/main" id="{00000000-0008-0000-1200-00007F03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896" name="Straight Arrow Connector 895">
          <a:extLst>
            <a:ext uri="{FF2B5EF4-FFF2-40B4-BE49-F238E27FC236}">
              <a16:creationId xmlns:a16="http://schemas.microsoft.com/office/drawing/2014/main" id="{00000000-0008-0000-1200-00008003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897" name="Straight Arrow Connector 896">
          <a:extLst>
            <a:ext uri="{FF2B5EF4-FFF2-40B4-BE49-F238E27FC236}">
              <a16:creationId xmlns:a16="http://schemas.microsoft.com/office/drawing/2014/main" id="{00000000-0008-0000-1200-00008103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898" name="Straight Arrow Connector 897">
          <a:extLst>
            <a:ext uri="{FF2B5EF4-FFF2-40B4-BE49-F238E27FC236}">
              <a16:creationId xmlns:a16="http://schemas.microsoft.com/office/drawing/2014/main" id="{00000000-0008-0000-1200-00008203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899" name="Straight Arrow Connector 898">
          <a:extLst>
            <a:ext uri="{FF2B5EF4-FFF2-40B4-BE49-F238E27FC236}">
              <a16:creationId xmlns:a16="http://schemas.microsoft.com/office/drawing/2014/main" id="{00000000-0008-0000-1200-00008303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900" name="Straight Arrow Connector 899">
          <a:extLst>
            <a:ext uri="{FF2B5EF4-FFF2-40B4-BE49-F238E27FC236}">
              <a16:creationId xmlns:a16="http://schemas.microsoft.com/office/drawing/2014/main" id="{00000000-0008-0000-1200-00008403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901" name="Straight Arrow Connector 900">
          <a:extLst>
            <a:ext uri="{FF2B5EF4-FFF2-40B4-BE49-F238E27FC236}">
              <a16:creationId xmlns:a16="http://schemas.microsoft.com/office/drawing/2014/main" id="{00000000-0008-0000-1200-00008503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902" name="Straight Arrow Connector 901">
          <a:extLst>
            <a:ext uri="{FF2B5EF4-FFF2-40B4-BE49-F238E27FC236}">
              <a16:creationId xmlns:a16="http://schemas.microsoft.com/office/drawing/2014/main" id="{00000000-0008-0000-1200-00008603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903" name="Straight Arrow Connector 902">
          <a:extLst>
            <a:ext uri="{FF2B5EF4-FFF2-40B4-BE49-F238E27FC236}">
              <a16:creationId xmlns:a16="http://schemas.microsoft.com/office/drawing/2014/main" id="{00000000-0008-0000-1200-00008703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904" name="Straight Arrow Connector 903">
          <a:extLst>
            <a:ext uri="{FF2B5EF4-FFF2-40B4-BE49-F238E27FC236}">
              <a16:creationId xmlns:a16="http://schemas.microsoft.com/office/drawing/2014/main" id="{00000000-0008-0000-1200-00008803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905" name="Straight Arrow Connector 904">
          <a:extLst>
            <a:ext uri="{FF2B5EF4-FFF2-40B4-BE49-F238E27FC236}">
              <a16:creationId xmlns:a16="http://schemas.microsoft.com/office/drawing/2014/main" id="{00000000-0008-0000-1200-00008903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906" name="Straight Arrow Connector 905">
          <a:extLst>
            <a:ext uri="{FF2B5EF4-FFF2-40B4-BE49-F238E27FC236}">
              <a16:creationId xmlns:a16="http://schemas.microsoft.com/office/drawing/2014/main" id="{00000000-0008-0000-1200-00008A03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907" name="Straight Arrow Connector 906">
          <a:extLst>
            <a:ext uri="{FF2B5EF4-FFF2-40B4-BE49-F238E27FC236}">
              <a16:creationId xmlns:a16="http://schemas.microsoft.com/office/drawing/2014/main" id="{00000000-0008-0000-1200-00008B03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908" name="Straight Arrow Connector 907">
          <a:extLst>
            <a:ext uri="{FF2B5EF4-FFF2-40B4-BE49-F238E27FC236}">
              <a16:creationId xmlns:a16="http://schemas.microsoft.com/office/drawing/2014/main" id="{00000000-0008-0000-1200-00008C030000}"/>
            </a:ext>
          </a:extLst>
        </xdr:cNvPr>
        <xdr:cNvCxnSpPr/>
      </xdr:nvCxnSpPr>
      <xdr:spPr>
        <a:xfrm flipV="1">
          <a:off x="10530417"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909" name="Straight Arrow Connector 908">
          <a:extLst>
            <a:ext uri="{FF2B5EF4-FFF2-40B4-BE49-F238E27FC236}">
              <a16:creationId xmlns:a16="http://schemas.microsoft.com/office/drawing/2014/main" id="{00000000-0008-0000-1200-00008D03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910" name="Straight Arrow Connector 909">
          <a:extLst>
            <a:ext uri="{FF2B5EF4-FFF2-40B4-BE49-F238E27FC236}">
              <a16:creationId xmlns:a16="http://schemas.microsoft.com/office/drawing/2014/main" id="{00000000-0008-0000-1200-00008E03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911" name="Straight Arrow Connector 910">
          <a:extLst>
            <a:ext uri="{FF2B5EF4-FFF2-40B4-BE49-F238E27FC236}">
              <a16:creationId xmlns:a16="http://schemas.microsoft.com/office/drawing/2014/main" id="{00000000-0008-0000-1200-00008F03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912" name="Straight Arrow Connector 911">
          <a:extLst>
            <a:ext uri="{FF2B5EF4-FFF2-40B4-BE49-F238E27FC236}">
              <a16:creationId xmlns:a16="http://schemas.microsoft.com/office/drawing/2014/main" id="{00000000-0008-0000-1200-00009003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913" name="Straight Arrow Connector 912">
          <a:extLst>
            <a:ext uri="{FF2B5EF4-FFF2-40B4-BE49-F238E27FC236}">
              <a16:creationId xmlns:a16="http://schemas.microsoft.com/office/drawing/2014/main" id="{00000000-0008-0000-1200-00009103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914" name="Straight Arrow Connector 913">
          <a:extLst>
            <a:ext uri="{FF2B5EF4-FFF2-40B4-BE49-F238E27FC236}">
              <a16:creationId xmlns:a16="http://schemas.microsoft.com/office/drawing/2014/main" id="{00000000-0008-0000-1200-00009203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915" name="Straight Arrow Connector 914">
          <a:extLst>
            <a:ext uri="{FF2B5EF4-FFF2-40B4-BE49-F238E27FC236}">
              <a16:creationId xmlns:a16="http://schemas.microsoft.com/office/drawing/2014/main" id="{00000000-0008-0000-1200-00009303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916" name="Straight Arrow Connector 915">
          <a:extLst>
            <a:ext uri="{FF2B5EF4-FFF2-40B4-BE49-F238E27FC236}">
              <a16:creationId xmlns:a16="http://schemas.microsoft.com/office/drawing/2014/main" id="{00000000-0008-0000-1200-00009403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917" name="Straight Arrow Connector 916">
          <a:extLst>
            <a:ext uri="{FF2B5EF4-FFF2-40B4-BE49-F238E27FC236}">
              <a16:creationId xmlns:a16="http://schemas.microsoft.com/office/drawing/2014/main" id="{00000000-0008-0000-1200-00009503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918" name="Straight Arrow Connector 917">
          <a:extLst>
            <a:ext uri="{FF2B5EF4-FFF2-40B4-BE49-F238E27FC236}">
              <a16:creationId xmlns:a16="http://schemas.microsoft.com/office/drawing/2014/main" id="{00000000-0008-0000-1200-00009603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919" name="Straight Arrow Connector 918">
          <a:extLst>
            <a:ext uri="{FF2B5EF4-FFF2-40B4-BE49-F238E27FC236}">
              <a16:creationId xmlns:a16="http://schemas.microsoft.com/office/drawing/2014/main" id="{00000000-0008-0000-1200-00009703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920" name="Straight Arrow Connector 919">
          <a:extLst>
            <a:ext uri="{FF2B5EF4-FFF2-40B4-BE49-F238E27FC236}">
              <a16:creationId xmlns:a16="http://schemas.microsoft.com/office/drawing/2014/main" id="{00000000-0008-0000-1200-00009803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921" name="Straight Arrow Connector 920">
          <a:extLst>
            <a:ext uri="{FF2B5EF4-FFF2-40B4-BE49-F238E27FC236}">
              <a16:creationId xmlns:a16="http://schemas.microsoft.com/office/drawing/2014/main" id="{00000000-0008-0000-1200-00009903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922" name="Straight Arrow Connector 921">
          <a:extLst>
            <a:ext uri="{FF2B5EF4-FFF2-40B4-BE49-F238E27FC236}">
              <a16:creationId xmlns:a16="http://schemas.microsoft.com/office/drawing/2014/main" id="{00000000-0008-0000-1200-00009A03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923" name="Straight Arrow Connector 922">
          <a:extLst>
            <a:ext uri="{FF2B5EF4-FFF2-40B4-BE49-F238E27FC236}">
              <a16:creationId xmlns:a16="http://schemas.microsoft.com/office/drawing/2014/main" id="{00000000-0008-0000-1200-00009B03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924" name="Straight Arrow Connector 923">
          <a:extLst>
            <a:ext uri="{FF2B5EF4-FFF2-40B4-BE49-F238E27FC236}">
              <a16:creationId xmlns:a16="http://schemas.microsoft.com/office/drawing/2014/main" id="{00000000-0008-0000-1200-00009C03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925" name="Straight Arrow Connector 924">
          <a:extLst>
            <a:ext uri="{FF2B5EF4-FFF2-40B4-BE49-F238E27FC236}">
              <a16:creationId xmlns:a16="http://schemas.microsoft.com/office/drawing/2014/main" id="{00000000-0008-0000-1200-00009D03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926" name="Straight Arrow Connector 925">
          <a:extLst>
            <a:ext uri="{FF2B5EF4-FFF2-40B4-BE49-F238E27FC236}">
              <a16:creationId xmlns:a16="http://schemas.microsoft.com/office/drawing/2014/main" id="{00000000-0008-0000-1200-00009E03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927" name="Straight Arrow Connector 926">
          <a:extLst>
            <a:ext uri="{FF2B5EF4-FFF2-40B4-BE49-F238E27FC236}">
              <a16:creationId xmlns:a16="http://schemas.microsoft.com/office/drawing/2014/main" id="{00000000-0008-0000-1200-00009F03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928" name="Straight Arrow Connector 927">
          <a:extLst>
            <a:ext uri="{FF2B5EF4-FFF2-40B4-BE49-F238E27FC236}">
              <a16:creationId xmlns:a16="http://schemas.microsoft.com/office/drawing/2014/main" id="{00000000-0008-0000-1200-0000A003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929" name="Straight Arrow Connector 928">
          <a:extLst>
            <a:ext uri="{FF2B5EF4-FFF2-40B4-BE49-F238E27FC236}">
              <a16:creationId xmlns:a16="http://schemas.microsoft.com/office/drawing/2014/main" id="{00000000-0008-0000-1200-0000A1030000}"/>
            </a:ext>
          </a:extLst>
        </xdr:cNvPr>
        <xdr:cNvCxnSpPr/>
      </xdr:nvCxnSpPr>
      <xdr:spPr>
        <a:xfrm flipV="1">
          <a:off x="10530417"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930" name="Straight Arrow Connector 929">
          <a:extLst>
            <a:ext uri="{FF2B5EF4-FFF2-40B4-BE49-F238E27FC236}">
              <a16:creationId xmlns:a16="http://schemas.microsoft.com/office/drawing/2014/main" id="{00000000-0008-0000-1200-0000A203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931" name="Straight Arrow Connector 930">
          <a:extLst>
            <a:ext uri="{FF2B5EF4-FFF2-40B4-BE49-F238E27FC236}">
              <a16:creationId xmlns:a16="http://schemas.microsoft.com/office/drawing/2014/main" id="{00000000-0008-0000-1200-0000A303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932" name="Straight Arrow Connector 931">
          <a:extLst>
            <a:ext uri="{FF2B5EF4-FFF2-40B4-BE49-F238E27FC236}">
              <a16:creationId xmlns:a16="http://schemas.microsoft.com/office/drawing/2014/main" id="{00000000-0008-0000-1200-0000A403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933" name="Straight Arrow Connector 932">
          <a:extLst>
            <a:ext uri="{FF2B5EF4-FFF2-40B4-BE49-F238E27FC236}">
              <a16:creationId xmlns:a16="http://schemas.microsoft.com/office/drawing/2014/main" id="{00000000-0008-0000-1200-0000A503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934" name="Straight Arrow Connector 933">
          <a:extLst>
            <a:ext uri="{FF2B5EF4-FFF2-40B4-BE49-F238E27FC236}">
              <a16:creationId xmlns:a16="http://schemas.microsoft.com/office/drawing/2014/main" id="{00000000-0008-0000-1200-0000A603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935" name="Straight Arrow Connector 934">
          <a:extLst>
            <a:ext uri="{FF2B5EF4-FFF2-40B4-BE49-F238E27FC236}">
              <a16:creationId xmlns:a16="http://schemas.microsoft.com/office/drawing/2014/main" id="{00000000-0008-0000-1200-0000A703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936" name="Straight Arrow Connector 935">
          <a:extLst>
            <a:ext uri="{FF2B5EF4-FFF2-40B4-BE49-F238E27FC236}">
              <a16:creationId xmlns:a16="http://schemas.microsoft.com/office/drawing/2014/main" id="{00000000-0008-0000-1200-0000A803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937" name="Straight Arrow Connector 936">
          <a:extLst>
            <a:ext uri="{FF2B5EF4-FFF2-40B4-BE49-F238E27FC236}">
              <a16:creationId xmlns:a16="http://schemas.microsoft.com/office/drawing/2014/main" id="{00000000-0008-0000-1200-0000A903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938" name="Straight Arrow Connector 937">
          <a:extLst>
            <a:ext uri="{FF2B5EF4-FFF2-40B4-BE49-F238E27FC236}">
              <a16:creationId xmlns:a16="http://schemas.microsoft.com/office/drawing/2014/main" id="{00000000-0008-0000-1200-0000AA030000}"/>
            </a:ext>
          </a:extLst>
        </xdr:cNvPr>
        <xdr:cNvCxnSpPr/>
      </xdr:nvCxnSpPr>
      <xdr:spPr>
        <a:xfrm flipV="1">
          <a:off x="3714750" y="51244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939" name="Straight Arrow Connector 938">
          <a:extLst>
            <a:ext uri="{FF2B5EF4-FFF2-40B4-BE49-F238E27FC236}">
              <a16:creationId xmlns:a16="http://schemas.microsoft.com/office/drawing/2014/main" id="{00000000-0008-0000-1200-0000AB030000}"/>
            </a:ext>
          </a:extLst>
        </xdr:cNvPr>
        <xdr:cNvCxnSpPr/>
      </xdr:nvCxnSpPr>
      <xdr:spPr>
        <a:xfrm>
          <a:off x="379941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940" name="Straight Arrow Connector 939">
          <a:extLst>
            <a:ext uri="{FF2B5EF4-FFF2-40B4-BE49-F238E27FC236}">
              <a16:creationId xmlns:a16="http://schemas.microsoft.com/office/drawing/2014/main" id="{00000000-0008-0000-1200-0000AC030000}"/>
            </a:ext>
          </a:extLst>
        </xdr:cNvPr>
        <xdr:cNvCxnSpPr/>
      </xdr:nvCxnSpPr>
      <xdr:spPr>
        <a:xfrm flipV="1">
          <a:off x="517525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941" name="Straight Arrow Connector 940">
          <a:extLst>
            <a:ext uri="{FF2B5EF4-FFF2-40B4-BE49-F238E27FC236}">
              <a16:creationId xmlns:a16="http://schemas.microsoft.com/office/drawing/2014/main" id="{00000000-0008-0000-1200-0000AD030000}"/>
            </a:ext>
          </a:extLst>
        </xdr:cNvPr>
        <xdr:cNvCxnSpPr/>
      </xdr:nvCxnSpPr>
      <xdr:spPr>
        <a:xfrm>
          <a:off x="5175250" y="51255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942" name="Straight Arrow Connector 941">
          <a:extLst>
            <a:ext uri="{FF2B5EF4-FFF2-40B4-BE49-F238E27FC236}">
              <a16:creationId xmlns:a16="http://schemas.microsoft.com/office/drawing/2014/main" id="{00000000-0008-0000-1200-0000AE030000}"/>
            </a:ext>
          </a:extLst>
        </xdr:cNvPr>
        <xdr:cNvCxnSpPr/>
      </xdr:nvCxnSpPr>
      <xdr:spPr>
        <a:xfrm flipV="1">
          <a:off x="6381750"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943" name="Straight Arrow Connector 942">
          <a:extLst>
            <a:ext uri="{FF2B5EF4-FFF2-40B4-BE49-F238E27FC236}">
              <a16:creationId xmlns:a16="http://schemas.microsoft.com/office/drawing/2014/main" id="{00000000-0008-0000-1200-0000AF030000}"/>
            </a:ext>
          </a:extLst>
        </xdr:cNvPr>
        <xdr:cNvCxnSpPr/>
      </xdr:nvCxnSpPr>
      <xdr:spPr>
        <a:xfrm>
          <a:off x="6413500"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944" name="Straight Arrow Connector 943">
          <a:extLst>
            <a:ext uri="{FF2B5EF4-FFF2-40B4-BE49-F238E27FC236}">
              <a16:creationId xmlns:a16="http://schemas.microsoft.com/office/drawing/2014/main" id="{00000000-0008-0000-1200-0000B0030000}"/>
            </a:ext>
          </a:extLst>
        </xdr:cNvPr>
        <xdr:cNvCxnSpPr/>
      </xdr:nvCxnSpPr>
      <xdr:spPr>
        <a:xfrm flipV="1">
          <a:off x="7609417"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945" name="Straight Arrow Connector 944">
          <a:extLst>
            <a:ext uri="{FF2B5EF4-FFF2-40B4-BE49-F238E27FC236}">
              <a16:creationId xmlns:a16="http://schemas.microsoft.com/office/drawing/2014/main" id="{00000000-0008-0000-1200-0000B1030000}"/>
            </a:ext>
          </a:extLst>
        </xdr:cNvPr>
        <xdr:cNvCxnSpPr/>
      </xdr:nvCxnSpPr>
      <xdr:spPr>
        <a:xfrm>
          <a:off x="7598834"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946" name="Straight Arrow Connector 945">
          <a:extLst>
            <a:ext uri="{FF2B5EF4-FFF2-40B4-BE49-F238E27FC236}">
              <a16:creationId xmlns:a16="http://schemas.microsoft.com/office/drawing/2014/main" id="{00000000-0008-0000-1200-0000B2030000}"/>
            </a:ext>
          </a:extLst>
        </xdr:cNvPr>
        <xdr:cNvCxnSpPr/>
      </xdr:nvCxnSpPr>
      <xdr:spPr>
        <a:xfrm flipV="1">
          <a:off x="8794750" y="46693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947" name="Straight Arrow Connector 946">
          <a:extLst>
            <a:ext uri="{FF2B5EF4-FFF2-40B4-BE49-F238E27FC236}">
              <a16:creationId xmlns:a16="http://schemas.microsoft.com/office/drawing/2014/main" id="{00000000-0008-0000-1200-0000B3030000}"/>
            </a:ext>
          </a:extLst>
        </xdr:cNvPr>
        <xdr:cNvCxnSpPr/>
      </xdr:nvCxnSpPr>
      <xdr:spPr>
        <a:xfrm>
          <a:off x="8784166" y="47646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948" name="Straight Arrow Connector 947">
          <a:extLst>
            <a:ext uri="{FF2B5EF4-FFF2-40B4-BE49-F238E27FC236}">
              <a16:creationId xmlns:a16="http://schemas.microsoft.com/office/drawing/2014/main" id="{00000000-0008-0000-1200-0000B4030000}"/>
            </a:ext>
          </a:extLst>
        </xdr:cNvPr>
        <xdr:cNvCxnSpPr/>
      </xdr:nvCxnSpPr>
      <xdr:spPr>
        <a:xfrm flipV="1">
          <a:off x="879475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949" name="Straight Arrow Connector 948">
          <a:extLst>
            <a:ext uri="{FF2B5EF4-FFF2-40B4-BE49-F238E27FC236}">
              <a16:creationId xmlns:a16="http://schemas.microsoft.com/office/drawing/2014/main" id="{00000000-0008-0000-1200-0000B5030000}"/>
            </a:ext>
          </a:extLst>
        </xdr:cNvPr>
        <xdr:cNvCxnSpPr/>
      </xdr:nvCxnSpPr>
      <xdr:spPr>
        <a:xfrm>
          <a:off x="8805333" y="51625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950" name="Straight Arrow Connector 949">
          <a:extLst>
            <a:ext uri="{FF2B5EF4-FFF2-40B4-BE49-F238E27FC236}">
              <a16:creationId xmlns:a16="http://schemas.microsoft.com/office/drawing/2014/main" id="{00000000-0008-0000-1200-0000B6030000}"/>
            </a:ext>
          </a:extLst>
        </xdr:cNvPr>
        <xdr:cNvCxnSpPr/>
      </xdr:nvCxnSpPr>
      <xdr:spPr>
        <a:xfrm flipV="1">
          <a:off x="10541000"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951" name="Straight Arrow Connector 950">
          <a:extLst>
            <a:ext uri="{FF2B5EF4-FFF2-40B4-BE49-F238E27FC236}">
              <a16:creationId xmlns:a16="http://schemas.microsoft.com/office/drawing/2014/main" id="{00000000-0008-0000-1200-0000B7030000}"/>
            </a:ext>
          </a:extLst>
        </xdr:cNvPr>
        <xdr:cNvCxnSpPr/>
      </xdr:nvCxnSpPr>
      <xdr:spPr>
        <a:xfrm flipV="1">
          <a:off x="10583333"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952" name="Straight Arrow Connector 951">
          <a:extLst>
            <a:ext uri="{FF2B5EF4-FFF2-40B4-BE49-F238E27FC236}">
              <a16:creationId xmlns:a16="http://schemas.microsoft.com/office/drawing/2014/main" id="{00000000-0008-0000-1200-0000B8030000}"/>
            </a:ext>
          </a:extLst>
        </xdr:cNvPr>
        <xdr:cNvCxnSpPr/>
      </xdr:nvCxnSpPr>
      <xdr:spPr>
        <a:xfrm>
          <a:off x="10604500"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953" name="Straight Arrow Connector 952">
          <a:extLst>
            <a:ext uri="{FF2B5EF4-FFF2-40B4-BE49-F238E27FC236}">
              <a16:creationId xmlns:a16="http://schemas.microsoft.com/office/drawing/2014/main" id="{00000000-0008-0000-1200-0000B9030000}"/>
            </a:ext>
          </a:extLst>
        </xdr:cNvPr>
        <xdr:cNvCxnSpPr/>
      </xdr:nvCxnSpPr>
      <xdr:spPr>
        <a:xfrm>
          <a:off x="10519834" y="46206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954" name="Straight Arrow Connector 953">
          <a:extLst>
            <a:ext uri="{FF2B5EF4-FFF2-40B4-BE49-F238E27FC236}">
              <a16:creationId xmlns:a16="http://schemas.microsoft.com/office/drawing/2014/main" id="{00000000-0008-0000-1200-0000BA030000}"/>
            </a:ext>
          </a:extLst>
        </xdr:cNvPr>
        <xdr:cNvCxnSpPr/>
      </xdr:nvCxnSpPr>
      <xdr:spPr>
        <a:xfrm flipV="1">
          <a:off x="10541000" y="47677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955" name="Straight Arrow Connector 954">
          <a:extLst>
            <a:ext uri="{FF2B5EF4-FFF2-40B4-BE49-F238E27FC236}">
              <a16:creationId xmlns:a16="http://schemas.microsoft.com/office/drawing/2014/main" id="{00000000-0008-0000-1200-0000BB030000}"/>
            </a:ext>
          </a:extLst>
        </xdr:cNvPr>
        <xdr:cNvCxnSpPr/>
      </xdr:nvCxnSpPr>
      <xdr:spPr>
        <a:xfrm>
          <a:off x="10551583"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956" name="Straight Arrow Connector 955">
          <a:extLst>
            <a:ext uri="{FF2B5EF4-FFF2-40B4-BE49-F238E27FC236}">
              <a16:creationId xmlns:a16="http://schemas.microsoft.com/office/drawing/2014/main" id="{00000000-0008-0000-1200-0000BC030000}"/>
            </a:ext>
          </a:extLst>
        </xdr:cNvPr>
        <xdr:cNvCxnSpPr/>
      </xdr:nvCxnSpPr>
      <xdr:spPr>
        <a:xfrm>
          <a:off x="10530417" y="48027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957" name="Straight Arrow Connector 956">
          <a:extLst>
            <a:ext uri="{FF2B5EF4-FFF2-40B4-BE49-F238E27FC236}">
              <a16:creationId xmlns:a16="http://schemas.microsoft.com/office/drawing/2014/main" id="{00000000-0008-0000-1200-0000BD030000}"/>
            </a:ext>
          </a:extLst>
        </xdr:cNvPr>
        <xdr:cNvCxnSpPr/>
      </xdr:nvCxnSpPr>
      <xdr:spPr>
        <a:xfrm>
          <a:off x="10541000" y="48037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958" name="Straight Arrow Connector 957">
          <a:extLst>
            <a:ext uri="{FF2B5EF4-FFF2-40B4-BE49-F238E27FC236}">
              <a16:creationId xmlns:a16="http://schemas.microsoft.com/office/drawing/2014/main" id="{00000000-0008-0000-1200-0000BE030000}"/>
            </a:ext>
          </a:extLst>
        </xdr:cNvPr>
        <xdr:cNvCxnSpPr/>
      </xdr:nvCxnSpPr>
      <xdr:spPr>
        <a:xfrm flipV="1">
          <a:off x="6392333"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959" name="Straight Arrow Connector 958">
          <a:extLst>
            <a:ext uri="{FF2B5EF4-FFF2-40B4-BE49-F238E27FC236}">
              <a16:creationId xmlns:a16="http://schemas.microsoft.com/office/drawing/2014/main" id="{00000000-0008-0000-1200-0000BF030000}"/>
            </a:ext>
          </a:extLst>
        </xdr:cNvPr>
        <xdr:cNvCxnSpPr/>
      </xdr:nvCxnSpPr>
      <xdr:spPr>
        <a:xfrm>
          <a:off x="6413500"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960" name="Straight Arrow Connector 959">
          <a:extLst>
            <a:ext uri="{FF2B5EF4-FFF2-40B4-BE49-F238E27FC236}">
              <a16:creationId xmlns:a16="http://schemas.microsoft.com/office/drawing/2014/main" id="{00000000-0008-0000-1200-0000C0030000}"/>
            </a:ext>
          </a:extLst>
        </xdr:cNvPr>
        <xdr:cNvCxnSpPr/>
      </xdr:nvCxnSpPr>
      <xdr:spPr>
        <a:xfrm flipV="1">
          <a:off x="7556500" y="58451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961" name="Straight Arrow Connector 960">
          <a:extLst>
            <a:ext uri="{FF2B5EF4-FFF2-40B4-BE49-F238E27FC236}">
              <a16:creationId xmlns:a16="http://schemas.microsoft.com/office/drawing/2014/main" id="{00000000-0008-0000-1200-0000C1030000}"/>
            </a:ext>
          </a:extLst>
        </xdr:cNvPr>
        <xdr:cNvCxnSpPr/>
      </xdr:nvCxnSpPr>
      <xdr:spPr>
        <a:xfrm flipV="1">
          <a:off x="10530417"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962" name="Straight Arrow Connector 961">
          <a:extLst>
            <a:ext uri="{FF2B5EF4-FFF2-40B4-BE49-F238E27FC236}">
              <a16:creationId xmlns:a16="http://schemas.microsoft.com/office/drawing/2014/main" id="{00000000-0008-0000-1200-0000C2030000}"/>
            </a:ext>
          </a:extLst>
        </xdr:cNvPr>
        <xdr:cNvCxnSpPr/>
      </xdr:nvCxnSpPr>
      <xdr:spPr>
        <a:xfrm>
          <a:off x="10572750"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963" name="Straight Arrow Connector 962">
          <a:extLst>
            <a:ext uri="{FF2B5EF4-FFF2-40B4-BE49-F238E27FC236}">
              <a16:creationId xmlns:a16="http://schemas.microsoft.com/office/drawing/2014/main" id="{00000000-0008-0000-1200-0000C3030000}"/>
            </a:ext>
          </a:extLst>
        </xdr:cNvPr>
        <xdr:cNvCxnSpPr/>
      </xdr:nvCxnSpPr>
      <xdr:spPr>
        <a:xfrm>
          <a:off x="10551583"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964" name="Straight Arrow Connector 963">
          <a:extLst>
            <a:ext uri="{FF2B5EF4-FFF2-40B4-BE49-F238E27FC236}">
              <a16:creationId xmlns:a16="http://schemas.microsoft.com/office/drawing/2014/main" id="{00000000-0008-0000-1200-0000C4030000}"/>
            </a:ext>
          </a:extLst>
        </xdr:cNvPr>
        <xdr:cNvCxnSpPr/>
      </xdr:nvCxnSpPr>
      <xdr:spPr>
        <a:xfrm>
          <a:off x="10583333" y="50704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965" name="Straight Arrow Connector 964">
          <a:extLst>
            <a:ext uri="{FF2B5EF4-FFF2-40B4-BE49-F238E27FC236}">
              <a16:creationId xmlns:a16="http://schemas.microsoft.com/office/drawing/2014/main" id="{00000000-0008-0000-1200-0000C5030000}"/>
            </a:ext>
          </a:extLst>
        </xdr:cNvPr>
        <xdr:cNvCxnSpPr/>
      </xdr:nvCxnSpPr>
      <xdr:spPr>
        <a:xfrm>
          <a:off x="10562166" y="53340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966" name="Straight Arrow Connector 965">
          <a:extLst>
            <a:ext uri="{FF2B5EF4-FFF2-40B4-BE49-F238E27FC236}">
              <a16:creationId xmlns:a16="http://schemas.microsoft.com/office/drawing/2014/main" id="{00000000-0008-0000-1200-0000C6030000}"/>
            </a:ext>
          </a:extLst>
        </xdr:cNvPr>
        <xdr:cNvCxnSpPr/>
      </xdr:nvCxnSpPr>
      <xdr:spPr>
        <a:xfrm>
          <a:off x="10615083"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967" name="Straight Arrow Connector 966">
          <a:extLst>
            <a:ext uri="{FF2B5EF4-FFF2-40B4-BE49-F238E27FC236}">
              <a16:creationId xmlns:a16="http://schemas.microsoft.com/office/drawing/2014/main" id="{00000000-0008-0000-1200-0000C7030000}"/>
            </a:ext>
          </a:extLst>
        </xdr:cNvPr>
        <xdr:cNvCxnSpPr/>
      </xdr:nvCxnSpPr>
      <xdr:spPr>
        <a:xfrm>
          <a:off x="10572750"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968" name="Straight Arrow Connector 967">
          <a:extLst>
            <a:ext uri="{FF2B5EF4-FFF2-40B4-BE49-F238E27FC236}">
              <a16:creationId xmlns:a16="http://schemas.microsoft.com/office/drawing/2014/main" id="{00000000-0008-0000-1200-0000C8030000}"/>
            </a:ext>
          </a:extLst>
        </xdr:cNvPr>
        <xdr:cNvCxnSpPr/>
      </xdr:nvCxnSpPr>
      <xdr:spPr>
        <a:xfrm flipV="1">
          <a:off x="10562166"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969" name="Straight Arrow Connector 968">
          <a:extLst>
            <a:ext uri="{FF2B5EF4-FFF2-40B4-BE49-F238E27FC236}">
              <a16:creationId xmlns:a16="http://schemas.microsoft.com/office/drawing/2014/main" id="{00000000-0008-0000-1200-0000C9030000}"/>
            </a:ext>
          </a:extLst>
        </xdr:cNvPr>
        <xdr:cNvCxnSpPr/>
      </xdr:nvCxnSpPr>
      <xdr:spPr>
        <a:xfrm flipV="1">
          <a:off x="10604500"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970" name="Straight Arrow Connector 969">
          <a:extLst>
            <a:ext uri="{FF2B5EF4-FFF2-40B4-BE49-F238E27FC236}">
              <a16:creationId xmlns:a16="http://schemas.microsoft.com/office/drawing/2014/main" id="{00000000-0008-0000-1200-0000CA030000}"/>
            </a:ext>
          </a:extLst>
        </xdr:cNvPr>
        <xdr:cNvCxnSpPr/>
      </xdr:nvCxnSpPr>
      <xdr:spPr>
        <a:xfrm>
          <a:off x="10593916"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971" name="Straight Arrow Connector 970">
          <a:extLst>
            <a:ext uri="{FF2B5EF4-FFF2-40B4-BE49-F238E27FC236}">
              <a16:creationId xmlns:a16="http://schemas.microsoft.com/office/drawing/2014/main" id="{00000000-0008-0000-1200-0000CB030000}"/>
            </a:ext>
          </a:extLst>
        </xdr:cNvPr>
        <xdr:cNvCxnSpPr/>
      </xdr:nvCxnSpPr>
      <xdr:spPr>
        <a:xfrm>
          <a:off x="10572750" y="58980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972" name="Straight Arrow Connector 971">
          <a:extLst>
            <a:ext uri="{FF2B5EF4-FFF2-40B4-BE49-F238E27FC236}">
              <a16:creationId xmlns:a16="http://schemas.microsoft.com/office/drawing/2014/main" id="{00000000-0008-0000-1200-0000CC030000}"/>
            </a:ext>
          </a:extLst>
        </xdr:cNvPr>
        <xdr:cNvCxnSpPr/>
      </xdr:nvCxnSpPr>
      <xdr:spPr>
        <a:xfrm flipV="1">
          <a:off x="10583333"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973" name="Straight Arrow Connector 972">
          <a:extLst>
            <a:ext uri="{FF2B5EF4-FFF2-40B4-BE49-F238E27FC236}">
              <a16:creationId xmlns:a16="http://schemas.microsoft.com/office/drawing/2014/main" id="{00000000-0008-0000-1200-0000CD030000}"/>
            </a:ext>
          </a:extLst>
        </xdr:cNvPr>
        <xdr:cNvCxnSpPr/>
      </xdr:nvCxnSpPr>
      <xdr:spPr>
        <a:xfrm>
          <a:off x="7598834"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974" name="Straight Arrow Connector 973">
          <a:extLst>
            <a:ext uri="{FF2B5EF4-FFF2-40B4-BE49-F238E27FC236}">
              <a16:creationId xmlns:a16="http://schemas.microsoft.com/office/drawing/2014/main" id="{00000000-0008-0000-1200-0000CE030000}"/>
            </a:ext>
          </a:extLst>
        </xdr:cNvPr>
        <xdr:cNvCxnSpPr/>
      </xdr:nvCxnSpPr>
      <xdr:spPr>
        <a:xfrm flipV="1">
          <a:off x="8794750" y="57552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975" name="Straight Arrow Connector 974">
          <a:extLst>
            <a:ext uri="{FF2B5EF4-FFF2-40B4-BE49-F238E27FC236}">
              <a16:creationId xmlns:a16="http://schemas.microsoft.com/office/drawing/2014/main" id="{00000000-0008-0000-1200-0000CF030000}"/>
            </a:ext>
          </a:extLst>
        </xdr:cNvPr>
        <xdr:cNvCxnSpPr/>
      </xdr:nvCxnSpPr>
      <xdr:spPr>
        <a:xfrm>
          <a:off x="8784166" y="58504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976" name="Straight Arrow Connector 975">
          <a:extLst>
            <a:ext uri="{FF2B5EF4-FFF2-40B4-BE49-F238E27FC236}">
              <a16:creationId xmlns:a16="http://schemas.microsoft.com/office/drawing/2014/main" id="{00000000-0008-0000-1200-0000D0030000}"/>
            </a:ext>
          </a:extLst>
        </xdr:cNvPr>
        <xdr:cNvCxnSpPr/>
      </xdr:nvCxnSpPr>
      <xdr:spPr>
        <a:xfrm flipV="1">
          <a:off x="879475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977" name="Straight Arrow Connector 976">
          <a:extLst>
            <a:ext uri="{FF2B5EF4-FFF2-40B4-BE49-F238E27FC236}">
              <a16:creationId xmlns:a16="http://schemas.microsoft.com/office/drawing/2014/main" id="{00000000-0008-0000-1200-0000D1030000}"/>
            </a:ext>
          </a:extLst>
        </xdr:cNvPr>
        <xdr:cNvCxnSpPr/>
      </xdr:nvCxnSpPr>
      <xdr:spPr>
        <a:xfrm>
          <a:off x="8805333" y="62484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978" name="Straight Arrow Connector 977">
          <a:extLst>
            <a:ext uri="{FF2B5EF4-FFF2-40B4-BE49-F238E27FC236}">
              <a16:creationId xmlns:a16="http://schemas.microsoft.com/office/drawing/2014/main" id="{00000000-0008-0000-1200-0000D2030000}"/>
            </a:ext>
          </a:extLst>
        </xdr:cNvPr>
        <xdr:cNvCxnSpPr/>
      </xdr:nvCxnSpPr>
      <xdr:spPr>
        <a:xfrm>
          <a:off x="10593916"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979" name="Straight Arrow Connector 978">
          <a:extLst>
            <a:ext uri="{FF2B5EF4-FFF2-40B4-BE49-F238E27FC236}">
              <a16:creationId xmlns:a16="http://schemas.microsoft.com/office/drawing/2014/main" id="{00000000-0008-0000-1200-0000D3030000}"/>
            </a:ext>
          </a:extLst>
        </xdr:cNvPr>
        <xdr:cNvCxnSpPr/>
      </xdr:nvCxnSpPr>
      <xdr:spPr>
        <a:xfrm flipV="1">
          <a:off x="10541000" y="58536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980" name="Straight Arrow Connector 979">
          <a:extLst>
            <a:ext uri="{FF2B5EF4-FFF2-40B4-BE49-F238E27FC236}">
              <a16:creationId xmlns:a16="http://schemas.microsoft.com/office/drawing/2014/main" id="{00000000-0008-0000-1200-0000D4030000}"/>
            </a:ext>
          </a:extLst>
        </xdr:cNvPr>
        <xdr:cNvCxnSpPr/>
      </xdr:nvCxnSpPr>
      <xdr:spPr>
        <a:xfrm>
          <a:off x="10530417"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981" name="Straight Arrow Connector 980">
          <a:extLst>
            <a:ext uri="{FF2B5EF4-FFF2-40B4-BE49-F238E27FC236}">
              <a16:creationId xmlns:a16="http://schemas.microsoft.com/office/drawing/2014/main" id="{00000000-0008-0000-1200-0000D5030000}"/>
            </a:ext>
          </a:extLst>
        </xdr:cNvPr>
        <xdr:cNvCxnSpPr/>
      </xdr:nvCxnSpPr>
      <xdr:spPr>
        <a:xfrm>
          <a:off x="10530417" y="58864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982" name="Straight Arrow Connector 981">
          <a:extLst>
            <a:ext uri="{FF2B5EF4-FFF2-40B4-BE49-F238E27FC236}">
              <a16:creationId xmlns:a16="http://schemas.microsoft.com/office/drawing/2014/main" id="{00000000-0008-0000-1200-0000D6030000}"/>
            </a:ext>
          </a:extLst>
        </xdr:cNvPr>
        <xdr:cNvCxnSpPr/>
      </xdr:nvCxnSpPr>
      <xdr:spPr>
        <a:xfrm flipV="1">
          <a:off x="10530417"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983" name="Straight Arrow Connector 982">
          <a:extLst>
            <a:ext uri="{FF2B5EF4-FFF2-40B4-BE49-F238E27FC236}">
              <a16:creationId xmlns:a16="http://schemas.microsoft.com/office/drawing/2014/main" id="{00000000-0008-0000-1200-0000D7030000}"/>
            </a:ext>
          </a:extLst>
        </xdr:cNvPr>
        <xdr:cNvCxnSpPr/>
      </xdr:nvCxnSpPr>
      <xdr:spPr>
        <a:xfrm>
          <a:off x="10572750"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984" name="Straight Arrow Connector 983">
          <a:extLst>
            <a:ext uri="{FF2B5EF4-FFF2-40B4-BE49-F238E27FC236}">
              <a16:creationId xmlns:a16="http://schemas.microsoft.com/office/drawing/2014/main" id="{00000000-0008-0000-1200-0000D8030000}"/>
            </a:ext>
          </a:extLst>
        </xdr:cNvPr>
        <xdr:cNvCxnSpPr/>
      </xdr:nvCxnSpPr>
      <xdr:spPr>
        <a:xfrm>
          <a:off x="10551583"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985" name="Straight Arrow Connector 984">
          <a:extLst>
            <a:ext uri="{FF2B5EF4-FFF2-40B4-BE49-F238E27FC236}">
              <a16:creationId xmlns:a16="http://schemas.microsoft.com/office/drawing/2014/main" id="{00000000-0008-0000-1200-0000D9030000}"/>
            </a:ext>
          </a:extLst>
        </xdr:cNvPr>
        <xdr:cNvCxnSpPr/>
      </xdr:nvCxnSpPr>
      <xdr:spPr>
        <a:xfrm>
          <a:off x="10583333" y="61563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986" name="Straight Arrow Connector 985">
          <a:extLst>
            <a:ext uri="{FF2B5EF4-FFF2-40B4-BE49-F238E27FC236}">
              <a16:creationId xmlns:a16="http://schemas.microsoft.com/office/drawing/2014/main" id="{00000000-0008-0000-1200-0000DA030000}"/>
            </a:ext>
          </a:extLst>
        </xdr:cNvPr>
        <xdr:cNvCxnSpPr/>
      </xdr:nvCxnSpPr>
      <xdr:spPr>
        <a:xfrm>
          <a:off x="10562166" y="64198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987" name="Straight Arrow Connector 986">
          <a:extLst>
            <a:ext uri="{FF2B5EF4-FFF2-40B4-BE49-F238E27FC236}">
              <a16:creationId xmlns:a16="http://schemas.microsoft.com/office/drawing/2014/main" id="{00000000-0008-0000-1200-0000DB030000}"/>
            </a:ext>
          </a:extLst>
        </xdr:cNvPr>
        <xdr:cNvCxnSpPr/>
      </xdr:nvCxnSpPr>
      <xdr:spPr>
        <a:xfrm>
          <a:off x="10615083"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988" name="Straight Arrow Connector 987">
          <a:extLst>
            <a:ext uri="{FF2B5EF4-FFF2-40B4-BE49-F238E27FC236}">
              <a16:creationId xmlns:a16="http://schemas.microsoft.com/office/drawing/2014/main" id="{00000000-0008-0000-1200-0000DC030000}"/>
            </a:ext>
          </a:extLst>
        </xdr:cNvPr>
        <xdr:cNvCxnSpPr/>
      </xdr:nvCxnSpPr>
      <xdr:spPr>
        <a:xfrm>
          <a:off x="10572750"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989" name="Straight Arrow Connector 988">
          <a:extLst>
            <a:ext uri="{FF2B5EF4-FFF2-40B4-BE49-F238E27FC236}">
              <a16:creationId xmlns:a16="http://schemas.microsoft.com/office/drawing/2014/main" id="{00000000-0008-0000-1200-0000DD030000}"/>
            </a:ext>
          </a:extLst>
        </xdr:cNvPr>
        <xdr:cNvCxnSpPr/>
      </xdr:nvCxnSpPr>
      <xdr:spPr>
        <a:xfrm flipV="1">
          <a:off x="10583333"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990" name="Straight Arrow Connector 989">
          <a:extLst>
            <a:ext uri="{FF2B5EF4-FFF2-40B4-BE49-F238E27FC236}">
              <a16:creationId xmlns:a16="http://schemas.microsoft.com/office/drawing/2014/main" id="{00000000-0008-0000-1200-0000DE030000}"/>
            </a:ext>
          </a:extLst>
        </xdr:cNvPr>
        <xdr:cNvCxnSpPr/>
      </xdr:nvCxnSpPr>
      <xdr:spPr>
        <a:xfrm>
          <a:off x="5080000" y="72294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991" name="Straight Arrow Connector 990">
          <a:extLst>
            <a:ext uri="{FF2B5EF4-FFF2-40B4-BE49-F238E27FC236}">
              <a16:creationId xmlns:a16="http://schemas.microsoft.com/office/drawing/2014/main" id="{00000000-0008-0000-1200-0000DF030000}"/>
            </a:ext>
          </a:extLst>
        </xdr:cNvPr>
        <xdr:cNvCxnSpPr/>
      </xdr:nvCxnSpPr>
      <xdr:spPr>
        <a:xfrm flipV="1">
          <a:off x="6381750"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992" name="Straight Arrow Connector 991">
          <a:extLst>
            <a:ext uri="{FF2B5EF4-FFF2-40B4-BE49-F238E27FC236}">
              <a16:creationId xmlns:a16="http://schemas.microsoft.com/office/drawing/2014/main" id="{00000000-0008-0000-1200-0000E0030000}"/>
            </a:ext>
          </a:extLst>
        </xdr:cNvPr>
        <xdr:cNvCxnSpPr/>
      </xdr:nvCxnSpPr>
      <xdr:spPr>
        <a:xfrm>
          <a:off x="6413500"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993" name="Straight Arrow Connector 992">
          <a:extLst>
            <a:ext uri="{FF2B5EF4-FFF2-40B4-BE49-F238E27FC236}">
              <a16:creationId xmlns:a16="http://schemas.microsoft.com/office/drawing/2014/main" id="{00000000-0008-0000-1200-0000E1030000}"/>
            </a:ext>
          </a:extLst>
        </xdr:cNvPr>
        <xdr:cNvCxnSpPr/>
      </xdr:nvCxnSpPr>
      <xdr:spPr>
        <a:xfrm flipV="1">
          <a:off x="7609417"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994" name="Straight Arrow Connector 993">
          <a:extLst>
            <a:ext uri="{FF2B5EF4-FFF2-40B4-BE49-F238E27FC236}">
              <a16:creationId xmlns:a16="http://schemas.microsoft.com/office/drawing/2014/main" id="{00000000-0008-0000-1200-0000E2030000}"/>
            </a:ext>
          </a:extLst>
        </xdr:cNvPr>
        <xdr:cNvCxnSpPr/>
      </xdr:nvCxnSpPr>
      <xdr:spPr>
        <a:xfrm>
          <a:off x="7598834"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995" name="Straight Arrow Connector 994">
          <a:extLst>
            <a:ext uri="{FF2B5EF4-FFF2-40B4-BE49-F238E27FC236}">
              <a16:creationId xmlns:a16="http://schemas.microsoft.com/office/drawing/2014/main" id="{00000000-0008-0000-1200-0000E3030000}"/>
            </a:ext>
          </a:extLst>
        </xdr:cNvPr>
        <xdr:cNvCxnSpPr/>
      </xdr:nvCxnSpPr>
      <xdr:spPr>
        <a:xfrm flipV="1">
          <a:off x="8794750" y="68410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996" name="Straight Arrow Connector 995">
          <a:extLst>
            <a:ext uri="{FF2B5EF4-FFF2-40B4-BE49-F238E27FC236}">
              <a16:creationId xmlns:a16="http://schemas.microsoft.com/office/drawing/2014/main" id="{00000000-0008-0000-1200-0000E4030000}"/>
            </a:ext>
          </a:extLst>
        </xdr:cNvPr>
        <xdr:cNvCxnSpPr/>
      </xdr:nvCxnSpPr>
      <xdr:spPr>
        <a:xfrm>
          <a:off x="8784166" y="69363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997" name="Straight Arrow Connector 996">
          <a:extLst>
            <a:ext uri="{FF2B5EF4-FFF2-40B4-BE49-F238E27FC236}">
              <a16:creationId xmlns:a16="http://schemas.microsoft.com/office/drawing/2014/main" id="{00000000-0008-0000-1200-0000E5030000}"/>
            </a:ext>
          </a:extLst>
        </xdr:cNvPr>
        <xdr:cNvCxnSpPr/>
      </xdr:nvCxnSpPr>
      <xdr:spPr>
        <a:xfrm flipV="1">
          <a:off x="879475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998" name="Straight Arrow Connector 997">
          <a:extLst>
            <a:ext uri="{FF2B5EF4-FFF2-40B4-BE49-F238E27FC236}">
              <a16:creationId xmlns:a16="http://schemas.microsoft.com/office/drawing/2014/main" id="{00000000-0008-0000-1200-0000E6030000}"/>
            </a:ext>
          </a:extLst>
        </xdr:cNvPr>
        <xdr:cNvCxnSpPr/>
      </xdr:nvCxnSpPr>
      <xdr:spPr>
        <a:xfrm>
          <a:off x="8805333" y="73342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999" name="Straight Arrow Connector 998">
          <a:extLst>
            <a:ext uri="{FF2B5EF4-FFF2-40B4-BE49-F238E27FC236}">
              <a16:creationId xmlns:a16="http://schemas.microsoft.com/office/drawing/2014/main" id="{00000000-0008-0000-1200-0000E7030000}"/>
            </a:ext>
          </a:extLst>
        </xdr:cNvPr>
        <xdr:cNvCxnSpPr/>
      </xdr:nvCxnSpPr>
      <xdr:spPr>
        <a:xfrm flipV="1">
          <a:off x="10541000"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1000" name="Straight Arrow Connector 999">
          <a:extLst>
            <a:ext uri="{FF2B5EF4-FFF2-40B4-BE49-F238E27FC236}">
              <a16:creationId xmlns:a16="http://schemas.microsoft.com/office/drawing/2014/main" id="{00000000-0008-0000-1200-0000E8030000}"/>
            </a:ext>
          </a:extLst>
        </xdr:cNvPr>
        <xdr:cNvCxnSpPr/>
      </xdr:nvCxnSpPr>
      <xdr:spPr>
        <a:xfrm flipV="1">
          <a:off x="10583333"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1001" name="Straight Arrow Connector 1000">
          <a:extLst>
            <a:ext uri="{FF2B5EF4-FFF2-40B4-BE49-F238E27FC236}">
              <a16:creationId xmlns:a16="http://schemas.microsoft.com/office/drawing/2014/main" id="{00000000-0008-0000-1200-0000E9030000}"/>
            </a:ext>
          </a:extLst>
        </xdr:cNvPr>
        <xdr:cNvCxnSpPr/>
      </xdr:nvCxnSpPr>
      <xdr:spPr>
        <a:xfrm>
          <a:off x="10604500"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1002" name="Straight Arrow Connector 1001">
          <a:extLst>
            <a:ext uri="{FF2B5EF4-FFF2-40B4-BE49-F238E27FC236}">
              <a16:creationId xmlns:a16="http://schemas.microsoft.com/office/drawing/2014/main" id="{00000000-0008-0000-1200-0000EA030000}"/>
            </a:ext>
          </a:extLst>
        </xdr:cNvPr>
        <xdr:cNvCxnSpPr/>
      </xdr:nvCxnSpPr>
      <xdr:spPr>
        <a:xfrm>
          <a:off x="10519834" y="67923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1003" name="Straight Arrow Connector 1002">
          <a:extLst>
            <a:ext uri="{FF2B5EF4-FFF2-40B4-BE49-F238E27FC236}">
              <a16:creationId xmlns:a16="http://schemas.microsoft.com/office/drawing/2014/main" id="{00000000-0008-0000-1200-0000EB030000}"/>
            </a:ext>
          </a:extLst>
        </xdr:cNvPr>
        <xdr:cNvCxnSpPr/>
      </xdr:nvCxnSpPr>
      <xdr:spPr>
        <a:xfrm flipV="1">
          <a:off x="10541000" y="69394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1004" name="Straight Arrow Connector 1003">
          <a:extLst>
            <a:ext uri="{FF2B5EF4-FFF2-40B4-BE49-F238E27FC236}">
              <a16:creationId xmlns:a16="http://schemas.microsoft.com/office/drawing/2014/main" id="{00000000-0008-0000-1200-0000EC030000}"/>
            </a:ext>
          </a:extLst>
        </xdr:cNvPr>
        <xdr:cNvCxnSpPr/>
      </xdr:nvCxnSpPr>
      <xdr:spPr>
        <a:xfrm>
          <a:off x="10551583"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1005" name="Straight Arrow Connector 1004">
          <a:extLst>
            <a:ext uri="{FF2B5EF4-FFF2-40B4-BE49-F238E27FC236}">
              <a16:creationId xmlns:a16="http://schemas.microsoft.com/office/drawing/2014/main" id="{00000000-0008-0000-1200-0000ED030000}"/>
            </a:ext>
          </a:extLst>
        </xdr:cNvPr>
        <xdr:cNvCxnSpPr/>
      </xdr:nvCxnSpPr>
      <xdr:spPr>
        <a:xfrm>
          <a:off x="10530417" y="69744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1006" name="Straight Arrow Connector 1005">
          <a:extLst>
            <a:ext uri="{FF2B5EF4-FFF2-40B4-BE49-F238E27FC236}">
              <a16:creationId xmlns:a16="http://schemas.microsoft.com/office/drawing/2014/main" id="{00000000-0008-0000-1200-0000EE030000}"/>
            </a:ext>
          </a:extLst>
        </xdr:cNvPr>
        <xdr:cNvCxnSpPr/>
      </xdr:nvCxnSpPr>
      <xdr:spPr>
        <a:xfrm>
          <a:off x="10541000" y="69754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1007" name="Straight Arrow Connector 1006">
          <a:extLst>
            <a:ext uri="{FF2B5EF4-FFF2-40B4-BE49-F238E27FC236}">
              <a16:creationId xmlns:a16="http://schemas.microsoft.com/office/drawing/2014/main" id="{00000000-0008-0000-1200-0000EF030000}"/>
            </a:ext>
          </a:extLst>
        </xdr:cNvPr>
        <xdr:cNvCxnSpPr/>
      </xdr:nvCxnSpPr>
      <xdr:spPr>
        <a:xfrm flipV="1">
          <a:off x="6392333"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1008" name="Straight Arrow Connector 1007">
          <a:extLst>
            <a:ext uri="{FF2B5EF4-FFF2-40B4-BE49-F238E27FC236}">
              <a16:creationId xmlns:a16="http://schemas.microsoft.com/office/drawing/2014/main" id="{00000000-0008-0000-1200-0000F0030000}"/>
            </a:ext>
          </a:extLst>
        </xdr:cNvPr>
        <xdr:cNvCxnSpPr/>
      </xdr:nvCxnSpPr>
      <xdr:spPr>
        <a:xfrm>
          <a:off x="6413500"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1009" name="Straight Arrow Connector 1008">
          <a:extLst>
            <a:ext uri="{FF2B5EF4-FFF2-40B4-BE49-F238E27FC236}">
              <a16:creationId xmlns:a16="http://schemas.microsoft.com/office/drawing/2014/main" id="{00000000-0008-0000-1200-0000F1030000}"/>
            </a:ext>
          </a:extLst>
        </xdr:cNvPr>
        <xdr:cNvCxnSpPr/>
      </xdr:nvCxnSpPr>
      <xdr:spPr>
        <a:xfrm flipV="1">
          <a:off x="7556500" y="80168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1010" name="Straight Arrow Connector 1009">
          <a:extLst>
            <a:ext uri="{FF2B5EF4-FFF2-40B4-BE49-F238E27FC236}">
              <a16:creationId xmlns:a16="http://schemas.microsoft.com/office/drawing/2014/main" id="{00000000-0008-0000-1200-0000F2030000}"/>
            </a:ext>
          </a:extLst>
        </xdr:cNvPr>
        <xdr:cNvCxnSpPr/>
      </xdr:nvCxnSpPr>
      <xdr:spPr>
        <a:xfrm flipV="1">
          <a:off x="10530417"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1011" name="Straight Arrow Connector 1010">
          <a:extLst>
            <a:ext uri="{FF2B5EF4-FFF2-40B4-BE49-F238E27FC236}">
              <a16:creationId xmlns:a16="http://schemas.microsoft.com/office/drawing/2014/main" id="{00000000-0008-0000-1200-0000F3030000}"/>
            </a:ext>
          </a:extLst>
        </xdr:cNvPr>
        <xdr:cNvCxnSpPr/>
      </xdr:nvCxnSpPr>
      <xdr:spPr>
        <a:xfrm>
          <a:off x="10572750"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1012" name="Straight Arrow Connector 1011">
          <a:extLst>
            <a:ext uri="{FF2B5EF4-FFF2-40B4-BE49-F238E27FC236}">
              <a16:creationId xmlns:a16="http://schemas.microsoft.com/office/drawing/2014/main" id="{00000000-0008-0000-1200-0000F4030000}"/>
            </a:ext>
          </a:extLst>
        </xdr:cNvPr>
        <xdr:cNvCxnSpPr/>
      </xdr:nvCxnSpPr>
      <xdr:spPr>
        <a:xfrm>
          <a:off x="10551583"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1013" name="Straight Arrow Connector 1012">
          <a:extLst>
            <a:ext uri="{FF2B5EF4-FFF2-40B4-BE49-F238E27FC236}">
              <a16:creationId xmlns:a16="http://schemas.microsoft.com/office/drawing/2014/main" id="{00000000-0008-0000-1200-0000F5030000}"/>
            </a:ext>
          </a:extLst>
        </xdr:cNvPr>
        <xdr:cNvCxnSpPr/>
      </xdr:nvCxnSpPr>
      <xdr:spPr>
        <a:xfrm>
          <a:off x="10583333" y="72421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1014" name="Straight Arrow Connector 1013">
          <a:extLst>
            <a:ext uri="{FF2B5EF4-FFF2-40B4-BE49-F238E27FC236}">
              <a16:creationId xmlns:a16="http://schemas.microsoft.com/office/drawing/2014/main" id="{00000000-0008-0000-1200-0000F6030000}"/>
            </a:ext>
          </a:extLst>
        </xdr:cNvPr>
        <xdr:cNvCxnSpPr/>
      </xdr:nvCxnSpPr>
      <xdr:spPr>
        <a:xfrm>
          <a:off x="10562166" y="75057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1015" name="Straight Arrow Connector 1014">
          <a:extLst>
            <a:ext uri="{FF2B5EF4-FFF2-40B4-BE49-F238E27FC236}">
              <a16:creationId xmlns:a16="http://schemas.microsoft.com/office/drawing/2014/main" id="{00000000-0008-0000-1200-0000F7030000}"/>
            </a:ext>
          </a:extLst>
        </xdr:cNvPr>
        <xdr:cNvCxnSpPr/>
      </xdr:nvCxnSpPr>
      <xdr:spPr>
        <a:xfrm>
          <a:off x="10615083"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1016" name="Straight Arrow Connector 1015">
          <a:extLst>
            <a:ext uri="{FF2B5EF4-FFF2-40B4-BE49-F238E27FC236}">
              <a16:creationId xmlns:a16="http://schemas.microsoft.com/office/drawing/2014/main" id="{00000000-0008-0000-1200-0000F8030000}"/>
            </a:ext>
          </a:extLst>
        </xdr:cNvPr>
        <xdr:cNvCxnSpPr/>
      </xdr:nvCxnSpPr>
      <xdr:spPr>
        <a:xfrm>
          <a:off x="10572750"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1017" name="Straight Arrow Connector 1016">
          <a:extLst>
            <a:ext uri="{FF2B5EF4-FFF2-40B4-BE49-F238E27FC236}">
              <a16:creationId xmlns:a16="http://schemas.microsoft.com/office/drawing/2014/main" id="{00000000-0008-0000-1200-0000F9030000}"/>
            </a:ext>
          </a:extLst>
        </xdr:cNvPr>
        <xdr:cNvCxnSpPr/>
      </xdr:nvCxnSpPr>
      <xdr:spPr>
        <a:xfrm flipV="1">
          <a:off x="10562166"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1018" name="Straight Arrow Connector 1017">
          <a:extLst>
            <a:ext uri="{FF2B5EF4-FFF2-40B4-BE49-F238E27FC236}">
              <a16:creationId xmlns:a16="http://schemas.microsoft.com/office/drawing/2014/main" id="{00000000-0008-0000-1200-0000FA030000}"/>
            </a:ext>
          </a:extLst>
        </xdr:cNvPr>
        <xdr:cNvCxnSpPr/>
      </xdr:nvCxnSpPr>
      <xdr:spPr>
        <a:xfrm flipV="1">
          <a:off x="10604500"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1019" name="Straight Arrow Connector 1018">
          <a:extLst>
            <a:ext uri="{FF2B5EF4-FFF2-40B4-BE49-F238E27FC236}">
              <a16:creationId xmlns:a16="http://schemas.microsoft.com/office/drawing/2014/main" id="{00000000-0008-0000-1200-0000FB030000}"/>
            </a:ext>
          </a:extLst>
        </xdr:cNvPr>
        <xdr:cNvCxnSpPr/>
      </xdr:nvCxnSpPr>
      <xdr:spPr>
        <a:xfrm>
          <a:off x="10593916"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1020" name="Straight Arrow Connector 1019">
          <a:extLst>
            <a:ext uri="{FF2B5EF4-FFF2-40B4-BE49-F238E27FC236}">
              <a16:creationId xmlns:a16="http://schemas.microsoft.com/office/drawing/2014/main" id="{00000000-0008-0000-1200-0000FC030000}"/>
            </a:ext>
          </a:extLst>
        </xdr:cNvPr>
        <xdr:cNvCxnSpPr/>
      </xdr:nvCxnSpPr>
      <xdr:spPr>
        <a:xfrm>
          <a:off x="10572750" y="80697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1021" name="Straight Arrow Connector 1020">
          <a:extLst>
            <a:ext uri="{FF2B5EF4-FFF2-40B4-BE49-F238E27FC236}">
              <a16:creationId xmlns:a16="http://schemas.microsoft.com/office/drawing/2014/main" id="{00000000-0008-0000-1200-0000FD030000}"/>
            </a:ext>
          </a:extLst>
        </xdr:cNvPr>
        <xdr:cNvCxnSpPr/>
      </xdr:nvCxnSpPr>
      <xdr:spPr>
        <a:xfrm flipV="1">
          <a:off x="10583333"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1022" name="Straight Arrow Connector 1021">
          <a:extLst>
            <a:ext uri="{FF2B5EF4-FFF2-40B4-BE49-F238E27FC236}">
              <a16:creationId xmlns:a16="http://schemas.microsoft.com/office/drawing/2014/main" id="{00000000-0008-0000-1200-0000FE030000}"/>
            </a:ext>
          </a:extLst>
        </xdr:cNvPr>
        <xdr:cNvCxnSpPr/>
      </xdr:nvCxnSpPr>
      <xdr:spPr>
        <a:xfrm>
          <a:off x="7598834"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1023" name="Straight Arrow Connector 1022">
          <a:extLst>
            <a:ext uri="{FF2B5EF4-FFF2-40B4-BE49-F238E27FC236}">
              <a16:creationId xmlns:a16="http://schemas.microsoft.com/office/drawing/2014/main" id="{00000000-0008-0000-1200-0000FF030000}"/>
            </a:ext>
          </a:extLst>
        </xdr:cNvPr>
        <xdr:cNvCxnSpPr/>
      </xdr:nvCxnSpPr>
      <xdr:spPr>
        <a:xfrm flipV="1">
          <a:off x="8794750" y="7926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1024" name="Straight Arrow Connector 1023">
          <a:extLst>
            <a:ext uri="{FF2B5EF4-FFF2-40B4-BE49-F238E27FC236}">
              <a16:creationId xmlns:a16="http://schemas.microsoft.com/office/drawing/2014/main" id="{00000000-0008-0000-1200-000000040000}"/>
            </a:ext>
          </a:extLst>
        </xdr:cNvPr>
        <xdr:cNvCxnSpPr/>
      </xdr:nvCxnSpPr>
      <xdr:spPr>
        <a:xfrm>
          <a:off x="8784166" y="8022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1025" name="Straight Arrow Connector 1024">
          <a:extLst>
            <a:ext uri="{FF2B5EF4-FFF2-40B4-BE49-F238E27FC236}">
              <a16:creationId xmlns:a16="http://schemas.microsoft.com/office/drawing/2014/main" id="{00000000-0008-0000-1200-000001040000}"/>
            </a:ext>
          </a:extLst>
        </xdr:cNvPr>
        <xdr:cNvCxnSpPr/>
      </xdr:nvCxnSpPr>
      <xdr:spPr>
        <a:xfrm flipV="1">
          <a:off x="879475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1026" name="Straight Arrow Connector 1025">
          <a:extLst>
            <a:ext uri="{FF2B5EF4-FFF2-40B4-BE49-F238E27FC236}">
              <a16:creationId xmlns:a16="http://schemas.microsoft.com/office/drawing/2014/main" id="{00000000-0008-0000-1200-000002040000}"/>
            </a:ext>
          </a:extLst>
        </xdr:cNvPr>
        <xdr:cNvCxnSpPr/>
      </xdr:nvCxnSpPr>
      <xdr:spPr>
        <a:xfrm>
          <a:off x="8805333" y="8420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1027" name="Straight Arrow Connector 1026">
          <a:extLst>
            <a:ext uri="{FF2B5EF4-FFF2-40B4-BE49-F238E27FC236}">
              <a16:creationId xmlns:a16="http://schemas.microsoft.com/office/drawing/2014/main" id="{00000000-0008-0000-1200-000003040000}"/>
            </a:ext>
          </a:extLst>
        </xdr:cNvPr>
        <xdr:cNvCxnSpPr/>
      </xdr:nvCxnSpPr>
      <xdr:spPr>
        <a:xfrm>
          <a:off x="10593916"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1028" name="Straight Arrow Connector 1027">
          <a:extLst>
            <a:ext uri="{FF2B5EF4-FFF2-40B4-BE49-F238E27FC236}">
              <a16:creationId xmlns:a16="http://schemas.microsoft.com/office/drawing/2014/main" id="{00000000-0008-0000-1200-000004040000}"/>
            </a:ext>
          </a:extLst>
        </xdr:cNvPr>
        <xdr:cNvCxnSpPr/>
      </xdr:nvCxnSpPr>
      <xdr:spPr>
        <a:xfrm flipV="1">
          <a:off x="10541000" y="8025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1029" name="Straight Arrow Connector 1028">
          <a:extLst>
            <a:ext uri="{FF2B5EF4-FFF2-40B4-BE49-F238E27FC236}">
              <a16:creationId xmlns:a16="http://schemas.microsoft.com/office/drawing/2014/main" id="{00000000-0008-0000-1200-000005040000}"/>
            </a:ext>
          </a:extLst>
        </xdr:cNvPr>
        <xdr:cNvCxnSpPr/>
      </xdr:nvCxnSpPr>
      <xdr:spPr>
        <a:xfrm>
          <a:off x="10530417"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1030" name="Straight Arrow Connector 1029">
          <a:extLst>
            <a:ext uri="{FF2B5EF4-FFF2-40B4-BE49-F238E27FC236}">
              <a16:creationId xmlns:a16="http://schemas.microsoft.com/office/drawing/2014/main" id="{00000000-0008-0000-1200-000006040000}"/>
            </a:ext>
          </a:extLst>
        </xdr:cNvPr>
        <xdr:cNvCxnSpPr/>
      </xdr:nvCxnSpPr>
      <xdr:spPr>
        <a:xfrm>
          <a:off x="10530417" y="80581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1031" name="Straight Arrow Connector 1030">
          <a:extLst>
            <a:ext uri="{FF2B5EF4-FFF2-40B4-BE49-F238E27FC236}">
              <a16:creationId xmlns:a16="http://schemas.microsoft.com/office/drawing/2014/main" id="{00000000-0008-0000-1200-000007040000}"/>
            </a:ext>
          </a:extLst>
        </xdr:cNvPr>
        <xdr:cNvCxnSpPr/>
      </xdr:nvCxnSpPr>
      <xdr:spPr>
        <a:xfrm flipV="1">
          <a:off x="10530417"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1032" name="Straight Arrow Connector 1031">
          <a:extLst>
            <a:ext uri="{FF2B5EF4-FFF2-40B4-BE49-F238E27FC236}">
              <a16:creationId xmlns:a16="http://schemas.microsoft.com/office/drawing/2014/main" id="{00000000-0008-0000-1200-000008040000}"/>
            </a:ext>
          </a:extLst>
        </xdr:cNvPr>
        <xdr:cNvCxnSpPr/>
      </xdr:nvCxnSpPr>
      <xdr:spPr>
        <a:xfrm>
          <a:off x="10572750"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1033" name="Straight Arrow Connector 1032">
          <a:extLst>
            <a:ext uri="{FF2B5EF4-FFF2-40B4-BE49-F238E27FC236}">
              <a16:creationId xmlns:a16="http://schemas.microsoft.com/office/drawing/2014/main" id="{00000000-0008-0000-1200-000009040000}"/>
            </a:ext>
          </a:extLst>
        </xdr:cNvPr>
        <xdr:cNvCxnSpPr/>
      </xdr:nvCxnSpPr>
      <xdr:spPr>
        <a:xfrm>
          <a:off x="10551583"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1034" name="Straight Arrow Connector 1033">
          <a:extLst>
            <a:ext uri="{FF2B5EF4-FFF2-40B4-BE49-F238E27FC236}">
              <a16:creationId xmlns:a16="http://schemas.microsoft.com/office/drawing/2014/main" id="{00000000-0008-0000-1200-00000A040000}"/>
            </a:ext>
          </a:extLst>
        </xdr:cNvPr>
        <xdr:cNvCxnSpPr/>
      </xdr:nvCxnSpPr>
      <xdr:spPr>
        <a:xfrm>
          <a:off x="10583333" y="8328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1035" name="Straight Arrow Connector 1034">
          <a:extLst>
            <a:ext uri="{FF2B5EF4-FFF2-40B4-BE49-F238E27FC236}">
              <a16:creationId xmlns:a16="http://schemas.microsoft.com/office/drawing/2014/main" id="{00000000-0008-0000-1200-00000B040000}"/>
            </a:ext>
          </a:extLst>
        </xdr:cNvPr>
        <xdr:cNvCxnSpPr/>
      </xdr:nvCxnSpPr>
      <xdr:spPr>
        <a:xfrm>
          <a:off x="10562166" y="8591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1036" name="Straight Arrow Connector 1035">
          <a:extLst>
            <a:ext uri="{FF2B5EF4-FFF2-40B4-BE49-F238E27FC236}">
              <a16:creationId xmlns:a16="http://schemas.microsoft.com/office/drawing/2014/main" id="{00000000-0008-0000-1200-00000C040000}"/>
            </a:ext>
          </a:extLst>
        </xdr:cNvPr>
        <xdr:cNvCxnSpPr/>
      </xdr:nvCxnSpPr>
      <xdr:spPr>
        <a:xfrm>
          <a:off x="10615083"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1037" name="Straight Arrow Connector 1036">
          <a:extLst>
            <a:ext uri="{FF2B5EF4-FFF2-40B4-BE49-F238E27FC236}">
              <a16:creationId xmlns:a16="http://schemas.microsoft.com/office/drawing/2014/main" id="{00000000-0008-0000-1200-00000D040000}"/>
            </a:ext>
          </a:extLst>
        </xdr:cNvPr>
        <xdr:cNvCxnSpPr/>
      </xdr:nvCxnSpPr>
      <xdr:spPr>
        <a:xfrm>
          <a:off x="10572750"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1038" name="Straight Arrow Connector 1037">
          <a:extLst>
            <a:ext uri="{FF2B5EF4-FFF2-40B4-BE49-F238E27FC236}">
              <a16:creationId xmlns:a16="http://schemas.microsoft.com/office/drawing/2014/main" id="{00000000-0008-0000-1200-00000E040000}"/>
            </a:ext>
          </a:extLst>
        </xdr:cNvPr>
        <xdr:cNvCxnSpPr/>
      </xdr:nvCxnSpPr>
      <xdr:spPr>
        <a:xfrm flipV="1">
          <a:off x="10583333"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1039" name="Straight Arrow Connector 1038">
          <a:extLst>
            <a:ext uri="{FF2B5EF4-FFF2-40B4-BE49-F238E27FC236}">
              <a16:creationId xmlns:a16="http://schemas.microsoft.com/office/drawing/2014/main" id="{00000000-0008-0000-1200-00000F040000}"/>
            </a:ext>
          </a:extLst>
        </xdr:cNvPr>
        <xdr:cNvCxnSpPr/>
      </xdr:nvCxnSpPr>
      <xdr:spPr>
        <a:xfrm flipV="1">
          <a:off x="5207000" y="68135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912</xdr:row>
      <xdr:rowOff>10584</xdr:rowOff>
    </xdr:from>
    <xdr:to>
      <xdr:col>1</xdr:col>
      <xdr:colOff>603250</xdr:colOff>
      <xdr:row>1005</xdr:row>
      <xdr:rowOff>158750</xdr:rowOff>
    </xdr:to>
    <xdr:cxnSp macro="">
      <xdr:nvCxnSpPr>
        <xdr:cNvPr id="1040" name="Straight Arrow Connector 1039">
          <a:extLst>
            <a:ext uri="{FF2B5EF4-FFF2-40B4-BE49-F238E27FC236}">
              <a16:creationId xmlns:a16="http://schemas.microsoft.com/office/drawing/2014/main" id="{00000000-0008-0000-1200-000010040000}"/>
            </a:ext>
          </a:extLst>
        </xdr:cNvPr>
        <xdr:cNvCxnSpPr/>
      </xdr:nvCxnSpPr>
      <xdr:spPr>
        <a:xfrm flipV="1">
          <a:off x="603250" y="963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1008</xdr:row>
      <xdr:rowOff>169333</xdr:rowOff>
    </xdr:from>
    <xdr:to>
      <xdr:col>1</xdr:col>
      <xdr:colOff>603250</xdr:colOff>
      <xdr:row>1050</xdr:row>
      <xdr:rowOff>148167</xdr:rowOff>
    </xdr:to>
    <xdr:cxnSp macro="">
      <xdr:nvCxnSpPr>
        <xdr:cNvPr id="1041" name="Straight Arrow Connector 1040">
          <a:extLst>
            <a:ext uri="{FF2B5EF4-FFF2-40B4-BE49-F238E27FC236}">
              <a16:creationId xmlns:a16="http://schemas.microsoft.com/office/drawing/2014/main" id="{00000000-0008-0000-1200-000011040000}"/>
            </a:ext>
          </a:extLst>
        </xdr:cNvPr>
        <xdr:cNvCxnSpPr/>
      </xdr:nvCxnSpPr>
      <xdr:spPr>
        <a:xfrm>
          <a:off x="603250" y="19790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984</xdr:row>
      <xdr:rowOff>158750</xdr:rowOff>
    </xdr:from>
    <xdr:to>
      <xdr:col>3</xdr:col>
      <xdr:colOff>603250</xdr:colOff>
      <xdr:row>1051</xdr:row>
      <xdr:rowOff>10583</xdr:rowOff>
    </xdr:to>
    <xdr:cxnSp macro="">
      <xdr:nvCxnSpPr>
        <xdr:cNvPr id="1042" name="Straight Arrow Connector 1041">
          <a:extLst>
            <a:ext uri="{FF2B5EF4-FFF2-40B4-BE49-F238E27FC236}">
              <a16:creationId xmlns:a16="http://schemas.microsoft.com/office/drawing/2014/main" id="{00000000-0008-0000-1200-000012040000}"/>
            </a:ext>
          </a:extLst>
        </xdr:cNvPr>
        <xdr:cNvCxnSpPr/>
      </xdr:nvCxnSpPr>
      <xdr:spPr>
        <a:xfrm flipV="1">
          <a:off x="2296584"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1053</xdr:row>
      <xdr:rowOff>10583</xdr:rowOff>
    </xdr:from>
    <xdr:to>
      <xdr:col>4</xdr:col>
      <xdr:colOff>63500</xdr:colOff>
      <xdr:row>1204</xdr:row>
      <xdr:rowOff>158750</xdr:rowOff>
    </xdr:to>
    <xdr:cxnSp macro="">
      <xdr:nvCxnSpPr>
        <xdr:cNvPr id="1043" name="Straight Arrow Connector 1042">
          <a:extLst>
            <a:ext uri="{FF2B5EF4-FFF2-40B4-BE49-F238E27FC236}">
              <a16:creationId xmlns:a16="http://schemas.microsoft.com/office/drawing/2014/main" id="{00000000-0008-0000-1200-000013040000}"/>
            </a:ext>
          </a:extLst>
        </xdr:cNvPr>
        <xdr:cNvCxnSpPr/>
      </xdr:nvCxnSpPr>
      <xdr:spPr>
        <a:xfrm>
          <a:off x="2307167" y="28395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947</xdr:row>
      <xdr:rowOff>1</xdr:rowOff>
    </xdr:from>
    <xdr:to>
      <xdr:col>6</xdr:col>
      <xdr:colOff>0</xdr:colOff>
      <xdr:row>981</xdr:row>
      <xdr:rowOff>116417</xdr:rowOff>
    </xdr:to>
    <xdr:cxnSp macro="">
      <xdr:nvCxnSpPr>
        <xdr:cNvPr id="1044" name="Straight Arrow Connector 1043">
          <a:extLst>
            <a:ext uri="{FF2B5EF4-FFF2-40B4-BE49-F238E27FC236}">
              <a16:creationId xmlns:a16="http://schemas.microsoft.com/office/drawing/2014/main" id="{00000000-0008-0000-1200-000014040000}"/>
            </a:ext>
          </a:extLst>
        </xdr:cNvPr>
        <xdr:cNvCxnSpPr/>
      </xdr:nvCxnSpPr>
      <xdr:spPr>
        <a:xfrm flipV="1">
          <a:off x="3714750" y="7810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984</xdr:row>
      <xdr:rowOff>169334</xdr:rowOff>
    </xdr:from>
    <xdr:to>
      <xdr:col>5</xdr:col>
      <xdr:colOff>571500</xdr:colOff>
      <xdr:row>1053</xdr:row>
      <xdr:rowOff>0</xdr:rowOff>
    </xdr:to>
    <xdr:cxnSp macro="">
      <xdr:nvCxnSpPr>
        <xdr:cNvPr id="1045" name="Straight Arrow Connector 1044">
          <a:extLst>
            <a:ext uri="{FF2B5EF4-FFF2-40B4-BE49-F238E27FC236}">
              <a16:creationId xmlns:a16="http://schemas.microsoft.com/office/drawing/2014/main" id="{00000000-0008-0000-1200-000015040000}"/>
            </a:ext>
          </a:extLst>
        </xdr:cNvPr>
        <xdr:cNvCxnSpPr/>
      </xdr:nvCxnSpPr>
      <xdr:spPr>
        <a:xfrm>
          <a:off x="379941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922</xdr:row>
      <xdr:rowOff>148167</xdr:rowOff>
    </xdr:from>
    <xdr:to>
      <xdr:col>7</xdr:col>
      <xdr:colOff>603250</xdr:colOff>
      <xdr:row>944</xdr:row>
      <xdr:rowOff>31750</xdr:rowOff>
    </xdr:to>
    <xdr:cxnSp macro="">
      <xdr:nvCxnSpPr>
        <xdr:cNvPr id="1046" name="Straight Arrow Connector 1045">
          <a:extLst>
            <a:ext uri="{FF2B5EF4-FFF2-40B4-BE49-F238E27FC236}">
              <a16:creationId xmlns:a16="http://schemas.microsoft.com/office/drawing/2014/main" id="{00000000-0008-0000-1200-000016040000}"/>
            </a:ext>
          </a:extLst>
        </xdr:cNvPr>
        <xdr:cNvCxnSpPr/>
      </xdr:nvCxnSpPr>
      <xdr:spPr>
        <a:xfrm flipV="1">
          <a:off x="517525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947</xdr:row>
      <xdr:rowOff>10584</xdr:rowOff>
    </xdr:from>
    <xdr:to>
      <xdr:col>8</xdr:col>
      <xdr:colOff>21167</xdr:colOff>
      <xdr:row>975</xdr:row>
      <xdr:rowOff>148166</xdr:rowOff>
    </xdr:to>
    <xdr:cxnSp macro="">
      <xdr:nvCxnSpPr>
        <xdr:cNvPr id="1047" name="Straight Arrow Connector 1046">
          <a:extLst>
            <a:ext uri="{FF2B5EF4-FFF2-40B4-BE49-F238E27FC236}">
              <a16:creationId xmlns:a16="http://schemas.microsoft.com/office/drawing/2014/main" id="{00000000-0008-0000-1200-000017040000}"/>
            </a:ext>
          </a:extLst>
        </xdr:cNvPr>
        <xdr:cNvCxnSpPr/>
      </xdr:nvCxnSpPr>
      <xdr:spPr>
        <a:xfrm>
          <a:off x="5175250" y="7821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914</xdr:row>
      <xdr:rowOff>137583</xdr:rowOff>
    </xdr:from>
    <xdr:to>
      <xdr:col>9</xdr:col>
      <xdr:colOff>603250</xdr:colOff>
      <xdr:row>920</xdr:row>
      <xdr:rowOff>21166</xdr:rowOff>
    </xdr:to>
    <xdr:cxnSp macro="">
      <xdr:nvCxnSpPr>
        <xdr:cNvPr id="1048" name="Straight Arrow Connector 1047">
          <a:extLst>
            <a:ext uri="{FF2B5EF4-FFF2-40B4-BE49-F238E27FC236}">
              <a16:creationId xmlns:a16="http://schemas.microsoft.com/office/drawing/2014/main" id="{00000000-0008-0000-1200-000018040000}"/>
            </a:ext>
          </a:extLst>
        </xdr:cNvPr>
        <xdr:cNvCxnSpPr/>
      </xdr:nvCxnSpPr>
      <xdr:spPr>
        <a:xfrm flipV="1">
          <a:off x="6381750"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923</xdr:row>
      <xdr:rowOff>0</xdr:rowOff>
    </xdr:from>
    <xdr:to>
      <xdr:col>9</xdr:col>
      <xdr:colOff>582083</xdr:colOff>
      <xdr:row>931</xdr:row>
      <xdr:rowOff>10583</xdr:rowOff>
    </xdr:to>
    <xdr:cxnSp macro="">
      <xdr:nvCxnSpPr>
        <xdr:cNvPr id="1049" name="Straight Arrow Connector 1048">
          <a:extLst>
            <a:ext uri="{FF2B5EF4-FFF2-40B4-BE49-F238E27FC236}">
              <a16:creationId xmlns:a16="http://schemas.microsoft.com/office/drawing/2014/main" id="{00000000-0008-0000-1200-000019040000}"/>
            </a:ext>
          </a:extLst>
        </xdr:cNvPr>
        <xdr:cNvCxnSpPr/>
      </xdr:nvCxnSpPr>
      <xdr:spPr>
        <a:xfrm>
          <a:off x="6413500"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928</xdr:row>
      <xdr:rowOff>169333</xdr:rowOff>
    </xdr:from>
    <xdr:to>
      <xdr:col>11</xdr:col>
      <xdr:colOff>603250</xdr:colOff>
      <xdr:row>931</xdr:row>
      <xdr:rowOff>21167</xdr:rowOff>
    </xdr:to>
    <xdr:cxnSp macro="">
      <xdr:nvCxnSpPr>
        <xdr:cNvPr id="1050" name="Straight Arrow Connector 1049">
          <a:extLst>
            <a:ext uri="{FF2B5EF4-FFF2-40B4-BE49-F238E27FC236}">
              <a16:creationId xmlns:a16="http://schemas.microsoft.com/office/drawing/2014/main" id="{00000000-0008-0000-1200-00001A040000}"/>
            </a:ext>
          </a:extLst>
        </xdr:cNvPr>
        <xdr:cNvCxnSpPr/>
      </xdr:nvCxnSpPr>
      <xdr:spPr>
        <a:xfrm flipV="1">
          <a:off x="7609417"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934</xdr:row>
      <xdr:rowOff>42333</xdr:rowOff>
    </xdr:from>
    <xdr:to>
      <xdr:col>11</xdr:col>
      <xdr:colOff>603250</xdr:colOff>
      <xdr:row>946</xdr:row>
      <xdr:rowOff>10583</xdr:rowOff>
    </xdr:to>
    <xdr:cxnSp macro="">
      <xdr:nvCxnSpPr>
        <xdr:cNvPr id="1051" name="Straight Arrow Connector 1050">
          <a:extLst>
            <a:ext uri="{FF2B5EF4-FFF2-40B4-BE49-F238E27FC236}">
              <a16:creationId xmlns:a16="http://schemas.microsoft.com/office/drawing/2014/main" id="{00000000-0008-0000-1200-00001B040000}"/>
            </a:ext>
          </a:extLst>
        </xdr:cNvPr>
        <xdr:cNvCxnSpPr/>
      </xdr:nvCxnSpPr>
      <xdr:spPr>
        <a:xfrm>
          <a:off x="7598834"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924</xdr:row>
      <xdr:rowOff>21167</xdr:rowOff>
    </xdr:from>
    <xdr:to>
      <xdr:col>13</xdr:col>
      <xdr:colOff>592667</xdr:colOff>
      <xdr:row>926</xdr:row>
      <xdr:rowOff>0</xdr:rowOff>
    </xdr:to>
    <xdr:cxnSp macro="">
      <xdr:nvCxnSpPr>
        <xdr:cNvPr id="1052" name="Straight Arrow Connector 1051">
          <a:extLst>
            <a:ext uri="{FF2B5EF4-FFF2-40B4-BE49-F238E27FC236}">
              <a16:creationId xmlns:a16="http://schemas.microsoft.com/office/drawing/2014/main" id="{00000000-0008-0000-1200-00001C040000}"/>
            </a:ext>
          </a:extLst>
        </xdr:cNvPr>
        <xdr:cNvCxnSpPr/>
      </xdr:nvCxnSpPr>
      <xdr:spPr>
        <a:xfrm flipV="1">
          <a:off x="8794750" y="325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929</xdr:row>
      <xdr:rowOff>21166</xdr:rowOff>
    </xdr:from>
    <xdr:to>
      <xdr:col>13</xdr:col>
      <xdr:colOff>592667</xdr:colOff>
      <xdr:row>930</xdr:row>
      <xdr:rowOff>169334</xdr:rowOff>
    </xdr:to>
    <xdr:cxnSp macro="">
      <xdr:nvCxnSpPr>
        <xdr:cNvPr id="1053" name="Straight Arrow Connector 1052">
          <a:extLst>
            <a:ext uri="{FF2B5EF4-FFF2-40B4-BE49-F238E27FC236}">
              <a16:creationId xmlns:a16="http://schemas.microsoft.com/office/drawing/2014/main" id="{00000000-0008-0000-1200-00001D040000}"/>
            </a:ext>
          </a:extLst>
        </xdr:cNvPr>
        <xdr:cNvCxnSpPr/>
      </xdr:nvCxnSpPr>
      <xdr:spPr>
        <a:xfrm>
          <a:off x="8784166" y="421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944</xdr:row>
      <xdr:rowOff>21167</xdr:rowOff>
    </xdr:from>
    <xdr:to>
      <xdr:col>13</xdr:col>
      <xdr:colOff>592667</xdr:colOff>
      <xdr:row>946</xdr:row>
      <xdr:rowOff>63500</xdr:rowOff>
    </xdr:to>
    <xdr:cxnSp macro="">
      <xdr:nvCxnSpPr>
        <xdr:cNvPr id="1054" name="Straight Arrow Connector 1053">
          <a:extLst>
            <a:ext uri="{FF2B5EF4-FFF2-40B4-BE49-F238E27FC236}">
              <a16:creationId xmlns:a16="http://schemas.microsoft.com/office/drawing/2014/main" id="{00000000-0008-0000-1200-00001E040000}"/>
            </a:ext>
          </a:extLst>
        </xdr:cNvPr>
        <xdr:cNvCxnSpPr/>
      </xdr:nvCxnSpPr>
      <xdr:spPr>
        <a:xfrm flipV="1">
          <a:off x="879475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949</xdr:row>
      <xdr:rowOff>0</xdr:rowOff>
    </xdr:from>
    <xdr:to>
      <xdr:col>14</xdr:col>
      <xdr:colOff>10584</xdr:colOff>
      <xdr:row>957</xdr:row>
      <xdr:rowOff>148167</xdr:rowOff>
    </xdr:to>
    <xdr:cxnSp macro="">
      <xdr:nvCxnSpPr>
        <xdr:cNvPr id="1055" name="Straight Arrow Connector 1054">
          <a:extLst>
            <a:ext uri="{FF2B5EF4-FFF2-40B4-BE49-F238E27FC236}">
              <a16:creationId xmlns:a16="http://schemas.microsoft.com/office/drawing/2014/main" id="{00000000-0008-0000-1200-00001F040000}"/>
            </a:ext>
          </a:extLst>
        </xdr:cNvPr>
        <xdr:cNvCxnSpPr/>
      </xdr:nvCxnSpPr>
      <xdr:spPr>
        <a:xfrm>
          <a:off x="8805333" y="819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916</xdr:row>
      <xdr:rowOff>0</xdr:rowOff>
    </xdr:from>
    <xdr:to>
      <xdr:col>15</xdr:col>
      <xdr:colOff>603250</xdr:colOff>
      <xdr:row>921</xdr:row>
      <xdr:rowOff>31750</xdr:rowOff>
    </xdr:to>
    <xdr:cxnSp macro="">
      <xdr:nvCxnSpPr>
        <xdr:cNvPr id="1056" name="Straight Arrow Connector 1055">
          <a:extLst>
            <a:ext uri="{FF2B5EF4-FFF2-40B4-BE49-F238E27FC236}">
              <a16:creationId xmlns:a16="http://schemas.microsoft.com/office/drawing/2014/main" id="{00000000-0008-0000-1200-000020040000}"/>
            </a:ext>
          </a:extLst>
        </xdr:cNvPr>
        <xdr:cNvCxnSpPr/>
      </xdr:nvCxnSpPr>
      <xdr:spPr>
        <a:xfrm flipV="1">
          <a:off x="10541000"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919</xdr:row>
      <xdr:rowOff>52917</xdr:rowOff>
    </xdr:from>
    <xdr:to>
      <xdr:col>15</xdr:col>
      <xdr:colOff>603250</xdr:colOff>
      <xdr:row>921</xdr:row>
      <xdr:rowOff>95250</xdr:rowOff>
    </xdr:to>
    <xdr:cxnSp macro="">
      <xdr:nvCxnSpPr>
        <xdr:cNvPr id="1057" name="Straight Arrow Connector 1056">
          <a:extLst>
            <a:ext uri="{FF2B5EF4-FFF2-40B4-BE49-F238E27FC236}">
              <a16:creationId xmlns:a16="http://schemas.microsoft.com/office/drawing/2014/main" id="{00000000-0008-0000-1200-000021040000}"/>
            </a:ext>
          </a:extLst>
        </xdr:cNvPr>
        <xdr:cNvCxnSpPr/>
      </xdr:nvCxnSpPr>
      <xdr:spPr>
        <a:xfrm flipV="1">
          <a:off x="10583333"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921</xdr:row>
      <xdr:rowOff>158750</xdr:rowOff>
    </xdr:from>
    <xdr:to>
      <xdr:col>15</xdr:col>
      <xdr:colOff>582083</xdr:colOff>
      <xdr:row>922</xdr:row>
      <xdr:rowOff>137583</xdr:rowOff>
    </xdr:to>
    <xdr:cxnSp macro="">
      <xdr:nvCxnSpPr>
        <xdr:cNvPr id="1058" name="Straight Arrow Connector 1057">
          <a:extLst>
            <a:ext uri="{FF2B5EF4-FFF2-40B4-BE49-F238E27FC236}">
              <a16:creationId xmlns:a16="http://schemas.microsoft.com/office/drawing/2014/main" id="{00000000-0008-0000-1200-000022040000}"/>
            </a:ext>
          </a:extLst>
        </xdr:cNvPr>
        <xdr:cNvCxnSpPr/>
      </xdr:nvCxnSpPr>
      <xdr:spPr>
        <a:xfrm>
          <a:off x="10604500"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921</xdr:row>
      <xdr:rowOff>105834</xdr:rowOff>
    </xdr:from>
    <xdr:to>
      <xdr:col>16</xdr:col>
      <xdr:colOff>0</xdr:colOff>
      <xdr:row>925</xdr:row>
      <xdr:rowOff>84667</xdr:rowOff>
    </xdr:to>
    <xdr:cxnSp macro="">
      <xdr:nvCxnSpPr>
        <xdr:cNvPr id="1059" name="Straight Arrow Connector 1058">
          <a:extLst>
            <a:ext uri="{FF2B5EF4-FFF2-40B4-BE49-F238E27FC236}">
              <a16:creationId xmlns:a16="http://schemas.microsoft.com/office/drawing/2014/main" id="{00000000-0008-0000-1200-000023040000}"/>
            </a:ext>
          </a:extLst>
        </xdr:cNvPr>
        <xdr:cNvCxnSpPr/>
      </xdr:nvCxnSpPr>
      <xdr:spPr>
        <a:xfrm>
          <a:off x="10519834" y="277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929</xdr:row>
      <xdr:rowOff>52916</xdr:rowOff>
    </xdr:from>
    <xdr:to>
      <xdr:col>16</xdr:col>
      <xdr:colOff>0</xdr:colOff>
      <xdr:row>931</xdr:row>
      <xdr:rowOff>0</xdr:rowOff>
    </xdr:to>
    <xdr:cxnSp macro="">
      <xdr:nvCxnSpPr>
        <xdr:cNvPr id="1060" name="Straight Arrow Connector 1059">
          <a:extLst>
            <a:ext uri="{FF2B5EF4-FFF2-40B4-BE49-F238E27FC236}">
              <a16:creationId xmlns:a16="http://schemas.microsoft.com/office/drawing/2014/main" id="{00000000-0008-0000-1200-000024040000}"/>
            </a:ext>
          </a:extLst>
        </xdr:cNvPr>
        <xdr:cNvCxnSpPr/>
      </xdr:nvCxnSpPr>
      <xdr:spPr>
        <a:xfrm flipV="1">
          <a:off x="10541000" y="424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931</xdr:row>
      <xdr:rowOff>21167</xdr:rowOff>
    </xdr:from>
    <xdr:to>
      <xdr:col>15</xdr:col>
      <xdr:colOff>582083</xdr:colOff>
      <xdr:row>932</xdr:row>
      <xdr:rowOff>42333</xdr:rowOff>
    </xdr:to>
    <xdr:cxnSp macro="">
      <xdr:nvCxnSpPr>
        <xdr:cNvPr id="1061" name="Straight Arrow Connector 1060">
          <a:extLst>
            <a:ext uri="{FF2B5EF4-FFF2-40B4-BE49-F238E27FC236}">
              <a16:creationId xmlns:a16="http://schemas.microsoft.com/office/drawing/2014/main" id="{00000000-0008-0000-1200-000025040000}"/>
            </a:ext>
          </a:extLst>
        </xdr:cNvPr>
        <xdr:cNvCxnSpPr/>
      </xdr:nvCxnSpPr>
      <xdr:spPr>
        <a:xfrm>
          <a:off x="10551583"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931</xdr:row>
      <xdr:rowOff>21167</xdr:rowOff>
    </xdr:from>
    <xdr:to>
      <xdr:col>16</xdr:col>
      <xdr:colOff>42333</xdr:colOff>
      <xdr:row>936</xdr:row>
      <xdr:rowOff>21168</xdr:rowOff>
    </xdr:to>
    <xdr:cxnSp macro="">
      <xdr:nvCxnSpPr>
        <xdr:cNvPr id="1062" name="Straight Arrow Connector 1061">
          <a:extLst>
            <a:ext uri="{FF2B5EF4-FFF2-40B4-BE49-F238E27FC236}">
              <a16:creationId xmlns:a16="http://schemas.microsoft.com/office/drawing/2014/main" id="{00000000-0008-0000-1200-000026040000}"/>
            </a:ext>
          </a:extLst>
        </xdr:cNvPr>
        <xdr:cNvCxnSpPr/>
      </xdr:nvCxnSpPr>
      <xdr:spPr>
        <a:xfrm>
          <a:off x="10530417" y="459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931</xdr:row>
      <xdr:rowOff>31750</xdr:rowOff>
    </xdr:from>
    <xdr:to>
      <xdr:col>16</xdr:col>
      <xdr:colOff>42334</xdr:colOff>
      <xdr:row>938</xdr:row>
      <xdr:rowOff>63501</xdr:rowOff>
    </xdr:to>
    <xdr:cxnSp macro="">
      <xdr:nvCxnSpPr>
        <xdr:cNvPr id="1063" name="Straight Arrow Connector 1062">
          <a:extLst>
            <a:ext uri="{FF2B5EF4-FFF2-40B4-BE49-F238E27FC236}">
              <a16:creationId xmlns:a16="http://schemas.microsoft.com/office/drawing/2014/main" id="{00000000-0008-0000-1200-000027040000}"/>
            </a:ext>
          </a:extLst>
        </xdr:cNvPr>
        <xdr:cNvCxnSpPr/>
      </xdr:nvCxnSpPr>
      <xdr:spPr>
        <a:xfrm>
          <a:off x="10541000" y="460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968</xdr:row>
      <xdr:rowOff>42333</xdr:rowOff>
    </xdr:from>
    <xdr:to>
      <xdr:col>9</xdr:col>
      <xdr:colOff>592666</xdr:colOff>
      <xdr:row>976</xdr:row>
      <xdr:rowOff>42333</xdr:rowOff>
    </xdr:to>
    <xdr:cxnSp macro="">
      <xdr:nvCxnSpPr>
        <xdr:cNvPr id="1064" name="Straight Arrow Connector 1063">
          <a:extLst>
            <a:ext uri="{FF2B5EF4-FFF2-40B4-BE49-F238E27FC236}">
              <a16:creationId xmlns:a16="http://schemas.microsoft.com/office/drawing/2014/main" id="{00000000-0008-0000-1200-000028040000}"/>
            </a:ext>
          </a:extLst>
        </xdr:cNvPr>
        <xdr:cNvCxnSpPr/>
      </xdr:nvCxnSpPr>
      <xdr:spPr>
        <a:xfrm flipV="1">
          <a:off x="6392333"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978</xdr:row>
      <xdr:rowOff>169334</xdr:rowOff>
    </xdr:from>
    <xdr:to>
      <xdr:col>9</xdr:col>
      <xdr:colOff>603250</xdr:colOff>
      <xdr:row>987</xdr:row>
      <xdr:rowOff>31750</xdr:rowOff>
    </xdr:to>
    <xdr:cxnSp macro="">
      <xdr:nvCxnSpPr>
        <xdr:cNvPr id="1065" name="Straight Arrow Connector 1064">
          <a:extLst>
            <a:ext uri="{FF2B5EF4-FFF2-40B4-BE49-F238E27FC236}">
              <a16:creationId xmlns:a16="http://schemas.microsoft.com/office/drawing/2014/main" id="{00000000-0008-0000-1200-000029040000}"/>
            </a:ext>
          </a:extLst>
        </xdr:cNvPr>
        <xdr:cNvCxnSpPr/>
      </xdr:nvCxnSpPr>
      <xdr:spPr>
        <a:xfrm>
          <a:off x="6413500"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984</xdr:row>
      <xdr:rowOff>158750</xdr:rowOff>
    </xdr:from>
    <xdr:to>
      <xdr:col>11</xdr:col>
      <xdr:colOff>571500</xdr:colOff>
      <xdr:row>987</xdr:row>
      <xdr:rowOff>0</xdr:rowOff>
    </xdr:to>
    <xdr:cxnSp macro="">
      <xdr:nvCxnSpPr>
        <xdr:cNvPr id="1066" name="Straight Arrow Connector 1065">
          <a:extLst>
            <a:ext uri="{FF2B5EF4-FFF2-40B4-BE49-F238E27FC236}">
              <a16:creationId xmlns:a16="http://schemas.microsoft.com/office/drawing/2014/main" id="{00000000-0008-0000-1200-00002A040000}"/>
            </a:ext>
          </a:extLst>
        </xdr:cNvPr>
        <xdr:cNvCxnSpPr/>
      </xdr:nvCxnSpPr>
      <xdr:spPr>
        <a:xfrm flipV="1">
          <a:off x="7556500" y="1501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942</xdr:row>
      <xdr:rowOff>0</xdr:rowOff>
    </xdr:from>
    <xdr:to>
      <xdr:col>15</xdr:col>
      <xdr:colOff>603250</xdr:colOff>
      <xdr:row>944</xdr:row>
      <xdr:rowOff>1</xdr:rowOff>
    </xdr:to>
    <xdr:cxnSp macro="">
      <xdr:nvCxnSpPr>
        <xdr:cNvPr id="1067" name="Straight Arrow Connector 1066">
          <a:extLst>
            <a:ext uri="{FF2B5EF4-FFF2-40B4-BE49-F238E27FC236}">
              <a16:creationId xmlns:a16="http://schemas.microsoft.com/office/drawing/2014/main" id="{00000000-0008-0000-1200-00002B040000}"/>
            </a:ext>
          </a:extLst>
        </xdr:cNvPr>
        <xdr:cNvCxnSpPr/>
      </xdr:nvCxnSpPr>
      <xdr:spPr>
        <a:xfrm flipV="1">
          <a:off x="10530417"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944</xdr:row>
      <xdr:rowOff>10584</xdr:rowOff>
    </xdr:from>
    <xdr:to>
      <xdr:col>15</xdr:col>
      <xdr:colOff>592666</xdr:colOff>
      <xdr:row>945</xdr:row>
      <xdr:rowOff>95250</xdr:rowOff>
    </xdr:to>
    <xdr:cxnSp macro="">
      <xdr:nvCxnSpPr>
        <xdr:cNvPr id="1068" name="Straight Arrow Connector 1067">
          <a:extLst>
            <a:ext uri="{FF2B5EF4-FFF2-40B4-BE49-F238E27FC236}">
              <a16:creationId xmlns:a16="http://schemas.microsoft.com/office/drawing/2014/main" id="{00000000-0008-0000-1200-00002C040000}"/>
            </a:ext>
          </a:extLst>
        </xdr:cNvPr>
        <xdr:cNvCxnSpPr/>
      </xdr:nvCxnSpPr>
      <xdr:spPr>
        <a:xfrm>
          <a:off x="10572750"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944</xdr:row>
      <xdr:rowOff>10584</xdr:rowOff>
    </xdr:from>
    <xdr:to>
      <xdr:col>15</xdr:col>
      <xdr:colOff>560916</xdr:colOff>
      <xdr:row>948</xdr:row>
      <xdr:rowOff>52917</xdr:rowOff>
    </xdr:to>
    <xdr:cxnSp macro="">
      <xdr:nvCxnSpPr>
        <xdr:cNvPr id="1069" name="Straight Arrow Connector 1068">
          <a:extLst>
            <a:ext uri="{FF2B5EF4-FFF2-40B4-BE49-F238E27FC236}">
              <a16:creationId xmlns:a16="http://schemas.microsoft.com/office/drawing/2014/main" id="{00000000-0008-0000-1200-00002D040000}"/>
            </a:ext>
          </a:extLst>
        </xdr:cNvPr>
        <xdr:cNvCxnSpPr/>
      </xdr:nvCxnSpPr>
      <xdr:spPr>
        <a:xfrm>
          <a:off x="10551583"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944</xdr:row>
      <xdr:rowOff>31750</xdr:rowOff>
    </xdr:from>
    <xdr:to>
      <xdr:col>16</xdr:col>
      <xdr:colOff>21167</xdr:colOff>
      <xdr:row>951</xdr:row>
      <xdr:rowOff>95250</xdr:rowOff>
    </xdr:to>
    <xdr:cxnSp macro="">
      <xdr:nvCxnSpPr>
        <xdr:cNvPr id="1070" name="Straight Arrow Connector 1069">
          <a:extLst>
            <a:ext uri="{FF2B5EF4-FFF2-40B4-BE49-F238E27FC236}">
              <a16:creationId xmlns:a16="http://schemas.microsoft.com/office/drawing/2014/main" id="{00000000-0008-0000-1200-00002E040000}"/>
            </a:ext>
          </a:extLst>
        </xdr:cNvPr>
        <xdr:cNvCxnSpPr/>
      </xdr:nvCxnSpPr>
      <xdr:spPr>
        <a:xfrm>
          <a:off x="10583333" y="727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958</xdr:row>
      <xdr:rowOff>0</xdr:rowOff>
    </xdr:from>
    <xdr:to>
      <xdr:col>16</xdr:col>
      <xdr:colOff>0</xdr:colOff>
      <xdr:row>958</xdr:row>
      <xdr:rowOff>42334</xdr:rowOff>
    </xdr:to>
    <xdr:cxnSp macro="">
      <xdr:nvCxnSpPr>
        <xdr:cNvPr id="1071" name="Straight Arrow Connector 1070">
          <a:extLst>
            <a:ext uri="{FF2B5EF4-FFF2-40B4-BE49-F238E27FC236}">
              <a16:creationId xmlns:a16="http://schemas.microsoft.com/office/drawing/2014/main" id="{00000000-0008-0000-1200-00002F040000}"/>
            </a:ext>
          </a:extLst>
        </xdr:cNvPr>
        <xdr:cNvCxnSpPr/>
      </xdr:nvCxnSpPr>
      <xdr:spPr>
        <a:xfrm>
          <a:off x="10562166" y="990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958</xdr:row>
      <xdr:rowOff>21166</xdr:rowOff>
    </xdr:from>
    <xdr:to>
      <xdr:col>15</xdr:col>
      <xdr:colOff>560916</xdr:colOff>
      <xdr:row>961</xdr:row>
      <xdr:rowOff>84667</xdr:rowOff>
    </xdr:to>
    <xdr:cxnSp macro="">
      <xdr:nvCxnSpPr>
        <xdr:cNvPr id="1072" name="Straight Arrow Connector 1071">
          <a:extLst>
            <a:ext uri="{FF2B5EF4-FFF2-40B4-BE49-F238E27FC236}">
              <a16:creationId xmlns:a16="http://schemas.microsoft.com/office/drawing/2014/main" id="{00000000-0008-0000-1200-000030040000}"/>
            </a:ext>
          </a:extLst>
        </xdr:cNvPr>
        <xdr:cNvCxnSpPr/>
      </xdr:nvCxnSpPr>
      <xdr:spPr>
        <a:xfrm>
          <a:off x="10615083"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958</xdr:row>
      <xdr:rowOff>52916</xdr:rowOff>
    </xdr:from>
    <xdr:to>
      <xdr:col>15</xdr:col>
      <xdr:colOff>592666</xdr:colOff>
      <xdr:row>964</xdr:row>
      <xdr:rowOff>63501</xdr:rowOff>
    </xdr:to>
    <xdr:cxnSp macro="">
      <xdr:nvCxnSpPr>
        <xdr:cNvPr id="1073" name="Straight Arrow Connector 1072">
          <a:extLst>
            <a:ext uri="{FF2B5EF4-FFF2-40B4-BE49-F238E27FC236}">
              <a16:creationId xmlns:a16="http://schemas.microsoft.com/office/drawing/2014/main" id="{00000000-0008-0000-1200-000031040000}"/>
            </a:ext>
          </a:extLst>
        </xdr:cNvPr>
        <xdr:cNvCxnSpPr/>
      </xdr:nvCxnSpPr>
      <xdr:spPr>
        <a:xfrm>
          <a:off x="10572750"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972</xdr:row>
      <xdr:rowOff>116416</xdr:rowOff>
    </xdr:from>
    <xdr:to>
      <xdr:col>15</xdr:col>
      <xdr:colOff>592666</xdr:colOff>
      <xdr:row>975</xdr:row>
      <xdr:rowOff>158750</xdr:rowOff>
    </xdr:to>
    <xdr:cxnSp macro="">
      <xdr:nvCxnSpPr>
        <xdr:cNvPr id="1074" name="Straight Arrow Connector 1073">
          <a:extLst>
            <a:ext uri="{FF2B5EF4-FFF2-40B4-BE49-F238E27FC236}">
              <a16:creationId xmlns:a16="http://schemas.microsoft.com/office/drawing/2014/main" id="{00000000-0008-0000-1200-000032040000}"/>
            </a:ext>
          </a:extLst>
        </xdr:cNvPr>
        <xdr:cNvCxnSpPr/>
      </xdr:nvCxnSpPr>
      <xdr:spPr>
        <a:xfrm flipV="1">
          <a:off x="10562166"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974</xdr:row>
      <xdr:rowOff>95250</xdr:rowOff>
    </xdr:from>
    <xdr:to>
      <xdr:col>15</xdr:col>
      <xdr:colOff>582083</xdr:colOff>
      <xdr:row>976</xdr:row>
      <xdr:rowOff>52917</xdr:rowOff>
    </xdr:to>
    <xdr:cxnSp macro="">
      <xdr:nvCxnSpPr>
        <xdr:cNvPr id="1075" name="Straight Arrow Connector 1074">
          <a:extLst>
            <a:ext uri="{FF2B5EF4-FFF2-40B4-BE49-F238E27FC236}">
              <a16:creationId xmlns:a16="http://schemas.microsoft.com/office/drawing/2014/main" id="{00000000-0008-0000-1200-000033040000}"/>
            </a:ext>
          </a:extLst>
        </xdr:cNvPr>
        <xdr:cNvCxnSpPr/>
      </xdr:nvCxnSpPr>
      <xdr:spPr>
        <a:xfrm flipV="1">
          <a:off x="10604500"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116417</xdr:rowOff>
    </xdr:from>
    <xdr:to>
      <xdr:col>15</xdr:col>
      <xdr:colOff>592666</xdr:colOff>
      <xdr:row>980</xdr:row>
      <xdr:rowOff>95250</xdr:rowOff>
    </xdr:to>
    <xdr:cxnSp macro="">
      <xdr:nvCxnSpPr>
        <xdr:cNvPr id="1076" name="Straight Arrow Connector 1075">
          <a:extLst>
            <a:ext uri="{FF2B5EF4-FFF2-40B4-BE49-F238E27FC236}">
              <a16:creationId xmlns:a16="http://schemas.microsoft.com/office/drawing/2014/main" id="{00000000-0008-0000-1200-000034040000}"/>
            </a:ext>
          </a:extLst>
        </xdr:cNvPr>
        <xdr:cNvCxnSpPr/>
      </xdr:nvCxnSpPr>
      <xdr:spPr>
        <a:xfrm>
          <a:off x="10593916"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987</xdr:row>
      <xdr:rowOff>116416</xdr:rowOff>
    </xdr:from>
    <xdr:to>
      <xdr:col>16</xdr:col>
      <xdr:colOff>0</xdr:colOff>
      <xdr:row>994</xdr:row>
      <xdr:rowOff>74084</xdr:rowOff>
    </xdr:to>
    <xdr:cxnSp macro="">
      <xdr:nvCxnSpPr>
        <xdr:cNvPr id="1077" name="Straight Arrow Connector 1076">
          <a:extLst>
            <a:ext uri="{FF2B5EF4-FFF2-40B4-BE49-F238E27FC236}">
              <a16:creationId xmlns:a16="http://schemas.microsoft.com/office/drawing/2014/main" id="{00000000-0008-0000-1200-000035040000}"/>
            </a:ext>
          </a:extLst>
        </xdr:cNvPr>
        <xdr:cNvCxnSpPr/>
      </xdr:nvCxnSpPr>
      <xdr:spPr>
        <a:xfrm>
          <a:off x="10572750" y="1554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955</xdr:row>
      <xdr:rowOff>52917</xdr:rowOff>
    </xdr:from>
    <xdr:to>
      <xdr:col>15</xdr:col>
      <xdr:colOff>603250</xdr:colOff>
      <xdr:row>957</xdr:row>
      <xdr:rowOff>148167</xdr:rowOff>
    </xdr:to>
    <xdr:cxnSp macro="">
      <xdr:nvCxnSpPr>
        <xdr:cNvPr id="1078" name="Straight Arrow Connector 1077">
          <a:extLst>
            <a:ext uri="{FF2B5EF4-FFF2-40B4-BE49-F238E27FC236}">
              <a16:creationId xmlns:a16="http://schemas.microsoft.com/office/drawing/2014/main" id="{00000000-0008-0000-1200-000036040000}"/>
            </a:ext>
          </a:extLst>
        </xdr:cNvPr>
        <xdr:cNvCxnSpPr/>
      </xdr:nvCxnSpPr>
      <xdr:spPr>
        <a:xfrm flipV="1">
          <a:off x="10583333"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990</xdr:row>
      <xdr:rowOff>42333</xdr:rowOff>
    </xdr:from>
    <xdr:to>
      <xdr:col>11</xdr:col>
      <xdr:colOff>603250</xdr:colOff>
      <xdr:row>1002</xdr:row>
      <xdr:rowOff>10583</xdr:rowOff>
    </xdr:to>
    <xdr:cxnSp macro="">
      <xdr:nvCxnSpPr>
        <xdr:cNvPr id="1079" name="Straight Arrow Connector 1078">
          <a:extLst>
            <a:ext uri="{FF2B5EF4-FFF2-40B4-BE49-F238E27FC236}">
              <a16:creationId xmlns:a16="http://schemas.microsoft.com/office/drawing/2014/main" id="{00000000-0008-0000-1200-000037040000}"/>
            </a:ext>
          </a:extLst>
        </xdr:cNvPr>
        <xdr:cNvCxnSpPr/>
      </xdr:nvCxnSpPr>
      <xdr:spPr>
        <a:xfrm>
          <a:off x="7598834"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980</xdr:row>
      <xdr:rowOff>21167</xdr:rowOff>
    </xdr:from>
    <xdr:to>
      <xdr:col>13</xdr:col>
      <xdr:colOff>592667</xdr:colOff>
      <xdr:row>982</xdr:row>
      <xdr:rowOff>0</xdr:rowOff>
    </xdr:to>
    <xdr:cxnSp macro="">
      <xdr:nvCxnSpPr>
        <xdr:cNvPr id="1080" name="Straight Arrow Connector 1079">
          <a:extLst>
            <a:ext uri="{FF2B5EF4-FFF2-40B4-BE49-F238E27FC236}">
              <a16:creationId xmlns:a16="http://schemas.microsoft.com/office/drawing/2014/main" id="{00000000-0008-0000-1200-000038040000}"/>
            </a:ext>
          </a:extLst>
        </xdr:cNvPr>
        <xdr:cNvCxnSpPr/>
      </xdr:nvCxnSpPr>
      <xdr:spPr>
        <a:xfrm flipV="1">
          <a:off x="8794750" y="1411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985</xdr:row>
      <xdr:rowOff>21166</xdr:rowOff>
    </xdr:from>
    <xdr:to>
      <xdr:col>13</xdr:col>
      <xdr:colOff>592667</xdr:colOff>
      <xdr:row>986</xdr:row>
      <xdr:rowOff>169334</xdr:rowOff>
    </xdr:to>
    <xdr:cxnSp macro="">
      <xdr:nvCxnSpPr>
        <xdr:cNvPr id="1081" name="Straight Arrow Connector 1080">
          <a:extLst>
            <a:ext uri="{FF2B5EF4-FFF2-40B4-BE49-F238E27FC236}">
              <a16:creationId xmlns:a16="http://schemas.microsoft.com/office/drawing/2014/main" id="{00000000-0008-0000-1200-000039040000}"/>
            </a:ext>
          </a:extLst>
        </xdr:cNvPr>
        <xdr:cNvCxnSpPr/>
      </xdr:nvCxnSpPr>
      <xdr:spPr>
        <a:xfrm>
          <a:off x="8784166" y="1507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1000</xdr:row>
      <xdr:rowOff>21167</xdr:rowOff>
    </xdr:from>
    <xdr:to>
      <xdr:col>13</xdr:col>
      <xdr:colOff>592667</xdr:colOff>
      <xdr:row>1002</xdr:row>
      <xdr:rowOff>63500</xdr:rowOff>
    </xdr:to>
    <xdr:cxnSp macro="">
      <xdr:nvCxnSpPr>
        <xdr:cNvPr id="1082" name="Straight Arrow Connector 1081">
          <a:extLst>
            <a:ext uri="{FF2B5EF4-FFF2-40B4-BE49-F238E27FC236}">
              <a16:creationId xmlns:a16="http://schemas.microsoft.com/office/drawing/2014/main" id="{00000000-0008-0000-1200-00003A040000}"/>
            </a:ext>
          </a:extLst>
        </xdr:cNvPr>
        <xdr:cNvCxnSpPr/>
      </xdr:nvCxnSpPr>
      <xdr:spPr>
        <a:xfrm flipV="1">
          <a:off x="879475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1005</xdr:row>
      <xdr:rowOff>0</xdr:rowOff>
    </xdr:from>
    <xdr:to>
      <xdr:col>14</xdr:col>
      <xdr:colOff>10584</xdr:colOff>
      <xdr:row>1013</xdr:row>
      <xdr:rowOff>148167</xdr:rowOff>
    </xdr:to>
    <xdr:cxnSp macro="">
      <xdr:nvCxnSpPr>
        <xdr:cNvPr id="1083" name="Straight Arrow Connector 1082">
          <a:extLst>
            <a:ext uri="{FF2B5EF4-FFF2-40B4-BE49-F238E27FC236}">
              <a16:creationId xmlns:a16="http://schemas.microsoft.com/office/drawing/2014/main" id="{00000000-0008-0000-1200-00003B040000}"/>
            </a:ext>
          </a:extLst>
        </xdr:cNvPr>
        <xdr:cNvCxnSpPr/>
      </xdr:nvCxnSpPr>
      <xdr:spPr>
        <a:xfrm>
          <a:off x="8805333" y="1905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95250</xdr:rowOff>
    </xdr:from>
    <xdr:to>
      <xdr:col>15</xdr:col>
      <xdr:colOff>582083</xdr:colOff>
      <xdr:row>978</xdr:row>
      <xdr:rowOff>137583</xdr:rowOff>
    </xdr:to>
    <xdr:cxnSp macro="">
      <xdr:nvCxnSpPr>
        <xdr:cNvPr id="1084" name="Straight Arrow Connector 1083">
          <a:extLst>
            <a:ext uri="{FF2B5EF4-FFF2-40B4-BE49-F238E27FC236}">
              <a16:creationId xmlns:a16="http://schemas.microsoft.com/office/drawing/2014/main" id="{00000000-0008-0000-1200-00003C040000}"/>
            </a:ext>
          </a:extLst>
        </xdr:cNvPr>
        <xdr:cNvCxnSpPr/>
      </xdr:nvCxnSpPr>
      <xdr:spPr>
        <a:xfrm>
          <a:off x="10593916"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985</xdr:row>
      <xdr:rowOff>52916</xdr:rowOff>
    </xdr:from>
    <xdr:to>
      <xdr:col>16</xdr:col>
      <xdr:colOff>0</xdr:colOff>
      <xdr:row>987</xdr:row>
      <xdr:rowOff>0</xdr:rowOff>
    </xdr:to>
    <xdr:cxnSp macro="">
      <xdr:nvCxnSpPr>
        <xdr:cNvPr id="1085" name="Straight Arrow Connector 1084">
          <a:extLst>
            <a:ext uri="{FF2B5EF4-FFF2-40B4-BE49-F238E27FC236}">
              <a16:creationId xmlns:a16="http://schemas.microsoft.com/office/drawing/2014/main" id="{00000000-0008-0000-1200-00003D040000}"/>
            </a:ext>
          </a:extLst>
        </xdr:cNvPr>
        <xdr:cNvCxnSpPr/>
      </xdr:nvCxnSpPr>
      <xdr:spPr>
        <a:xfrm flipV="1">
          <a:off x="10541000" y="1510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21167</xdr:rowOff>
    </xdr:from>
    <xdr:to>
      <xdr:col>15</xdr:col>
      <xdr:colOff>592666</xdr:colOff>
      <xdr:row>988</xdr:row>
      <xdr:rowOff>84667</xdr:rowOff>
    </xdr:to>
    <xdr:cxnSp macro="">
      <xdr:nvCxnSpPr>
        <xdr:cNvPr id="1086" name="Straight Arrow Connector 1085">
          <a:extLst>
            <a:ext uri="{FF2B5EF4-FFF2-40B4-BE49-F238E27FC236}">
              <a16:creationId xmlns:a16="http://schemas.microsoft.com/office/drawing/2014/main" id="{00000000-0008-0000-1200-00003E040000}"/>
            </a:ext>
          </a:extLst>
        </xdr:cNvPr>
        <xdr:cNvCxnSpPr/>
      </xdr:nvCxnSpPr>
      <xdr:spPr>
        <a:xfrm>
          <a:off x="10530417"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0</xdr:rowOff>
    </xdr:from>
    <xdr:to>
      <xdr:col>16</xdr:col>
      <xdr:colOff>0</xdr:colOff>
      <xdr:row>991</xdr:row>
      <xdr:rowOff>42334</xdr:rowOff>
    </xdr:to>
    <xdr:cxnSp macro="">
      <xdr:nvCxnSpPr>
        <xdr:cNvPr id="1087" name="Straight Arrow Connector 1086">
          <a:extLst>
            <a:ext uri="{FF2B5EF4-FFF2-40B4-BE49-F238E27FC236}">
              <a16:creationId xmlns:a16="http://schemas.microsoft.com/office/drawing/2014/main" id="{00000000-0008-0000-1200-00003F040000}"/>
            </a:ext>
          </a:extLst>
        </xdr:cNvPr>
        <xdr:cNvCxnSpPr/>
      </xdr:nvCxnSpPr>
      <xdr:spPr>
        <a:xfrm>
          <a:off x="10530417" y="1543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998</xdr:row>
      <xdr:rowOff>0</xdr:rowOff>
    </xdr:from>
    <xdr:to>
      <xdr:col>15</xdr:col>
      <xdr:colOff>603250</xdr:colOff>
      <xdr:row>1000</xdr:row>
      <xdr:rowOff>1</xdr:rowOff>
    </xdr:to>
    <xdr:cxnSp macro="">
      <xdr:nvCxnSpPr>
        <xdr:cNvPr id="1088" name="Straight Arrow Connector 1087">
          <a:extLst>
            <a:ext uri="{FF2B5EF4-FFF2-40B4-BE49-F238E27FC236}">
              <a16:creationId xmlns:a16="http://schemas.microsoft.com/office/drawing/2014/main" id="{00000000-0008-0000-1200-000040040000}"/>
            </a:ext>
          </a:extLst>
        </xdr:cNvPr>
        <xdr:cNvCxnSpPr/>
      </xdr:nvCxnSpPr>
      <xdr:spPr>
        <a:xfrm flipV="1">
          <a:off x="10530417" y="1771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1000</xdr:row>
      <xdr:rowOff>10584</xdr:rowOff>
    </xdr:from>
    <xdr:to>
      <xdr:col>15</xdr:col>
      <xdr:colOff>592666</xdr:colOff>
      <xdr:row>1001</xdr:row>
      <xdr:rowOff>95250</xdr:rowOff>
    </xdr:to>
    <xdr:cxnSp macro="">
      <xdr:nvCxnSpPr>
        <xdr:cNvPr id="1089" name="Straight Arrow Connector 1088">
          <a:extLst>
            <a:ext uri="{FF2B5EF4-FFF2-40B4-BE49-F238E27FC236}">
              <a16:creationId xmlns:a16="http://schemas.microsoft.com/office/drawing/2014/main" id="{00000000-0008-0000-1200-000041040000}"/>
            </a:ext>
          </a:extLst>
        </xdr:cNvPr>
        <xdr:cNvCxnSpPr/>
      </xdr:nvCxnSpPr>
      <xdr:spPr>
        <a:xfrm>
          <a:off x="10572750" y="1810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1000</xdr:row>
      <xdr:rowOff>10584</xdr:rowOff>
    </xdr:from>
    <xdr:to>
      <xdr:col>15</xdr:col>
      <xdr:colOff>560916</xdr:colOff>
      <xdr:row>1004</xdr:row>
      <xdr:rowOff>52917</xdr:rowOff>
    </xdr:to>
    <xdr:cxnSp macro="">
      <xdr:nvCxnSpPr>
        <xdr:cNvPr id="1090" name="Straight Arrow Connector 1089">
          <a:extLst>
            <a:ext uri="{FF2B5EF4-FFF2-40B4-BE49-F238E27FC236}">
              <a16:creationId xmlns:a16="http://schemas.microsoft.com/office/drawing/2014/main" id="{00000000-0008-0000-1200-000042040000}"/>
            </a:ext>
          </a:extLst>
        </xdr:cNvPr>
        <xdr:cNvCxnSpPr/>
      </xdr:nvCxnSpPr>
      <xdr:spPr>
        <a:xfrm>
          <a:off x="10551583"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1091" name="Straight Arrow Connector 1090">
          <a:extLst>
            <a:ext uri="{FF2B5EF4-FFF2-40B4-BE49-F238E27FC236}">
              <a16:creationId xmlns:a16="http://schemas.microsoft.com/office/drawing/2014/main" id="{00000000-0008-0000-1200-000043040000}"/>
            </a:ext>
          </a:extLst>
        </xdr:cNvPr>
        <xdr:cNvCxnSpPr/>
      </xdr:nvCxnSpPr>
      <xdr:spPr>
        <a:xfrm>
          <a:off x="10583333" y="1812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1014</xdr:row>
      <xdr:rowOff>0</xdr:rowOff>
    </xdr:from>
    <xdr:to>
      <xdr:col>16</xdr:col>
      <xdr:colOff>0</xdr:colOff>
      <xdr:row>1014</xdr:row>
      <xdr:rowOff>42334</xdr:rowOff>
    </xdr:to>
    <xdr:cxnSp macro="">
      <xdr:nvCxnSpPr>
        <xdr:cNvPr id="1092" name="Straight Arrow Connector 1091">
          <a:extLst>
            <a:ext uri="{FF2B5EF4-FFF2-40B4-BE49-F238E27FC236}">
              <a16:creationId xmlns:a16="http://schemas.microsoft.com/office/drawing/2014/main" id="{00000000-0008-0000-1200-000044040000}"/>
            </a:ext>
          </a:extLst>
        </xdr:cNvPr>
        <xdr:cNvCxnSpPr/>
      </xdr:nvCxnSpPr>
      <xdr:spPr>
        <a:xfrm>
          <a:off x="10562166" y="2076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1014</xdr:row>
      <xdr:rowOff>21166</xdr:rowOff>
    </xdr:from>
    <xdr:to>
      <xdr:col>15</xdr:col>
      <xdr:colOff>560916</xdr:colOff>
      <xdr:row>1017</xdr:row>
      <xdr:rowOff>84667</xdr:rowOff>
    </xdr:to>
    <xdr:cxnSp macro="">
      <xdr:nvCxnSpPr>
        <xdr:cNvPr id="1093" name="Straight Arrow Connector 1092">
          <a:extLst>
            <a:ext uri="{FF2B5EF4-FFF2-40B4-BE49-F238E27FC236}">
              <a16:creationId xmlns:a16="http://schemas.microsoft.com/office/drawing/2014/main" id="{00000000-0008-0000-1200-000045040000}"/>
            </a:ext>
          </a:extLst>
        </xdr:cNvPr>
        <xdr:cNvCxnSpPr/>
      </xdr:nvCxnSpPr>
      <xdr:spPr>
        <a:xfrm>
          <a:off x="10615083"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1014</xdr:row>
      <xdr:rowOff>52916</xdr:rowOff>
    </xdr:from>
    <xdr:to>
      <xdr:col>15</xdr:col>
      <xdr:colOff>592666</xdr:colOff>
      <xdr:row>1020</xdr:row>
      <xdr:rowOff>63501</xdr:rowOff>
    </xdr:to>
    <xdr:cxnSp macro="">
      <xdr:nvCxnSpPr>
        <xdr:cNvPr id="1094" name="Straight Arrow Connector 1093">
          <a:extLst>
            <a:ext uri="{FF2B5EF4-FFF2-40B4-BE49-F238E27FC236}">
              <a16:creationId xmlns:a16="http://schemas.microsoft.com/office/drawing/2014/main" id="{00000000-0008-0000-1200-000046040000}"/>
            </a:ext>
          </a:extLst>
        </xdr:cNvPr>
        <xdr:cNvCxnSpPr/>
      </xdr:nvCxnSpPr>
      <xdr:spPr>
        <a:xfrm>
          <a:off x="10572750"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1011</xdr:row>
      <xdr:rowOff>52917</xdr:rowOff>
    </xdr:from>
    <xdr:to>
      <xdr:col>15</xdr:col>
      <xdr:colOff>603250</xdr:colOff>
      <xdr:row>1013</xdr:row>
      <xdr:rowOff>148167</xdr:rowOff>
    </xdr:to>
    <xdr:cxnSp macro="">
      <xdr:nvCxnSpPr>
        <xdr:cNvPr id="1095" name="Straight Arrow Connector 1094">
          <a:extLst>
            <a:ext uri="{FF2B5EF4-FFF2-40B4-BE49-F238E27FC236}">
              <a16:creationId xmlns:a16="http://schemas.microsoft.com/office/drawing/2014/main" id="{00000000-0008-0000-1200-000047040000}"/>
            </a:ext>
          </a:extLst>
        </xdr:cNvPr>
        <xdr:cNvCxnSpPr/>
      </xdr:nvCxnSpPr>
      <xdr:spPr>
        <a:xfrm flipV="1">
          <a:off x="10583333"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1055</xdr:row>
      <xdr:rowOff>95250</xdr:rowOff>
    </xdr:from>
    <xdr:to>
      <xdr:col>8</xdr:col>
      <xdr:colOff>21167</xdr:colOff>
      <xdr:row>1087</xdr:row>
      <xdr:rowOff>148166</xdr:rowOff>
    </xdr:to>
    <xdr:cxnSp macro="">
      <xdr:nvCxnSpPr>
        <xdr:cNvPr id="1096" name="Straight Arrow Connector 1095">
          <a:extLst>
            <a:ext uri="{FF2B5EF4-FFF2-40B4-BE49-F238E27FC236}">
              <a16:creationId xmlns:a16="http://schemas.microsoft.com/office/drawing/2014/main" id="{00000000-0008-0000-1200-000048040000}"/>
            </a:ext>
          </a:extLst>
        </xdr:cNvPr>
        <xdr:cNvCxnSpPr/>
      </xdr:nvCxnSpPr>
      <xdr:spPr>
        <a:xfrm>
          <a:off x="5080000" y="28860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1026</xdr:row>
      <xdr:rowOff>137583</xdr:rowOff>
    </xdr:from>
    <xdr:to>
      <xdr:col>9</xdr:col>
      <xdr:colOff>603250</xdr:colOff>
      <xdr:row>1032</xdr:row>
      <xdr:rowOff>21166</xdr:rowOff>
    </xdr:to>
    <xdr:cxnSp macro="">
      <xdr:nvCxnSpPr>
        <xdr:cNvPr id="1097" name="Straight Arrow Connector 1096">
          <a:extLst>
            <a:ext uri="{FF2B5EF4-FFF2-40B4-BE49-F238E27FC236}">
              <a16:creationId xmlns:a16="http://schemas.microsoft.com/office/drawing/2014/main" id="{00000000-0008-0000-1200-000049040000}"/>
            </a:ext>
          </a:extLst>
        </xdr:cNvPr>
        <xdr:cNvCxnSpPr/>
      </xdr:nvCxnSpPr>
      <xdr:spPr>
        <a:xfrm flipV="1">
          <a:off x="6381750"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1035</xdr:row>
      <xdr:rowOff>0</xdr:rowOff>
    </xdr:from>
    <xdr:to>
      <xdr:col>9</xdr:col>
      <xdr:colOff>582083</xdr:colOff>
      <xdr:row>1043</xdr:row>
      <xdr:rowOff>10583</xdr:rowOff>
    </xdr:to>
    <xdr:cxnSp macro="">
      <xdr:nvCxnSpPr>
        <xdr:cNvPr id="1098" name="Straight Arrow Connector 1097">
          <a:extLst>
            <a:ext uri="{FF2B5EF4-FFF2-40B4-BE49-F238E27FC236}">
              <a16:creationId xmlns:a16="http://schemas.microsoft.com/office/drawing/2014/main" id="{00000000-0008-0000-1200-00004A040000}"/>
            </a:ext>
          </a:extLst>
        </xdr:cNvPr>
        <xdr:cNvCxnSpPr/>
      </xdr:nvCxnSpPr>
      <xdr:spPr>
        <a:xfrm>
          <a:off x="6413500"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1099" name="Straight Arrow Connector 1098">
          <a:extLst>
            <a:ext uri="{FF2B5EF4-FFF2-40B4-BE49-F238E27FC236}">
              <a16:creationId xmlns:a16="http://schemas.microsoft.com/office/drawing/2014/main" id="{00000000-0008-0000-1200-00004B040000}"/>
            </a:ext>
          </a:extLst>
        </xdr:cNvPr>
        <xdr:cNvCxnSpPr/>
      </xdr:nvCxnSpPr>
      <xdr:spPr>
        <a:xfrm flipV="1">
          <a:off x="7609417"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1100" name="Straight Arrow Connector 1099">
          <a:extLst>
            <a:ext uri="{FF2B5EF4-FFF2-40B4-BE49-F238E27FC236}">
              <a16:creationId xmlns:a16="http://schemas.microsoft.com/office/drawing/2014/main" id="{00000000-0008-0000-1200-00004C040000}"/>
            </a:ext>
          </a:extLst>
        </xdr:cNvPr>
        <xdr:cNvCxnSpPr/>
      </xdr:nvCxnSpPr>
      <xdr:spPr>
        <a:xfrm>
          <a:off x="7598834"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1101" name="Straight Arrow Connector 1100">
          <a:extLst>
            <a:ext uri="{FF2B5EF4-FFF2-40B4-BE49-F238E27FC236}">
              <a16:creationId xmlns:a16="http://schemas.microsoft.com/office/drawing/2014/main" id="{00000000-0008-0000-1200-00004D040000}"/>
            </a:ext>
          </a:extLst>
        </xdr:cNvPr>
        <xdr:cNvCxnSpPr/>
      </xdr:nvCxnSpPr>
      <xdr:spPr>
        <a:xfrm flipV="1">
          <a:off x="8794750" y="24976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1102" name="Straight Arrow Connector 1101">
          <a:extLst>
            <a:ext uri="{FF2B5EF4-FFF2-40B4-BE49-F238E27FC236}">
              <a16:creationId xmlns:a16="http://schemas.microsoft.com/office/drawing/2014/main" id="{00000000-0008-0000-1200-00004E040000}"/>
            </a:ext>
          </a:extLst>
        </xdr:cNvPr>
        <xdr:cNvCxnSpPr/>
      </xdr:nvCxnSpPr>
      <xdr:spPr>
        <a:xfrm>
          <a:off x="8784166" y="25929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1103" name="Straight Arrow Connector 1102">
          <a:extLst>
            <a:ext uri="{FF2B5EF4-FFF2-40B4-BE49-F238E27FC236}">
              <a16:creationId xmlns:a16="http://schemas.microsoft.com/office/drawing/2014/main" id="{00000000-0008-0000-1200-00004F040000}"/>
            </a:ext>
          </a:extLst>
        </xdr:cNvPr>
        <xdr:cNvCxnSpPr/>
      </xdr:nvCxnSpPr>
      <xdr:spPr>
        <a:xfrm flipV="1">
          <a:off x="879475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1104" name="Straight Arrow Connector 1103">
          <a:extLst>
            <a:ext uri="{FF2B5EF4-FFF2-40B4-BE49-F238E27FC236}">
              <a16:creationId xmlns:a16="http://schemas.microsoft.com/office/drawing/2014/main" id="{00000000-0008-0000-1200-000050040000}"/>
            </a:ext>
          </a:extLst>
        </xdr:cNvPr>
        <xdr:cNvCxnSpPr/>
      </xdr:nvCxnSpPr>
      <xdr:spPr>
        <a:xfrm>
          <a:off x="8805333" y="29908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1028</xdr:row>
      <xdr:rowOff>0</xdr:rowOff>
    </xdr:from>
    <xdr:to>
      <xdr:col>15</xdr:col>
      <xdr:colOff>603250</xdr:colOff>
      <xdr:row>1033</xdr:row>
      <xdr:rowOff>31750</xdr:rowOff>
    </xdr:to>
    <xdr:cxnSp macro="">
      <xdr:nvCxnSpPr>
        <xdr:cNvPr id="1105" name="Straight Arrow Connector 1104">
          <a:extLst>
            <a:ext uri="{FF2B5EF4-FFF2-40B4-BE49-F238E27FC236}">
              <a16:creationId xmlns:a16="http://schemas.microsoft.com/office/drawing/2014/main" id="{00000000-0008-0000-1200-000051040000}"/>
            </a:ext>
          </a:extLst>
        </xdr:cNvPr>
        <xdr:cNvCxnSpPr/>
      </xdr:nvCxnSpPr>
      <xdr:spPr>
        <a:xfrm flipV="1">
          <a:off x="10541000"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1106" name="Straight Arrow Connector 1105">
          <a:extLst>
            <a:ext uri="{FF2B5EF4-FFF2-40B4-BE49-F238E27FC236}">
              <a16:creationId xmlns:a16="http://schemas.microsoft.com/office/drawing/2014/main" id="{00000000-0008-0000-1200-000052040000}"/>
            </a:ext>
          </a:extLst>
        </xdr:cNvPr>
        <xdr:cNvCxnSpPr/>
      </xdr:nvCxnSpPr>
      <xdr:spPr>
        <a:xfrm flipV="1">
          <a:off x="10583333"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1107" name="Straight Arrow Connector 1106">
          <a:extLst>
            <a:ext uri="{FF2B5EF4-FFF2-40B4-BE49-F238E27FC236}">
              <a16:creationId xmlns:a16="http://schemas.microsoft.com/office/drawing/2014/main" id="{00000000-0008-0000-1200-000053040000}"/>
            </a:ext>
          </a:extLst>
        </xdr:cNvPr>
        <xdr:cNvCxnSpPr/>
      </xdr:nvCxnSpPr>
      <xdr:spPr>
        <a:xfrm>
          <a:off x="10604500"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1108" name="Straight Arrow Connector 1107">
          <a:extLst>
            <a:ext uri="{FF2B5EF4-FFF2-40B4-BE49-F238E27FC236}">
              <a16:creationId xmlns:a16="http://schemas.microsoft.com/office/drawing/2014/main" id="{00000000-0008-0000-1200-000054040000}"/>
            </a:ext>
          </a:extLst>
        </xdr:cNvPr>
        <xdr:cNvCxnSpPr/>
      </xdr:nvCxnSpPr>
      <xdr:spPr>
        <a:xfrm>
          <a:off x="10519834" y="24489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1041</xdr:row>
      <xdr:rowOff>52916</xdr:rowOff>
    </xdr:from>
    <xdr:to>
      <xdr:col>16</xdr:col>
      <xdr:colOff>0</xdr:colOff>
      <xdr:row>1043</xdr:row>
      <xdr:rowOff>0</xdr:rowOff>
    </xdr:to>
    <xdr:cxnSp macro="">
      <xdr:nvCxnSpPr>
        <xdr:cNvPr id="1109" name="Straight Arrow Connector 1108">
          <a:extLst>
            <a:ext uri="{FF2B5EF4-FFF2-40B4-BE49-F238E27FC236}">
              <a16:creationId xmlns:a16="http://schemas.microsoft.com/office/drawing/2014/main" id="{00000000-0008-0000-1200-000055040000}"/>
            </a:ext>
          </a:extLst>
        </xdr:cNvPr>
        <xdr:cNvCxnSpPr/>
      </xdr:nvCxnSpPr>
      <xdr:spPr>
        <a:xfrm flipV="1">
          <a:off x="10541000" y="25960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1110" name="Straight Arrow Connector 1109">
          <a:extLst>
            <a:ext uri="{FF2B5EF4-FFF2-40B4-BE49-F238E27FC236}">
              <a16:creationId xmlns:a16="http://schemas.microsoft.com/office/drawing/2014/main" id="{00000000-0008-0000-1200-000056040000}"/>
            </a:ext>
          </a:extLst>
        </xdr:cNvPr>
        <xdr:cNvCxnSpPr/>
      </xdr:nvCxnSpPr>
      <xdr:spPr>
        <a:xfrm>
          <a:off x="10551583"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1111" name="Straight Arrow Connector 1110">
          <a:extLst>
            <a:ext uri="{FF2B5EF4-FFF2-40B4-BE49-F238E27FC236}">
              <a16:creationId xmlns:a16="http://schemas.microsoft.com/office/drawing/2014/main" id="{00000000-0008-0000-1200-000057040000}"/>
            </a:ext>
          </a:extLst>
        </xdr:cNvPr>
        <xdr:cNvCxnSpPr/>
      </xdr:nvCxnSpPr>
      <xdr:spPr>
        <a:xfrm>
          <a:off x="10530417" y="26310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1112" name="Straight Arrow Connector 1111">
          <a:extLst>
            <a:ext uri="{FF2B5EF4-FFF2-40B4-BE49-F238E27FC236}">
              <a16:creationId xmlns:a16="http://schemas.microsoft.com/office/drawing/2014/main" id="{00000000-0008-0000-1200-000058040000}"/>
            </a:ext>
          </a:extLst>
        </xdr:cNvPr>
        <xdr:cNvCxnSpPr/>
      </xdr:nvCxnSpPr>
      <xdr:spPr>
        <a:xfrm>
          <a:off x="10541000" y="26320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1080</xdr:row>
      <xdr:rowOff>42333</xdr:rowOff>
    </xdr:from>
    <xdr:to>
      <xdr:col>9</xdr:col>
      <xdr:colOff>592666</xdr:colOff>
      <xdr:row>1088</xdr:row>
      <xdr:rowOff>42333</xdr:rowOff>
    </xdr:to>
    <xdr:cxnSp macro="">
      <xdr:nvCxnSpPr>
        <xdr:cNvPr id="1113" name="Straight Arrow Connector 1112">
          <a:extLst>
            <a:ext uri="{FF2B5EF4-FFF2-40B4-BE49-F238E27FC236}">
              <a16:creationId xmlns:a16="http://schemas.microsoft.com/office/drawing/2014/main" id="{00000000-0008-0000-1200-000059040000}"/>
            </a:ext>
          </a:extLst>
        </xdr:cNvPr>
        <xdr:cNvCxnSpPr/>
      </xdr:nvCxnSpPr>
      <xdr:spPr>
        <a:xfrm flipV="1">
          <a:off x="6392333"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1090</xdr:row>
      <xdr:rowOff>169334</xdr:rowOff>
    </xdr:from>
    <xdr:to>
      <xdr:col>9</xdr:col>
      <xdr:colOff>603250</xdr:colOff>
      <xdr:row>1099</xdr:row>
      <xdr:rowOff>31750</xdr:rowOff>
    </xdr:to>
    <xdr:cxnSp macro="">
      <xdr:nvCxnSpPr>
        <xdr:cNvPr id="1114" name="Straight Arrow Connector 1113">
          <a:extLst>
            <a:ext uri="{FF2B5EF4-FFF2-40B4-BE49-F238E27FC236}">
              <a16:creationId xmlns:a16="http://schemas.microsoft.com/office/drawing/2014/main" id="{00000000-0008-0000-1200-00005A040000}"/>
            </a:ext>
          </a:extLst>
        </xdr:cNvPr>
        <xdr:cNvCxnSpPr/>
      </xdr:nvCxnSpPr>
      <xdr:spPr>
        <a:xfrm>
          <a:off x="6413500"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1115" name="Straight Arrow Connector 1114">
          <a:extLst>
            <a:ext uri="{FF2B5EF4-FFF2-40B4-BE49-F238E27FC236}">
              <a16:creationId xmlns:a16="http://schemas.microsoft.com/office/drawing/2014/main" id="{00000000-0008-0000-1200-00005B040000}"/>
            </a:ext>
          </a:extLst>
        </xdr:cNvPr>
        <xdr:cNvCxnSpPr/>
      </xdr:nvCxnSpPr>
      <xdr:spPr>
        <a:xfrm flipV="1">
          <a:off x="7556500" y="36734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1116" name="Straight Arrow Connector 1115">
          <a:extLst>
            <a:ext uri="{FF2B5EF4-FFF2-40B4-BE49-F238E27FC236}">
              <a16:creationId xmlns:a16="http://schemas.microsoft.com/office/drawing/2014/main" id="{00000000-0008-0000-1200-00005C040000}"/>
            </a:ext>
          </a:extLst>
        </xdr:cNvPr>
        <xdr:cNvCxnSpPr/>
      </xdr:nvCxnSpPr>
      <xdr:spPr>
        <a:xfrm flipV="1">
          <a:off x="10530417"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1117" name="Straight Arrow Connector 1116">
          <a:extLst>
            <a:ext uri="{FF2B5EF4-FFF2-40B4-BE49-F238E27FC236}">
              <a16:creationId xmlns:a16="http://schemas.microsoft.com/office/drawing/2014/main" id="{00000000-0008-0000-1200-00005D040000}"/>
            </a:ext>
          </a:extLst>
        </xdr:cNvPr>
        <xdr:cNvCxnSpPr/>
      </xdr:nvCxnSpPr>
      <xdr:spPr>
        <a:xfrm>
          <a:off x="10572750"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1118" name="Straight Arrow Connector 1117">
          <a:extLst>
            <a:ext uri="{FF2B5EF4-FFF2-40B4-BE49-F238E27FC236}">
              <a16:creationId xmlns:a16="http://schemas.microsoft.com/office/drawing/2014/main" id="{00000000-0008-0000-1200-00005E040000}"/>
            </a:ext>
          </a:extLst>
        </xdr:cNvPr>
        <xdr:cNvCxnSpPr/>
      </xdr:nvCxnSpPr>
      <xdr:spPr>
        <a:xfrm>
          <a:off x="10551583"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1119" name="Straight Arrow Connector 1118">
          <a:extLst>
            <a:ext uri="{FF2B5EF4-FFF2-40B4-BE49-F238E27FC236}">
              <a16:creationId xmlns:a16="http://schemas.microsoft.com/office/drawing/2014/main" id="{00000000-0008-0000-1200-00005F040000}"/>
            </a:ext>
          </a:extLst>
        </xdr:cNvPr>
        <xdr:cNvCxnSpPr/>
      </xdr:nvCxnSpPr>
      <xdr:spPr>
        <a:xfrm>
          <a:off x="10583333" y="28987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1120" name="Straight Arrow Connector 1119">
          <a:extLst>
            <a:ext uri="{FF2B5EF4-FFF2-40B4-BE49-F238E27FC236}">
              <a16:creationId xmlns:a16="http://schemas.microsoft.com/office/drawing/2014/main" id="{00000000-0008-0000-1200-000060040000}"/>
            </a:ext>
          </a:extLst>
        </xdr:cNvPr>
        <xdr:cNvCxnSpPr/>
      </xdr:nvCxnSpPr>
      <xdr:spPr>
        <a:xfrm>
          <a:off x="10562166" y="31623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1121" name="Straight Arrow Connector 1120">
          <a:extLst>
            <a:ext uri="{FF2B5EF4-FFF2-40B4-BE49-F238E27FC236}">
              <a16:creationId xmlns:a16="http://schemas.microsoft.com/office/drawing/2014/main" id="{00000000-0008-0000-1200-000061040000}"/>
            </a:ext>
          </a:extLst>
        </xdr:cNvPr>
        <xdr:cNvCxnSpPr/>
      </xdr:nvCxnSpPr>
      <xdr:spPr>
        <a:xfrm>
          <a:off x="10615083"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1122" name="Straight Arrow Connector 1121">
          <a:extLst>
            <a:ext uri="{FF2B5EF4-FFF2-40B4-BE49-F238E27FC236}">
              <a16:creationId xmlns:a16="http://schemas.microsoft.com/office/drawing/2014/main" id="{00000000-0008-0000-1200-000062040000}"/>
            </a:ext>
          </a:extLst>
        </xdr:cNvPr>
        <xdr:cNvCxnSpPr/>
      </xdr:nvCxnSpPr>
      <xdr:spPr>
        <a:xfrm>
          <a:off x="10572750"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1123" name="Straight Arrow Connector 1122">
          <a:extLst>
            <a:ext uri="{FF2B5EF4-FFF2-40B4-BE49-F238E27FC236}">
              <a16:creationId xmlns:a16="http://schemas.microsoft.com/office/drawing/2014/main" id="{00000000-0008-0000-1200-000063040000}"/>
            </a:ext>
          </a:extLst>
        </xdr:cNvPr>
        <xdr:cNvCxnSpPr/>
      </xdr:nvCxnSpPr>
      <xdr:spPr>
        <a:xfrm flipV="1">
          <a:off x="10562166"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1124" name="Straight Arrow Connector 1123">
          <a:extLst>
            <a:ext uri="{FF2B5EF4-FFF2-40B4-BE49-F238E27FC236}">
              <a16:creationId xmlns:a16="http://schemas.microsoft.com/office/drawing/2014/main" id="{00000000-0008-0000-1200-000064040000}"/>
            </a:ext>
          </a:extLst>
        </xdr:cNvPr>
        <xdr:cNvCxnSpPr/>
      </xdr:nvCxnSpPr>
      <xdr:spPr>
        <a:xfrm flipV="1">
          <a:off x="10604500"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1125" name="Straight Arrow Connector 1124">
          <a:extLst>
            <a:ext uri="{FF2B5EF4-FFF2-40B4-BE49-F238E27FC236}">
              <a16:creationId xmlns:a16="http://schemas.microsoft.com/office/drawing/2014/main" id="{00000000-0008-0000-1200-000065040000}"/>
            </a:ext>
          </a:extLst>
        </xdr:cNvPr>
        <xdr:cNvCxnSpPr/>
      </xdr:nvCxnSpPr>
      <xdr:spPr>
        <a:xfrm>
          <a:off x="10593916"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1126" name="Straight Arrow Connector 1125">
          <a:extLst>
            <a:ext uri="{FF2B5EF4-FFF2-40B4-BE49-F238E27FC236}">
              <a16:creationId xmlns:a16="http://schemas.microsoft.com/office/drawing/2014/main" id="{00000000-0008-0000-1200-000066040000}"/>
            </a:ext>
          </a:extLst>
        </xdr:cNvPr>
        <xdr:cNvCxnSpPr/>
      </xdr:nvCxnSpPr>
      <xdr:spPr>
        <a:xfrm>
          <a:off x="10572750" y="37263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1127" name="Straight Arrow Connector 1126">
          <a:extLst>
            <a:ext uri="{FF2B5EF4-FFF2-40B4-BE49-F238E27FC236}">
              <a16:creationId xmlns:a16="http://schemas.microsoft.com/office/drawing/2014/main" id="{00000000-0008-0000-1200-000067040000}"/>
            </a:ext>
          </a:extLst>
        </xdr:cNvPr>
        <xdr:cNvCxnSpPr/>
      </xdr:nvCxnSpPr>
      <xdr:spPr>
        <a:xfrm flipV="1">
          <a:off x="10583333"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1128" name="Straight Arrow Connector 1127">
          <a:extLst>
            <a:ext uri="{FF2B5EF4-FFF2-40B4-BE49-F238E27FC236}">
              <a16:creationId xmlns:a16="http://schemas.microsoft.com/office/drawing/2014/main" id="{00000000-0008-0000-1200-000068040000}"/>
            </a:ext>
          </a:extLst>
        </xdr:cNvPr>
        <xdr:cNvCxnSpPr/>
      </xdr:nvCxnSpPr>
      <xdr:spPr>
        <a:xfrm>
          <a:off x="7598834"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1129" name="Straight Arrow Connector 1128">
          <a:extLst>
            <a:ext uri="{FF2B5EF4-FFF2-40B4-BE49-F238E27FC236}">
              <a16:creationId xmlns:a16="http://schemas.microsoft.com/office/drawing/2014/main" id="{00000000-0008-0000-1200-000069040000}"/>
            </a:ext>
          </a:extLst>
        </xdr:cNvPr>
        <xdr:cNvCxnSpPr/>
      </xdr:nvCxnSpPr>
      <xdr:spPr>
        <a:xfrm flipV="1">
          <a:off x="8794750" y="35835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1130" name="Straight Arrow Connector 1129">
          <a:extLst>
            <a:ext uri="{FF2B5EF4-FFF2-40B4-BE49-F238E27FC236}">
              <a16:creationId xmlns:a16="http://schemas.microsoft.com/office/drawing/2014/main" id="{00000000-0008-0000-1200-00006A040000}"/>
            </a:ext>
          </a:extLst>
        </xdr:cNvPr>
        <xdr:cNvCxnSpPr/>
      </xdr:nvCxnSpPr>
      <xdr:spPr>
        <a:xfrm>
          <a:off x="8784166" y="36787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1131" name="Straight Arrow Connector 1130">
          <a:extLst>
            <a:ext uri="{FF2B5EF4-FFF2-40B4-BE49-F238E27FC236}">
              <a16:creationId xmlns:a16="http://schemas.microsoft.com/office/drawing/2014/main" id="{00000000-0008-0000-1200-00006B040000}"/>
            </a:ext>
          </a:extLst>
        </xdr:cNvPr>
        <xdr:cNvCxnSpPr/>
      </xdr:nvCxnSpPr>
      <xdr:spPr>
        <a:xfrm flipV="1">
          <a:off x="879475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1132" name="Straight Arrow Connector 1131">
          <a:extLst>
            <a:ext uri="{FF2B5EF4-FFF2-40B4-BE49-F238E27FC236}">
              <a16:creationId xmlns:a16="http://schemas.microsoft.com/office/drawing/2014/main" id="{00000000-0008-0000-1200-00006C040000}"/>
            </a:ext>
          </a:extLst>
        </xdr:cNvPr>
        <xdr:cNvCxnSpPr/>
      </xdr:nvCxnSpPr>
      <xdr:spPr>
        <a:xfrm>
          <a:off x="8805333" y="40767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1133" name="Straight Arrow Connector 1132">
          <a:extLst>
            <a:ext uri="{FF2B5EF4-FFF2-40B4-BE49-F238E27FC236}">
              <a16:creationId xmlns:a16="http://schemas.microsoft.com/office/drawing/2014/main" id="{00000000-0008-0000-1200-00006D040000}"/>
            </a:ext>
          </a:extLst>
        </xdr:cNvPr>
        <xdr:cNvCxnSpPr/>
      </xdr:nvCxnSpPr>
      <xdr:spPr>
        <a:xfrm>
          <a:off x="10593916"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1097</xdr:row>
      <xdr:rowOff>52916</xdr:rowOff>
    </xdr:from>
    <xdr:to>
      <xdr:col>16</xdr:col>
      <xdr:colOff>0</xdr:colOff>
      <xdr:row>1099</xdr:row>
      <xdr:rowOff>0</xdr:rowOff>
    </xdr:to>
    <xdr:cxnSp macro="">
      <xdr:nvCxnSpPr>
        <xdr:cNvPr id="1134" name="Straight Arrow Connector 1133">
          <a:extLst>
            <a:ext uri="{FF2B5EF4-FFF2-40B4-BE49-F238E27FC236}">
              <a16:creationId xmlns:a16="http://schemas.microsoft.com/office/drawing/2014/main" id="{00000000-0008-0000-1200-00006E040000}"/>
            </a:ext>
          </a:extLst>
        </xdr:cNvPr>
        <xdr:cNvCxnSpPr/>
      </xdr:nvCxnSpPr>
      <xdr:spPr>
        <a:xfrm flipV="1">
          <a:off x="10541000" y="36819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1135" name="Straight Arrow Connector 1134">
          <a:extLst>
            <a:ext uri="{FF2B5EF4-FFF2-40B4-BE49-F238E27FC236}">
              <a16:creationId xmlns:a16="http://schemas.microsoft.com/office/drawing/2014/main" id="{00000000-0008-0000-1200-00006F040000}"/>
            </a:ext>
          </a:extLst>
        </xdr:cNvPr>
        <xdr:cNvCxnSpPr/>
      </xdr:nvCxnSpPr>
      <xdr:spPr>
        <a:xfrm>
          <a:off x="10530417"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1136" name="Straight Arrow Connector 1135">
          <a:extLst>
            <a:ext uri="{FF2B5EF4-FFF2-40B4-BE49-F238E27FC236}">
              <a16:creationId xmlns:a16="http://schemas.microsoft.com/office/drawing/2014/main" id="{00000000-0008-0000-1200-000070040000}"/>
            </a:ext>
          </a:extLst>
        </xdr:cNvPr>
        <xdr:cNvCxnSpPr/>
      </xdr:nvCxnSpPr>
      <xdr:spPr>
        <a:xfrm>
          <a:off x="10530417" y="37147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1137" name="Straight Arrow Connector 1136">
          <a:extLst>
            <a:ext uri="{FF2B5EF4-FFF2-40B4-BE49-F238E27FC236}">
              <a16:creationId xmlns:a16="http://schemas.microsoft.com/office/drawing/2014/main" id="{00000000-0008-0000-1200-000071040000}"/>
            </a:ext>
          </a:extLst>
        </xdr:cNvPr>
        <xdr:cNvCxnSpPr/>
      </xdr:nvCxnSpPr>
      <xdr:spPr>
        <a:xfrm flipV="1">
          <a:off x="10530417"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1138" name="Straight Arrow Connector 1137">
          <a:extLst>
            <a:ext uri="{FF2B5EF4-FFF2-40B4-BE49-F238E27FC236}">
              <a16:creationId xmlns:a16="http://schemas.microsoft.com/office/drawing/2014/main" id="{00000000-0008-0000-1200-000072040000}"/>
            </a:ext>
          </a:extLst>
        </xdr:cNvPr>
        <xdr:cNvCxnSpPr/>
      </xdr:nvCxnSpPr>
      <xdr:spPr>
        <a:xfrm>
          <a:off x="10572750"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1139" name="Straight Arrow Connector 1138">
          <a:extLst>
            <a:ext uri="{FF2B5EF4-FFF2-40B4-BE49-F238E27FC236}">
              <a16:creationId xmlns:a16="http://schemas.microsoft.com/office/drawing/2014/main" id="{00000000-0008-0000-1200-000073040000}"/>
            </a:ext>
          </a:extLst>
        </xdr:cNvPr>
        <xdr:cNvCxnSpPr/>
      </xdr:nvCxnSpPr>
      <xdr:spPr>
        <a:xfrm>
          <a:off x="10551583"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1140" name="Straight Arrow Connector 1139">
          <a:extLst>
            <a:ext uri="{FF2B5EF4-FFF2-40B4-BE49-F238E27FC236}">
              <a16:creationId xmlns:a16="http://schemas.microsoft.com/office/drawing/2014/main" id="{00000000-0008-0000-1200-000074040000}"/>
            </a:ext>
          </a:extLst>
        </xdr:cNvPr>
        <xdr:cNvCxnSpPr/>
      </xdr:nvCxnSpPr>
      <xdr:spPr>
        <a:xfrm>
          <a:off x="10583333" y="39846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1141" name="Straight Arrow Connector 1140">
          <a:extLst>
            <a:ext uri="{FF2B5EF4-FFF2-40B4-BE49-F238E27FC236}">
              <a16:creationId xmlns:a16="http://schemas.microsoft.com/office/drawing/2014/main" id="{00000000-0008-0000-1200-000075040000}"/>
            </a:ext>
          </a:extLst>
        </xdr:cNvPr>
        <xdr:cNvCxnSpPr/>
      </xdr:nvCxnSpPr>
      <xdr:spPr>
        <a:xfrm>
          <a:off x="10562166" y="42481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1142" name="Straight Arrow Connector 1141">
          <a:extLst>
            <a:ext uri="{FF2B5EF4-FFF2-40B4-BE49-F238E27FC236}">
              <a16:creationId xmlns:a16="http://schemas.microsoft.com/office/drawing/2014/main" id="{00000000-0008-0000-1200-000076040000}"/>
            </a:ext>
          </a:extLst>
        </xdr:cNvPr>
        <xdr:cNvCxnSpPr/>
      </xdr:nvCxnSpPr>
      <xdr:spPr>
        <a:xfrm>
          <a:off x="10615083"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1143" name="Straight Arrow Connector 1142">
          <a:extLst>
            <a:ext uri="{FF2B5EF4-FFF2-40B4-BE49-F238E27FC236}">
              <a16:creationId xmlns:a16="http://schemas.microsoft.com/office/drawing/2014/main" id="{00000000-0008-0000-1200-000077040000}"/>
            </a:ext>
          </a:extLst>
        </xdr:cNvPr>
        <xdr:cNvCxnSpPr/>
      </xdr:nvCxnSpPr>
      <xdr:spPr>
        <a:xfrm>
          <a:off x="10572750"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1144" name="Straight Arrow Connector 1143">
          <a:extLst>
            <a:ext uri="{FF2B5EF4-FFF2-40B4-BE49-F238E27FC236}">
              <a16:creationId xmlns:a16="http://schemas.microsoft.com/office/drawing/2014/main" id="{00000000-0008-0000-1200-000078040000}"/>
            </a:ext>
          </a:extLst>
        </xdr:cNvPr>
        <xdr:cNvCxnSpPr/>
      </xdr:nvCxnSpPr>
      <xdr:spPr>
        <a:xfrm flipV="1">
          <a:off x="10583333"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1034</xdr:row>
      <xdr:rowOff>127000</xdr:rowOff>
    </xdr:from>
    <xdr:to>
      <xdr:col>8</xdr:col>
      <xdr:colOff>63500</xdr:colOff>
      <xdr:row>1053</xdr:row>
      <xdr:rowOff>0</xdr:rowOff>
    </xdr:to>
    <xdr:cxnSp macro="">
      <xdr:nvCxnSpPr>
        <xdr:cNvPr id="1145" name="Straight Arrow Connector 1144">
          <a:extLst>
            <a:ext uri="{FF2B5EF4-FFF2-40B4-BE49-F238E27FC236}">
              <a16:creationId xmlns:a16="http://schemas.microsoft.com/office/drawing/2014/main" id="{00000000-0008-0000-1200-000079040000}"/>
            </a:ext>
          </a:extLst>
        </xdr:cNvPr>
        <xdr:cNvCxnSpPr/>
      </xdr:nvCxnSpPr>
      <xdr:spPr>
        <a:xfrm flipV="1">
          <a:off x="5207000" y="24701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1171</xdr:row>
      <xdr:rowOff>1</xdr:rowOff>
    </xdr:from>
    <xdr:to>
      <xdr:col>6</xdr:col>
      <xdr:colOff>0</xdr:colOff>
      <xdr:row>1205</xdr:row>
      <xdr:rowOff>116417</xdr:rowOff>
    </xdr:to>
    <xdr:cxnSp macro="">
      <xdr:nvCxnSpPr>
        <xdr:cNvPr id="1146" name="Straight Arrow Connector 1145">
          <a:extLst>
            <a:ext uri="{FF2B5EF4-FFF2-40B4-BE49-F238E27FC236}">
              <a16:creationId xmlns:a16="http://schemas.microsoft.com/office/drawing/2014/main" id="{00000000-0008-0000-1200-00007A040000}"/>
            </a:ext>
          </a:extLst>
        </xdr:cNvPr>
        <xdr:cNvCxnSpPr/>
      </xdr:nvCxnSpPr>
      <xdr:spPr>
        <a:xfrm flipV="1">
          <a:off x="3714750" y="51244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1208</xdr:row>
      <xdr:rowOff>169334</xdr:rowOff>
    </xdr:from>
    <xdr:to>
      <xdr:col>5</xdr:col>
      <xdr:colOff>571500</xdr:colOff>
      <xdr:row>1277</xdr:row>
      <xdr:rowOff>0</xdr:rowOff>
    </xdr:to>
    <xdr:cxnSp macro="">
      <xdr:nvCxnSpPr>
        <xdr:cNvPr id="1147" name="Straight Arrow Connector 1146">
          <a:extLst>
            <a:ext uri="{FF2B5EF4-FFF2-40B4-BE49-F238E27FC236}">
              <a16:creationId xmlns:a16="http://schemas.microsoft.com/office/drawing/2014/main" id="{00000000-0008-0000-1200-00007B040000}"/>
            </a:ext>
          </a:extLst>
        </xdr:cNvPr>
        <xdr:cNvCxnSpPr/>
      </xdr:nvCxnSpPr>
      <xdr:spPr>
        <a:xfrm>
          <a:off x="379941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1146</xdr:row>
      <xdr:rowOff>148167</xdr:rowOff>
    </xdr:from>
    <xdr:to>
      <xdr:col>7</xdr:col>
      <xdr:colOff>603250</xdr:colOff>
      <xdr:row>1168</xdr:row>
      <xdr:rowOff>31750</xdr:rowOff>
    </xdr:to>
    <xdr:cxnSp macro="">
      <xdr:nvCxnSpPr>
        <xdr:cNvPr id="1148" name="Straight Arrow Connector 1147">
          <a:extLst>
            <a:ext uri="{FF2B5EF4-FFF2-40B4-BE49-F238E27FC236}">
              <a16:creationId xmlns:a16="http://schemas.microsoft.com/office/drawing/2014/main" id="{00000000-0008-0000-1200-00007C040000}"/>
            </a:ext>
          </a:extLst>
        </xdr:cNvPr>
        <xdr:cNvCxnSpPr/>
      </xdr:nvCxnSpPr>
      <xdr:spPr>
        <a:xfrm flipV="1">
          <a:off x="517525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1171</xdr:row>
      <xdr:rowOff>10584</xdr:rowOff>
    </xdr:from>
    <xdr:to>
      <xdr:col>8</xdr:col>
      <xdr:colOff>21167</xdr:colOff>
      <xdr:row>1199</xdr:row>
      <xdr:rowOff>148166</xdr:rowOff>
    </xdr:to>
    <xdr:cxnSp macro="">
      <xdr:nvCxnSpPr>
        <xdr:cNvPr id="1149" name="Straight Arrow Connector 1148">
          <a:extLst>
            <a:ext uri="{FF2B5EF4-FFF2-40B4-BE49-F238E27FC236}">
              <a16:creationId xmlns:a16="http://schemas.microsoft.com/office/drawing/2014/main" id="{00000000-0008-0000-1200-00007D040000}"/>
            </a:ext>
          </a:extLst>
        </xdr:cNvPr>
        <xdr:cNvCxnSpPr/>
      </xdr:nvCxnSpPr>
      <xdr:spPr>
        <a:xfrm>
          <a:off x="5175250" y="51255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1138</xdr:row>
      <xdr:rowOff>137583</xdr:rowOff>
    </xdr:from>
    <xdr:to>
      <xdr:col>9</xdr:col>
      <xdr:colOff>603250</xdr:colOff>
      <xdr:row>1144</xdr:row>
      <xdr:rowOff>21166</xdr:rowOff>
    </xdr:to>
    <xdr:cxnSp macro="">
      <xdr:nvCxnSpPr>
        <xdr:cNvPr id="1150" name="Straight Arrow Connector 1149">
          <a:extLst>
            <a:ext uri="{FF2B5EF4-FFF2-40B4-BE49-F238E27FC236}">
              <a16:creationId xmlns:a16="http://schemas.microsoft.com/office/drawing/2014/main" id="{00000000-0008-0000-1200-00007E040000}"/>
            </a:ext>
          </a:extLst>
        </xdr:cNvPr>
        <xdr:cNvCxnSpPr/>
      </xdr:nvCxnSpPr>
      <xdr:spPr>
        <a:xfrm flipV="1">
          <a:off x="6381750"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1147</xdr:row>
      <xdr:rowOff>0</xdr:rowOff>
    </xdr:from>
    <xdr:to>
      <xdr:col>9</xdr:col>
      <xdr:colOff>582083</xdr:colOff>
      <xdr:row>1155</xdr:row>
      <xdr:rowOff>10583</xdr:rowOff>
    </xdr:to>
    <xdr:cxnSp macro="">
      <xdr:nvCxnSpPr>
        <xdr:cNvPr id="1151" name="Straight Arrow Connector 1150">
          <a:extLst>
            <a:ext uri="{FF2B5EF4-FFF2-40B4-BE49-F238E27FC236}">
              <a16:creationId xmlns:a16="http://schemas.microsoft.com/office/drawing/2014/main" id="{00000000-0008-0000-1200-00007F040000}"/>
            </a:ext>
          </a:extLst>
        </xdr:cNvPr>
        <xdr:cNvCxnSpPr/>
      </xdr:nvCxnSpPr>
      <xdr:spPr>
        <a:xfrm>
          <a:off x="6413500"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1152</xdr:row>
      <xdr:rowOff>169333</xdr:rowOff>
    </xdr:from>
    <xdr:to>
      <xdr:col>11</xdr:col>
      <xdr:colOff>603250</xdr:colOff>
      <xdr:row>1155</xdr:row>
      <xdr:rowOff>21167</xdr:rowOff>
    </xdr:to>
    <xdr:cxnSp macro="">
      <xdr:nvCxnSpPr>
        <xdr:cNvPr id="1152" name="Straight Arrow Connector 1151">
          <a:extLst>
            <a:ext uri="{FF2B5EF4-FFF2-40B4-BE49-F238E27FC236}">
              <a16:creationId xmlns:a16="http://schemas.microsoft.com/office/drawing/2014/main" id="{00000000-0008-0000-1200-000080040000}"/>
            </a:ext>
          </a:extLst>
        </xdr:cNvPr>
        <xdr:cNvCxnSpPr/>
      </xdr:nvCxnSpPr>
      <xdr:spPr>
        <a:xfrm flipV="1">
          <a:off x="7609417"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1158</xdr:row>
      <xdr:rowOff>42333</xdr:rowOff>
    </xdr:from>
    <xdr:to>
      <xdr:col>11</xdr:col>
      <xdr:colOff>603250</xdr:colOff>
      <xdr:row>1170</xdr:row>
      <xdr:rowOff>10583</xdr:rowOff>
    </xdr:to>
    <xdr:cxnSp macro="">
      <xdr:nvCxnSpPr>
        <xdr:cNvPr id="1153" name="Straight Arrow Connector 1152">
          <a:extLst>
            <a:ext uri="{FF2B5EF4-FFF2-40B4-BE49-F238E27FC236}">
              <a16:creationId xmlns:a16="http://schemas.microsoft.com/office/drawing/2014/main" id="{00000000-0008-0000-1200-000081040000}"/>
            </a:ext>
          </a:extLst>
        </xdr:cNvPr>
        <xdr:cNvCxnSpPr/>
      </xdr:nvCxnSpPr>
      <xdr:spPr>
        <a:xfrm>
          <a:off x="7598834"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1148</xdr:row>
      <xdr:rowOff>21167</xdr:rowOff>
    </xdr:from>
    <xdr:to>
      <xdr:col>13</xdr:col>
      <xdr:colOff>592667</xdr:colOff>
      <xdr:row>1150</xdr:row>
      <xdr:rowOff>0</xdr:rowOff>
    </xdr:to>
    <xdr:cxnSp macro="">
      <xdr:nvCxnSpPr>
        <xdr:cNvPr id="1154" name="Straight Arrow Connector 1153">
          <a:extLst>
            <a:ext uri="{FF2B5EF4-FFF2-40B4-BE49-F238E27FC236}">
              <a16:creationId xmlns:a16="http://schemas.microsoft.com/office/drawing/2014/main" id="{00000000-0008-0000-1200-000082040000}"/>
            </a:ext>
          </a:extLst>
        </xdr:cNvPr>
        <xdr:cNvCxnSpPr/>
      </xdr:nvCxnSpPr>
      <xdr:spPr>
        <a:xfrm flipV="1">
          <a:off x="8794750" y="46693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1153</xdr:row>
      <xdr:rowOff>21166</xdr:rowOff>
    </xdr:from>
    <xdr:to>
      <xdr:col>13</xdr:col>
      <xdr:colOff>592667</xdr:colOff>
      <xdr:row>1154</xdr:row>
      <xdr:rowOff>169334</xdr:rowOff>
    </xdr:to>
    <xdr:cxnSp macro="">
      <xdr:nvCxnSpPr>
        <xdr:cNvPr id="1155" name="Straight Arrow Connector 1154">
          <a:extLst>
            <a:ext uri="{FF2B5EF4-FFF2-40B4-BE49-F238E27FC236}">
              <a16:creationId xmlns:a16="http://schemas.microsoft.com/office/drawing/2014/main" id="{00000000-0008-0000-1200-000083040000}"/>
            </a:ext>
          </a:extLst>
        </xdr:cNvPr>
        <xdr:cNvCxnSpPr/>
      </xdr:nvCxnSpPr>
      <xdr:spPr>
        <a:xfrm>
          <a:off x="8784166" y="47646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1168</xdr:row>
      <xdr:rowOff>21167</xdr:rowOff>
    </xdr:from>
    <xdr:to>
      <xdr:col>13</xdr:col>
      <xdr:colOff>592667</xdr:colOff>
      <xdr:row>1170</xdr:row>
      <xdr:rowOff>63500</xdr:rowOff>
    </xdr:to>
    <xdr:cxnSp macro="">
      <xdr:nvCxnSpPr>
        <xdr:cNvPr id="1156" name="Straight Arrow Connector 1155">
          <a:extLst>
            <a:ext uri="{FF2B5EF4-FFF2-40B4-BE49-F238E27FC236}">
              <a16:creationId xmlns:a16="http://schemas.microsoft.com/office/drawing/2014/main" id="{00000000-0008-0000-1200-000084040000}"/>
            </a:ext>
          </a:extLst>
        </xdr:cNvPr>
        <xdr:cNvCxnSpPr/>
      </xdr:nvCxnSpPr>
      <xdr:spPr>
        <a:xfrm flipV="1">
          <a:off x="879475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1173</xdr:row>
      <xdr:rowOff>0</xdr:rowOff>
    </xdr:from>
    <xdr:to>
      <xdr:col>14</xdr:col>
      <xdr:colOff>10584</xdr:colOff>
      <xdr:row>1181</xdr:row>
      <xdr:rowOff>148167</xdr:rowOff>
    </xdr:to>
    <xdr:cxnSp macro="">
      <xdr:nvCxnSpPr>
        <xdr:cNvPr id="1157" name="Straight Arrow Connector 1156">
          <a:extLst>
            <a:ext uri="{FF2B5EF4-FFF2-40B4-BE49-F238E27FC236}">
              <a16:creationId xmlns:a16="http://schemas.microsoft.com/office/drawing/2014/main" id="{00000000-0008-0000-1200-000085040000}"/>
            </a:ext>
          </a:extLst>
        </xdr:cNvPr>
        <xdr:cNvCxnSpPr/>
      </xdr:nvCxnSpPr>
      <xdr:spPr>
        <a:xfrm>
          <a:off x="8805333" y="51625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1140</xdr:row>
      <xdr:rowOff>0</xdr:rowOff>
    </xdr:from>
    <xdr:to>
      <xdr:col>15</xdr:col>
      <xdr:colOff>603250</xdr:colOff>
      <xdr:row>1145</xdr:row>
      <xdr:rowOff>31750</xdr:rowOff>
    </xdr:to>
    <xdr:cxnSp macro="">
      <xdr:nvCxnSpPr>
        <xdr:cNvPr id="1158" name="Straight Arrow Connector 1157">
          <a:extLst>
            <a:ext uri="{FF2B5EF4-FFF2-40B4-BE49-F238E27FC236}">
              <a16:creationId xmlns:a16="http://schemas.microsoft.com/office/drawing/2014/main" id="{00000000-0008-0000-1200-000086040000}"/>
            </a:ext>
          </a:extLst>
        </xdr:cNvPr>
        <xdr:cNvCxnSpPr/>
      </xdr:nvCxnSpPr>
      <xdr:spPr>
        <a:xfrm flipV="1">
          <a:off x="10541000"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1143</xdr:row>
      <xdr:rowOff>52917</xdr:rowOff>
    </xdr:from>
    <xdr:to>
      <xdr:col>15</xdr:col>
      <xdr:colOff>603250</xdr:colOff>
      <xdr:row>1145</xdr:row>
      <xdr:rowOff>95250</xdr:rowOff>
    </xdr:to>
    <xdr:cxnSp macro="">
      <xdr:nvCxnSpPr>
        <xdr:cNvPr id="1159" name="Straight Arrow Connector 1158">
          <a:extLst>
            <a:ext uri="{FF2B5EF4-FFF2-40B4-BE49-F238E27FC236}">
              <a16:creationId xmlns:a16="http://schemas.microsoft.com/office/drawing/2014/main" id="{00000000-0008-0000-1200-000087040000}"/>
            </a:ext>
          </a:extLst>
        </xdr:cNvPr>
        <xdr:cNvCxnSpPr/>
      </xdr:nvCxnSpPr>
      <xdr:spPr>
        <a:xfrm flipV="1">
          <a:off x="10583333"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1145</xdr:row>
      <xdr:rowOff>158750</xdr:rowOff>
    </xdr:from>
    <xdr:to>
      <xdr:col>15</xdr:col>
      <xdr:colOff>582083</xdr:colOff>
      <xdr:row>1146</xdr:row>
      <xdr:rowOff>137583</xdr:rowOff>
    </xdr:to>
    <xdr:cxnSp macro="">
      <xdr:nvCxnSpPr>
        <xdr:cNvPr id="1160" name="Straight Arrow Connector 1159">
          <a:extLst>
            <a:ext uri="{FF2B5EF4-FFF2-40B4-BE49-F238E27FC236}">
              <a16:creationId xmlns:a16="http://schemas.microsoft.com/office/drawing/2014/main" id="{00000000-0008-0000-1200-000088040000}"/>
            </a:ext>
          </a:extLst>
        </xdr:cNvPr>
        <xdr:cNvCxnSpPr/>
      </xdr:nvCxnSpPr>
      <xdr:spPr>
        <a:xfrm>
          <a:off x="10604500"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1145</xdr:row>
      <xdr:rowOff>105834</xdr:rowOff>
    </xdr:from>
    <xdr:to>
      <xdr:col>16</xdr:col>
      <xdr:colOff>0</xdr:colOff>
      <xdr:row>1149</xdr:row>
      <xdr:rowOff>84667</xdr:rowOff>
    </xdr:to>
    <xdr:cxnSp macro="">
      <xdr:nvCxnSpPr>
        <xdr:cNvPr id="1161" name="Straight Arrow Connector 1160">
          <a:extLst>
            <a:ext uri="{FF2B5EF4-FFF2-40B4-BE49-F238E27FC236}">
              <a16:creationId xmlns:a16="http://schemas.microsoft.com/office/drawing/2014/main" id="{00000000-0008-0000-1200-000089040000}"/>
            </a:ext>
          </a:extLst>
        </xdr:cNvPr>
        <xdr:cNvCxnSpPr/>
      </xdr:nvCxnSpPr>
      <xdr:spPr>
        <a:xfrm>
          <a:off x="10519834" y="46206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1153</xdr:row>
      <xdr:rowOff>52916</xdr:rowOff>
    </xdr:from>
    <xdr:to>
      <xdr:col>16</xdr:col>
      <xdr:colOff>0</xdr:colOff>
      <xdr:row>1155</xdr:row>
      <xdr:rowOff>0</xdr:rowOff>
    </xdr:to>
    <xdr:cxnSp macro="">
      <xdr:nvCxnSpPr>
        <xdr:cNvPr id="1162" name="Straight Arrow Connector 1161">
          <a:extLst>
            <a:ext uri="{FF2B5EF4-FFF2-40B4-BE49-F238E27FC236}">
              <a16:creationId xmlns:a16="http://schemas.microsoft.com/office/drawing/2014/main" id="{00000000-0008-0000-1200-00008A040000}"/>
            </a:ext>
          </a:extLst>
        </xdr:cNvPr>
        <xdr:cNvCxnSpPr/>
      </xdr:nvCxnSpPr>
      <xdr:spPr>
        <a:xfrm flipV="1">
          <a:off x="10541000" y="47677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1155</xdr:row>
      <xdr:rowOff>21167</xdr:rowOff>
    </xdr:from>
    <xdr:to>
      <xdr:col>15</xdr:col>
      <xdr:colOff>582083</xdr:colOff>
      <xdr:row>1156</xdr:row>
      <xdr:rowOff>42333</xdr:rowOff>
    </xdr:to>
    <xdr:cxnSp macro="">
      <xdr:nvCxnSpPr>
        <xdr:cNvPr id="1163" name="Straight Arrow Connector 1162">
          <a:extLst>
            <a:ext uri="{FF2B5EF4-FFF2-40B4-BE49-F238E27FC236}">
              <a16:creationId xmlns:a16="http://schemas.microsoft.com/office/drawing/2014/main" id="{00000000-0008-0000-1200-00008B040000}"/>
            </a:ext>
          </a:extLst>
        </xdr:cNvPr>
        <xdr:cNvCxnSpPr/>
      </xdr:nvCxnSpPr>
      <xdr:spPr>
        <a:xfrm>
          <a:off x="10551583"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1155</xdr:row>
      <xdr:rowOff>21167</xdr:rowOff>
    </xdr:from>
    <xdr:to>
      <xdr:col>16</xdr:col>
      <xdr:colOff>42333</xdr:colOff>
      <xdr:row>1160</xdr:row>
      <xdr:rowOff>21168</xdr:rowOff>
    </xdr:to>
    <xdr:cxnSp macro="">
      <xdr:nvCxnSpPr>
        <xdr:cNvPr id="1164" name="Straight Arrow Connector 1163">
          <a:extLst>
            <a:ext uri="{FF2B5EF4-FFF2-40B4-BE49-F238E27FC236}">
              <a16:creationId xmlns:a16="http://schemas.microsoft.com/office/drawing/2014/main" id="{00000000-0008-0000-1200-00008C040000}"/>
            </a:ext>
          </a:extLst>
        </xdr:cNvPr>
        <xdr:cNvCxnSpPr/>
      </xdr:nvCxnSpPr>
      <xdr:spPr>
        <a:xfrm>
          <a:off x="10530417" y="48027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1165" name="Straight Arrow Connector 1164">
          <a:extLst>
            <a:ext uri="{FF2B5EF4-FFF2-40B4-BE49-F238E27FC236}">
              <a16:creationId xmlns:a16="http://schemas.microsoft.com/office/drawing/2014/main" id="{00000000-0008-0000-1200-00008D040000}"/>
            </a:ext>
          </a:extLst>
        </xdr:cNvPr>
        <xdr:cNvCxnSpPr/>
      </xdr:nvCxnSpPr>
      <xdr:spPr>
        <a:xfrm>
          <a:off x="10541000" y="48037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1192</xdr:row>
      <xdr:rowOff>42333</xdr:rowOff>
    </xdr:from>
    <xdr:to>
      <xdr:col>9</xdr:col>
      <xdr:colOff>592666</xdr:colOff>
      <xdr:row>1200</xdr:row>
      <xdr:rowOff>42333</xdr:rowOff>
    </xdr:to>
    <xdr:cxnSp macro="">
      <xdr:nvCxnSpPr>
        <xdr:cNvPr id="1166" name="Straight Arrow Connector 1165">
          <a:extLst>
            <a:ext uri="{FF2B5EF4-FFF2-40B4-BE49-F238E27FC236}">
              <a16:creationId xmlns:a16="http://schemas.microsoft.com/office/drawing/2014/main" id="{00000000-0008-0000-1200-00008E040000}"/>
            </a:ext>
          </a:extLst>
        </xdr:cNvPr>
        <xdr:cNvCxnSpPr/>
      </xdr:nvCxnSpPr>
      <xdr:spPr>
        <a:xfrm flipV="1">
          <a:off x="6392333"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1202</xdr:row>
      <xdr:rowOff>169334</xdr:rowOff>
    </xdr:from>
    <xdr:to>
      <xdr:col>9</xdr:col>
      <xdr:colOff>603250</xdr:colOff>
      <xdr:row>1211</xdr:row>
      <xdr:rowOff>31750</xdr:rowOff>
    </xdr:to>
    <xdr:cxnSp macro="">
      <xdr:nvCxnSpPr>
        <xdr:cNvPr id="1167" name="Straight Arrow Connector 1166">
          <a:extLst>
            <a:ext uri="{FF2B5EF4-FFF2-40B4-BE49-F238E27FC236}">
              <a16:creationId xmlns:a16="http://schemas.microsoft.com/office/drawing/2014/main" id="{00000000-0008-0000-1200-00008F040000}"/>
            </a:ext>
          </a:extLst>
        </xdr:cNvPr>
        <xdr:cNvCxnSpPr/>
      </xdr:nvCxnSpPr>
      <xdr:spPr>
        <a:xfrm>
          <a:off x="6413500"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1208</xdr:row>
      <xdr:rowOff>158750</xdr:rowOff>
    </xdr:from>
    <xdr:to>
      <xdr:col>11</xdr:col>
      <xdr:colOff>571500</xdr:colOff>
      <xdr:row>1211</xdr:row>
      <xdr:rowOff>0</xdr:rowOff>
    </xdr:to>
    <xdr:cxnSp macro="">
      <xdr:nvCxnSpPr>
        <xdr:cNvPr id="1168" name="Straight Arrow Connector 1167">
          <a:extLst>
            <a:ext uri="{FF2B5EF4-FFF2-40B4-BE49-F238E27FC236}">
              <a16:creationId xmlns:a16="http://schemas.microsoft.com/office/drawing/2014/main" id="{00000000-0008-0000-1200-000090040000}"/>
            </a:ext>
          </a:extLst>
        </xdr:cNvPr>
        <xdr:cNvCxnSpPr/>
      </xdr:nvCxnSpPr>
      <xdr:spPr>
        <a:xfrm flipV="1">
          <a:off x="7556500" y="58451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1166</xdr:row>
      <xdr:rowOff>0</xdr:rowOff>
    </xdr:from>
    <xdr:to>
      <xdr:col>15</xdr:col>
      <xdr:colOff>603250</xdr:colOff>
      <xdr:row>1168</xdr:row>
      <xdr:rowOff>1</xdr:rowOff>
    </xdr:to>
    <xdr:cxnSp macro="">
      <xdr:nvCxnSpPr>
        <xdr:cNvPr id="1169" name="Straight Arrow Connector 1168">
          <a:extLst>
            <a:ext uri="{FF2B5EF4-FFF2-40B4-BE49-F238E27FC236}">
              <a16:creationId xmlns:a16="http://schemas.microsoft.com/office/drawing/2014/main" id="{00000000-0008-0000-1200-000091040000}"/>
            </a:ext>
          </a:extLst>
        </xdr:cNvPr>
        <xdr:cNvCxnSpPr/>
      </xdr:nvCxnSpPr>
      <xdr:spPr>
        <a:xfrm flipV="1">
          <a:off x="10530417"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1168</xdr:row>
      <xdr:rowOff>10584</xdr:rowOff>
    </xdr:from>
    <xdr:to>
      <xdr:col>15</xdr:col>
      <xdr:colOff>592666</xdr:colOff>
      <xdr:row>1169</xdr:row>
      <xdr:rowOff>95250</xdr:rowOff>
    </xdr:to>
    <xdr:cxnSp macro="">
      <xdr:nvCxnSpPr>
        <xdr:cNvPr id="1170" name="Straight Arrow Connector 1169">
          <a:extLst>
            <a:ext uri="{FF2B5EF4-FFF2-40B4-BE49-F238E27FC236}">
              <a16:creationId xmlns:a16="http://schemas.microsoft.com/office/drawing/2014/main" id="{00000000-0008-0000-1200-000092040000}"/>
            </a:ext>
          </a:extLst>
        </xdr:cNvPr>
        <xdr:cNvCxnSpPr/>
      </xdr:nvCxnSpPr>
      <xdr:spPr>
        <a:xfrm>
          <a:off x="10572750"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1168</xdr:row>
      <xdr:rowOff>10584</xdr:rowOff>
    </xdr:from>
    <xdr:to>
      <xdr:col>15</xdr:col>
      <xdr:colOff>560916</xdr:colOff>
      <xdr:row>1172</xdr:row>
      <xdr:rowOff>52917</xdr:rowOff>
    </xdr:to>
    <xdr:cxnSp macro="">
      <xdr:nvCxnSpPr>
        <xdr:cNvPr id="1171" name="Straight Arrow Connector 1170">
          <a:extLst>
            <a:ext uri="{FF2B5EF4-FFF2-40B4-BE49-F238E27FC236}">
              <a16:creationId xmlns:a16="http://schemas.microsoft.com/office/drawing/2014/main" id="{00000000-0008-0000-1200-000093040000}"/>
            </a:ext>
          </a:extLst>
        </xdr:cNvPr>
        <xdr:cNvCxnSpPr/>
      </xdr:nvCxnSpPr>
      <xdr:spPr>
        <a:xfrm>
          <a:off x="10551583"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1172" name="Straight Arrow Connector 1171">
          <a:extLst>
            <a:ext uri="{FF2B5EF4-FFF2-40B4-BE49-F238E27FC236}">
              <a16:creationId xmlns:a16="http://schemas.microsoft.com/office/drawing/2014/main" id="{00000000-0008-0000-1200-000094040000}"/>
            </a:ext>
          </a:extLst>
        </xdr:cNvPr>
        <xdr:cNvCxnSpPr/>
      </xdr:nvCxnSpPr>
      <xdr:spPr>
        <a:xfrm>
          <a:off x="10583333" y="50704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1182</xdr:row>
      <xdr:rowOff>0</xdr:rowOff>
    </xdr:from>
    <xdr:to>
      <xdr:col>16</xdr:col>
      <xdr:colOff>0</xdr:colOff>
      <xdr:row>1182</xdr:row>
      <xdr:rowOff>42334</xdr:rowOff>
    </xdr:to>
    <xdr:cxnSp macro="">
      <xdr:nvCxnSpPr>
        <xdr:cNvPr id="1173" name="Straight Arrow Connector 1172">
          <a:extLst>
            <a:ext uri="{FF2B5EF4-FFF2-40B4-BE49-F238E27FC236}">
              <a16:creationId xmlns:a16="http://schemas.microsoft.com/office/drawing/2014/main" id="{00000000-0008-0000-1200-000095040000}"/>
            </a:ext>
          </a:extLst>
        </xdr:cNvPr>
        <xdr:cNvCxnSpPr/>
      </xdr:nvCxnSpPr>
      <xdr:spPr>
        <a:xfrm>
          <a:off x="10562166" y="53340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1182</xdr:row>
      <xdr:rowOff>21166</xdr:rowOff>
    </xdr:from>
    <xdr:to>
      <xdr:col>15</xdr:col>
      <xdr:colOff>560916</xdr:colOff>
      <xdr:row>1185</xdr:row>
      <xdr:rowOff>84667</xdr:rowOff>
    </xdr:to>
    <xdr:cxnSp macro="">
      <xdr:nvCxnSpPr>
        <xdr:cNvPr id="1174" name="Straight Arrow Connector 1173">
          <a:extLst>
            <a:ext uri="{FF2B5EF4-FFF2-40B4-BE49-F238E27FC236}">
              <a16:creationId xmlns:a16="http://schemas.microsoft.com/office/drawing/2014/main" id="{00000000-0008-0000-1200-000096040000}"/>
            </a:ext>
          </a:extLst>
        </xdr:cNvPr>
        <xdr:cNvCxnSpPr/>
      </xdr:nvCxnSpPr>
      <xdr:spPr>
        <a:xfrm>
          <a:off x="10615083"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1182</xdr:row>
      <xdr:rowOff>52916</xdr:rowOff>
    </xdr:from>
    <xdr:to>
      <xdr:col>15</xdr:col>
      <xdr:colOff>592666</xdr:colOff>
      <xdr:row>1188</xdr:row>
      <xdr:rowOff>63501</xdr:rowOff>
    </xdr:to>
    <xdr:cxnSp macro="">
      <xdr:nvCxnSpPr>
        <xdr:cNvPr id="1175" name="Straight Arrow Connector 1174">
          <a:extLst>
            <a:ext uri="{FF2B5EF4-FFF2-40B4-BE49-F238E27FC236}">
              <a16:creationId xmlns:a16="http://schemas.microsoft.com/office/drawing/2014/main" id="{00000000-0008-0000-1200-000097040000}"/>
            </a:ext>
          </a:extLst>
        </xdr:cNvPr>
        <xdr:cNvCxnSpPr/>
      </xdr:nvCxnSpPr>
      <xdr:spPr>
        <a:xfrm>
          <a:off x="10572750"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1196</xdr:row>
      <xdr:rowOff>116416</xdr:rowOff>
    </xdr:from>
    <xdr:to>
      <xdr:col>15</xdr:col>
      <xdr:colOff>592666</xdr:colOff>
      <xdr:row>1199</xdr:row>
      <xdr:rowOff>158750</xdr:rowOff>
    </xdr:to>
    <xdr:cxnSp macro="">
      <xdr:nvCxnSpPr>
        <xdr:cNvPr id="1176" name="Straight Arrow Connector 1175">
          <a:extLst>
            <a:ext uri="{FF2B5EF4-FFF2-40B4-BE49-F238E27FC236}">
              <a16:creationId xmlns:a16="http://schemas.microsoft.com/office/drawing/2014/main" id="{00000000-0008-0000-1200-000098040000}"/>
            </a:ext>
          </a:extLst>
        </xdr:cNvPr>
        <xdr:cNvCxnSpPr/>
      </xdr:nvCxnSpPr>
      <xdr:spPr>
        <a:xfrm flipV="1">
          <a:off x="10562166"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1198</xdr:row>
      <xdr:rowOff>95250</xdr:rowOff>
    </xdr:from>
    <xdr:to>
      <xdr:col>15</xdr:col>
      <xdr:colOff>582083</xdr:colOff>
      <xdr:row>1200</xdr:row>
      <xdr:rowOff>52917</xdr:rowOff>
    </xdr:to>
    <xdr:cxnSp macro="">
      <xdr:nvCxnSpPr>
        <xdr:cNvPr id="1177" name="Straight Arrow Connector 1176">
          <a:extLst>
            <a:ext uri="{FF2B5EF4-FFF2-40B4-BE49-F238E27FC236}">
              <a16:creationId xmlns:a16="http://schemas.microsoft.com/office/drawing/2014/main" id="{00000000-0008-0000-1200-000099040000}"/>
            </a:ext>
          </a:extLst>
        </xdr:cNvPr>
        <xdr:cNvCxnSpPr/>
      </xdr:nvCxnSpPr>
      <xdr:spPr>
        <a:xfrm flipV="1">
          <a:off x="10604500"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116417</xdr:rowOff>
    </xdr:from>
    <xdr:to>
      <xdr:col>15</xdr:col>
      <xdr:colOff>592666</xdr:colOff>
      <xdr:row>1204</xdr:row>
      <xdr:rowOff>95250</xdr:rowOff>
    </xdr:to>
    <xdr:cxnSp macro="">
      <xdr:nvCxnSpPr>
        <xdr:cNvPr id="1178" name="Straight Arrow Connector 1177">
          <a:extLst>
            <a:ext uri="{FF2B5EF4-FFF2-40B4-BE49-F238E27FC236}">
              <a16:creationId xmlns:a16="http://schemas.microsoft.com/office/drawing/2014/main" id="{00000000-0008-0000-1200-00009A040000}"/>
            </a:ext>
          </a:extLst>
        </xdr:cNvPr>
        <xdr:cNvCxnSpPr/>
      </xdr:nvCxnSpPr>
      <xdr:spPr>
        <a:xfrm>
          <a:off x="10593916"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1211</xdr:row>
      <xdr:rowOff>116416</xdr:rowOff>
    </xdr:from>
    <xdr:to>
      <xdr:col>16</xdr:col>
      <xdr:colOff>0</xdr:colOff>
      <xdr:row>1218</xdr:row>
      <xdr:rowOff>74084</xdr:rowOff>
    </xdr:to>
    <xdr:cxnSp macro="">
      <xdr:nvCxnSpPr>
        <xdr:cNvPr id="1179" name="Straight Arrow Connector 1178">
          <a:extLst>
            <a:ext uri="{FF2B5EF4-FFF2-40B4-BE49-F238E27FC236}">
              <a16:creationId xmlns:a16="http://schemas.microsoft.com/office/drawing/2014/main" id="{00000000-0008-0000-1200-00009B040000}"/>
            </a:ext>
          </a:extLst>
        </xdr:cNvPr>
        <xdr:cNvCxnSpPr/>
      </xdr:nvCxnSpPr>
      <xdr:spPr>
        <a:xfrm>
          <a:off x="10572750" y="58980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1179</xdr:row>
      <xdr:rowOff>52917</xdr:rowOff>
    </xdr:from>
    <xdr:to>
      <xdr:col>15</xdr:col>
      <xdr:colOff>603250</xdr:colOff>
      <xdr:row>1181</xdr:row>
      <xdr:rowOff>148167</xdr:rowOff>
    </xdr:to>
    <xdr:cxnSp macro="">
      <xdr:nvCxnSpPr>
        <xdr:cNvPr id="1180" name="Straight Arrow Connector 1179">
          <a:extLst>
            <a:ext uri="{FF2B5EF4-FFF2-40B4-BE49-F238E27FC236}">
              <a16:creationId xmlns:a16="http://schemas.microsoft.com/office/drawing/2014/main" id="{00000000-0008-0000-1200-00009C040000}"/>
            </a:ext>
          </a:extLst>
        </xdr:cNvPr>
        <xdr:cNvCxnSpPr/>
      </xdr:nvCxnSpPr>
      <xdr:spPr>
        <a:xfrm flipV="1">
          <a:off x="10583333"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1214</xdr:row>
      <xdr:rowOff>42333</xdr:rowOff>
    </xdr:from>
    <xdr:to>
      <xdr:col>11</xdr:col>
      <xdr:colOff>603250</xdr:colOff>
      <xdr:row>1226</xdr:row>
      <xdr:rowOff>10583</xdr:rowOff>
    </xdr:to>
    <xdr:cxnSp macro="">
      <xdr:nvCxnSpPr>
        <xdr:cNvPr id="1181" name="Straight Arrow Connector 1180">
          <a:extLst>
            <a:ext uri="{FF2B5EF4-FFF2-40B4-BE49-F238E27FC236}">
              <a16:creationId xmlns:a16="http://schemas.microsoft.com/office/drawing/2014/main" id="{00000000-0008-0000-1200-00009D040000}"/>
            </a:ext>
          </a:extLst>
        </xdr:cNvPr>
        <xdr:cNvCxnSpPr/>
      </xdr:nvCxnSpPr>
      <xdr:spPr>
        <a:xfrm>
          <a:off x="7598834"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1204</xdr:row>
      <xdr:rowOff>21167</xdr:rowOff>
    </xdr:from>
    <xdr:to>
      <xdr:col>13</xdr:col>
      <xdr:colOff>592667</xdr:colOff>
      <xdr:row>1206</xdr:row>
      <xdr:rowOff>0</xdr:rowOff>
    </xdr:to>
    <xdr:cxnSp macro="">
      <xdr:nvCxnSpPr>
        <xdr:cNvPr id="1182" name="Straight Arrow Connector 1181">
          <a:extLst>
            <a:ext uri="{FF2B5EF4-FFF2-40B4-BE49-F238E27FC236}">
              <a16:creationId xmlns:a16="http://schemas.microsoft.com/office/drawing/2014/main" id="{00000000-0008-0000-1200-00009E040000}"/>
            </a:ext>
          </a:extLst>
        </xdr:cNvPr>
        <xdr:cNvCxnSpPr/>
      </xdr:nvCxnSpPr>
      <xdr:spPr>
        <a:xfrm flipV="1">
          <a:off x="8794750" y="57552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1209</xdr:row>
      <xdr:rowOff>21166</xdr:rowOff>
    </xdr:from>
    <xdr:to>
      <xdr:col>13</xdr:col>
      <xdr:colOff>592667</xdr:colOff>
      <xdr:row>1210</xdr:row>
      <xdr:rowOff>169334</xdr:rowOff>
    </xdr:to>
    <xdr:cxnSp macro="">
      <xdr:nvCxnSpPr>
        <xdr:cNvPr id="1183" name="Straight Arrow Connector 1182">
          <a:extLst>
            <a:ext uri="{FF2B5EF4-FFF2-40B4-BE49-F238E27FC236}">
              <a16:creationId xmlns:a16="http://schemas.microsoft.com/office/drawing/2014/main" id="{00000000-0008-0000-1200-00009F040000}"/>
            </a:ext>
          </a:extLst>
        </xdr:cNvPr>
        <xdr:cNvCxnSpPr/>
      </xdr:nvCxnSpPr>
      <xdr:spPr>
        <a:xfrm>
          <a:off x="8784166" y="58504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1224</xdr:row>
      <xdr:rowOff>21167</xdr:rowOff>
    </xdr:from>
    <xdr:to>
      <xdr:col>13</xdr:col>
      <xdr:colOff>592667</xdr:colOff>
      <xdr:row>1226</xdr:row>
      <xdr:rowOff>63500</xdr:rowOff>
    </xdr:to>
    <xdr:cxnSp macro="">
      <xdr:nvCxnSpPr>
        <xdr:cNvPr id="1184" name="Straight Arrow Connector 1183">
          <a:extLst>
            <a:ext uri="{FF2B5EF4-FFF2-40B4-BE49-F238E27FC236}">
              <a16:creationId xmlns:a16="http://schemas.microsoft.com/office/drawing/2014/main" id="{00000000-0008-0000-1200-0000A0040000}"/>
            </a:ext>
          </a:extLst>
        </xdr:cNvPr>
        <xdr:cNvCxnSpPr/>
      </xdr:nvCxnSpPr>
      <xdr:spPr>
        <a:xfrm flipV="1">
          <a:off x="879475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1229</xdr:row>
      <xdr:rowOff>0</xdr:rowOff>
    </xdr:from>
    <xdr:to>
      <xdr:col>14</xdr:col>
      <xdr:colOff>10584</xdr:colOff>
      <xdr:row>1237</xdr:row>
      <xdr:rowOff>148167</xdr:rowOff>
    </xdr:to>
    <xdr:cxnSp macro="">
      <xdr:nvCxnSpPr>
        <xdr:cNvPr id="1185" name="Straight Arrow Connector 1184">
          <a:extLst>
            <a:ext uri="{FF2B5EF4-FFF2-40B4-BE49-F238E27FC236}">
              <a16:creationId xmlns:a16="http://schemas.microsoft.com/office/drawing/2014/main" id="{00000000-0008-0000-1200-0000A1040000}"/>
            </a:ext>
          </a:extLst>
        </xdr:cNvPr>
        <xdr:cNvCxnSpPr/>
      </xdr:nvCxnSpPr>
      <xdr:spPr>
        <a:xfrm>
          <a:off x="8805333" y="62484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95250</xdr:rowOff>
    </xdr:from>
    <xdr:to>
      <xdr:col>15</xdr:col>
      <xdr:colOff>582083</xdr:colOff>
      <xdr:row>1202</xdr:row>
      <xdr:rowOff>137583</xdr:rowOff>
    </xdr:to>
    <xdr:cxnSp macro="">
      <xdr:nvCxnSpPr>
        <xdr:cNvPr id="1186" name="Straight Arrow Connector 1185">
          <a:extLst>
            <a:ext uri="{FF2B5EF4-FFF2-40B4-BE49-F238E27FC236}">
              <a16:creationId xmlns:a16="http://schemas.microsoft.com/office/drawing/2014/main" id="{00000000-0008-0000-1200-0000A2040000}"/>
            </a:ext>
          </a:extLst>
        </xdr:cNvPr>
        <xdr:cNvCxnSpPr/>
      </xdr:nvCxnSpPr>
      <xdr:spPr>
        <a:xfrm>
          <a:off x="10593916"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1209</xdr:row>
      <xdr:rowOff>52916</xdr:rowOff>
    </xdr:from>
    <xdr:to>
      <xdr:col>16</xdr:col>
      <xdr:colOff>0</xdr:colOff>
      <xdr:row>1211</xdr:row>
      <xdr:rowOff>0</xdr:rowOff>
    </xdr:to>
    <xdr:cxnSp macro="">
      <xdr:nvCxnSpPr>
        <xdr:cNvPr id="1187" name="Straight Arrow Connector 1186">
          <a:extLst>
            <a:ext uri="{FF2B5EF4-FFF2-40B4-BE49-F238E27FC236}">
              <a16:creationId xmlns:a16="http://schemas.microsoft.com/office/drawing/2014/main" id="{00000000-0008-0000-1200-0000A3040000}"/>
            </a:ext>
          </a:extLst>
        </xdr:cNvPr>
        <xdr:cNvCxnSpPr/>
      </xdr:nvCxnSpPr>
      <xdr:spPr>
        <a:xfrm flipV="1">
          <a:off x="10541000" y="58536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21167</xdr:rowOff>
    </xdr:from>
    <xdr:to>
      <xdr:col>15</xdr:col>
      <xdr:colOff>592666</xdr:colOff>
      <xdr:row>1212</xdr:row>
      <xdr:rowOff>84667</xdr:rowOff>
    </xdr:to>
    <xdr:cxnSp macro="">
      <xdr:nvCxnSpPr>
        <xdr:cNvPr id="1188" name="Straight Arrow Connector 1187">
          <a:extLst>
            <a:ext uri="{FF2B5EF4-FFF2-40B4-BE49-F238E27FC236}">
              <a16:creationId xmlns:a16="http://schemas.microsoft.com/office/drawing/2014/main" id="{00000000-0008-0000-1200-0000A4040000}"/>
            </a:ext>
          </a:extLst>
        </xdr:cNvPr>
        <xdr:cNvCxnSpPr/>
      </xdr:nvCxnSpPr>
      <xdr:spPr>
        <a:xfrm>
          <a:off x="10530417"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0</xdr:rowOff>
    </xdr:from>
    <xdr:to>
      <xdr:col>16</xdr:col>
      <xdr:colOff>0</xdr:colOff>
      <xdr:row>1215</xdr:row>
      <xdr:rowOff>42334</xdr:rowOff>
    </xdr:to>
    <xdr:cxnSp macro="">
      <xdr:nvCxnSpPr>
        <xdr:cNvPr id="1189" name="Straight Arrow Connector 1188">
          <a:extLst>
            <a:ext uri="{FF2B5EF4-FFF2-40B4-BE49-F238E27FC236}">
              <a16:creationId xmlns:a16="http://schemas.microsoft.com/office/drawing/2014/main" id="{00000000-0008-0000-1200-0000A5040000}"/>
            </a:ext>
          </a:extLst>
        </xdr:cNvPr>
        <xdr:cNvCxnSpPr/>
      </xdr:nvCxnSpPr>
      <xdr:spPr>
        <a:xfrm>
          <a:off x="10530417" y="58864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1222</xdr:row>
      <xdr:rowOff>0</xdr:rowOff>
    </xdr:from>
    <xdr:to>
      <xdr:col>15</xdr:col>
      <xdr:colOff>603250</xdr:colOff>
      <xdr:row>1224</xdr:row>
      <xdr:rowOff>1</xdr:rowOff>
    </xdr:to>
    <xdr:cxnSp macro="">
      <xdr:nvCxnSpPr>
        <xdr:cNvPr id="1190" name="Straight Arrow Connector 1189">
          <a:extLst>
            <a:ext uri="{FF2B5EF4-FFF2-40B4-BE49-F238E27FC236}">
              <a16:creationId xmlns:a16="http://schemas.microsoft.com/office/drawing/2014/main" id="{00000000-0008-0000-1200-0000A6040000}"/>
            </a:ext>
          </a:extLst>
        </xdr:cNvPr>
        <xdr:cNvCxnSpPr/>
      </xdr:nvCxnSpPr>
      <xdr:spPr>
        <a:xfrm flipV="1">
          <a:off x="10530417"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1224</xdr:row>
      <xdr:rowOff>10584</xdr:rowOff>
    </xdr:from>
    <xdr:to>
      <xdr:col>15</xdr:col>
      <xdr:colOff>592666</xdr:colOff>
      <xdr:row>1225</xdr:row>
      <xdr:rowOff>95250</xdr:rowOff>
    </xdr:to>
    <xdr:cxnSp macro="">
      <xdr:nvCxnSpPr>
        <xdr:cNvPr id="1191" name="Straight Arrow Connector 1190">
          <a:extLst>
            <a:ext uri="{FF2B5EF4-FFF2-40B4-BE49-F238E27FC236}">
              <a16:creationId xmlns:a16="http://schemas.microsoft.com/office/drawing/2014/main" id="{00000000-0008-0000-1200-0000A7040000}"/>
            </a:ext>
          </a:extLst>
        </xdr:cNvPr>
        <xdr:cNvCxnSpPr/>
      </xdr:nvCxnSpPr>
      <xdr:spPr>
        <a:xfrm>
          <a:off x="10572750"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1224</xdr:row>
      <xdr:rowOff>10584</xdr:rowOff>
    </xdr:from>
    <xdr:to>
      <xdr:col>15</xdr:col>
      <xdr:colOff>560916</xdr:colOff>
      <xdr:row>1228</xdr:row>
      <xdr:rowOff>52917</xdr:rowOff>
    </xdr:to>
    <xdr:cxnSp macro="">
      <xdr:nvCxnSpPr>
        <xdr:cNvPr id="1192" name="Straight Arrow Connector 1191">
          <a:extLst>
            <a:ext uri="{FF2B5EF4-FFF2-40B4-BE49-F238E27FC236}">
              <a16:creationId xmlns:a16="http://schemas.microsoft.com/office/drawing/2014/main" id="{00000000-0008-0000-1200-0000A8040000}"/>
            </a:ext>
          </a:extLst>
        </xdr:cNvPr>
        <xdr:cNvCxnSpPr/>
      </xdr:nvCxnSpPr>
      <xdr:spPr>
        <a:xfrm>
          <a:off x="10551583"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1193" name="Straight Arrow Connector 1192">
          <a:extLst>
            <a:ext uri="{FF2B5EF4-FFF2-40B4-BE49-F238E27FC236}">
              <a16:creationId xmlns:a16="http://schemas.microsoft.com/office/drawing/2014/main" id="{00000000-0008-0000-1200-0000A9040000}"/>
            </a:ext>
          </a:extLst>
        </xdr:cNvPr>
        <xdr:cNvCxnSpPr/>
      </xdr:nvCxnSpPr>
      <xdr:spPr>
        <a:xfrm>
          <a:off x="10583333" y="61563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1238</xdr:row>
      <xdr:rowOff>0</xdr:rowOff>
    </xdr:from>
    <xdr:to>
      <xdr:col>16</xdr:col>
      <xdr:colOff>0</xdr:colOff>
      <xdr:row>1238</xdr:row>
      <xdr:rowOff>42334</xdr:rowOff>
    </xdr:to>
    <xdr:cxnSp macro="">
      <xdr:nvCxnSpPr>
        <xdr:cNvPr id="1194" name="Straight Arrow Connector 1193">
          <a:extLst>
            <a:ext uri="{FF2B5EF4-FFF2-40B4-BE49-F238E27FC236}">
              <a16:creationId xmlns:a16="http://schemas.microsoft.com/office/drawing/2014/main" id="{00000000-0008-0000-1200-0000AA040000}"/>
            </a:ext>
          </a:extLst>
        </xdr:cNvPr>
        <xdr:cNvCxnSpPr/>
      </xdr:nvCxnSpPr>
      <xdr:spPr>
        <a:xfrm>
          <a:off x="10562166" y="64198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1238</xdr:row>
      <xdr:rowOff>21166</xdr:rowOff>
    </xdr:from>
    <xdr:to>
      <xdr:col>15</xdr:col>
      <xdr:colOff>560916</xdr:colOff>
      <xdr:row>1241</xdr:row>
      <xdr:rowOff>84667</xdr:rowOff>
    </xdr:to>
    <xdr:cxnSp macro="">
      <xdr:nvCxnSpPr>
        <xdr:cNvPr id="1195" name="Straight Arrow Connector 1194">
          <a:extLst>
            <a:ext uri="{FF2B5EF4-FFF2-40B4-BE49-F238E27FC236}">
              <a16:creationId xmlns:a16="http://schemas.microsoft.com/office/drawing/2014/main" id="{00000000-0008-0000-1200-0000AB040000}"/>
            </a:ext>
          </a:extLst>
        </xdr:cNvPr>
        <xdr:cNvCxnSpPr/>
      </xdr:nvCxnSpPr>
      <xdr:spPr>
        <a:xfrm>
          <a:off x="10615083"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1238</xdr:row>
      <xdr:rowOff>52916</xdr:rowOff>
    </xdr:from>
    <xdr:to>
      <xdr:col>15</xdr:col>
      <xdr:colOff>592666</xdr:colOff>
      <xdr:row>1244</xdr:row>
      <xdr:rowOff>63501</xdr:rowOff>
    </xdr:to>
    <xdr:cxnSp macro="">
      <xdr:nvCxnSpPr>
        <xdr:cNvPr id="1196" name="Straight Arrow Connector 1195">
          <a:extLst>
            <a:ext uri="{FF2B5EF4-FFF2-40B4-BE49-F238E27FC236}">
              <a16:creationId xmlns:a16="http://schemas.microsoft.com/office/drawing/2014/main" id="{00000000-0008-0000-1200-0000AC040000}"/>
            </a:ext>
          </a:extLst>
        </xdr:cNvPr>
        <xdr:cNvCxnSpPr/>
      </xdr:nvCxnSpPr>
      <xdr:spPr>
        <a:xfrm>
          <a:off x="10572750"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1235</xdr:row>
      <xdr:rowOff>52917</xdr:rowOff>
    </xdr:from>
    <xdr:to>
      <xdr:col>15</xdr:col>
      <xdr:colOff>603250</xdr:colOff>
      <xdr:row>1237</xdr:row>
      <xdr:rowOff>148167</xdr:rowOff>
    </xdr:to>
    <xdr:cxnSp macro="">
      <xdr:nvCxnSpPr>
        <xdr:cNvPr id="1197" name="Straight Arrow Connector 1196">
          <a:extLst>
            <a:ext uri="{FF2B5EF4-FFF2-40B4-BE49-F238E27FC236}">
              <a16:creationId xmlns:a16="http://schemas.microsoft.com/office/drawing/2014/main" id="{00000000-0008-0000-1200-0000AD040000}"/>
            </a:ext>
          </a:extLst>
        </xdr:cNvPr>
        <xdr:cNvCxnSpPr/>
      </xdr:nvCxnSpPr>
      <xdr:spPr>
        <a:xfrm flipV="1">
          <a:off x="10583333"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1279</xdr:row>
      <xdr:rowOff>95250</xdr:rowOff>
    </xdr:from>
    <xdr:to>
      <xdr:col>8</xdr:col>
      <xdr:colOff>21167</xdr:colOff>
      <xdr:row>1311</xdr:row>
      <xdr:rowOff>148166</xdr:rowOff>
    </xdr:to>
    <xdr:cxnSp macro="">
      <xdr:nvCxnSpPr>
        <xdr:cNvPr id="1198" name="Straight Arrow Connector 1197">
          <a:extLst>
            <a:ext uri="{FF2B5EF4-FFF2-40B4-BE49-F238E27FC236}">
              <a16:creationId xmlns:a16="http://schemas.microsoft.com/office/drawing/2014/main" id="{00000000-0008-0000-1200-0000AE040000}"/>
            </a:ext>
          </a:extLst>
        </xdr:cNvPr>
        <xdr:cNvCxnSpPr/>
      </xdr:nvCxnSpPr>
      <xdr:spPr>
        <a:xfrm>
          <a:off x="5080000" y="72294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1250</xdr:row>
      <xdr:rowOff>137583</xdr:rowOff>
    </xdr:from>
    <xdr:to>
      <xdr:col>9</xdr:col>
      <xdr:colOff>603250</xdr:colOff>
      <xdr:row>1256</xdr:row>
      <xdr:rowOff>21166</xdr:rowOff>
    </xdr:to>
    <xdr:cxnSp macro="">
      <xdr:nvCxnSpPr>
        <xdr:cNvPr id="1199" name="Straight Arrow Connector 1198">
          <a:extLst>
            <a:ext uri="{FF2B5EF4-FFF2-40B4-BE49-F238E27FC236}">
              <a16:creationId xmlns:a16="http://schemas.microsoft.com/office/drawing/2014/main" id="{00000000-0008-0000-1200-0000AF040000}"/>
            </a:ext>
          </a:extLst>
        </xdr:cNvPr>
        <xdr:cNvCxnSpPr/>
      </xdr:nvCxnSpPr>
      <xdr:spPr>
        <a:xfrm flipV="1">
          <a:off x="6381750"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1259</xdr:row>
      <xdr:rowOff>0</xdr:rowOff>
    </xdr:from>
    <xdr:to>
      <xdr:col>9</xdr:col>
      <xdr:colOff>582083</xdr:colOff>
      <xdr:row>1267</xdr:row>
      <xdr:rowOff>10583</xdr:rowOff>
    </xdr:to>
    <xdr:cxnSp macro="">
      <xdr:nvCxnSpPr>
        <xdr:cNvPr id="1200" name="Straight Arrow Connector 1199">
          <a:extLst>
            <a:ext uri="{FF2B5EF4-FFF2-40B4-BE49-F238E27FC236}">
              <a16:creationId xmlns:a16="http://schemas.microsoft.com/office/drawing/2014/main" id="{00000000-0008-0000-1200-0000B0040000}"/>
            </a:ext>
          </a:extLst>
        </xdr:cNvPr>
        <xdr:cNvCxnSpPr/>
      </xdr:nvCxnSpPr>
      <xdr:spPr>
        <a:xfrm>
          <a:off x="6413500"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1201" name="Straight Arrow Connector 1200">
          <a:extLst>
            <a:ext uri="{FF2B5EF4-FFF2-40B4-BE49-F238E27FC236}">
              <a16:creationId xmlns:a16="http://schemas.microsoft.com/office/drawing/2014/main" id="{00000000-0008-0000-1200-0000B1040000}"/>
            </a:ext>
          </a:extLst>
        </xdr:cNvPr>
        <xdr:cNvCxnSpPr/>
      </xdr:nvCxnSpPr>
      <xdr:spPr>
        <a:xfrm flipV="1">
          <a:off x="7609417"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1202" name="Straight Arrow Connector 1201">
          <a:extLst>
            <a:ext uri="{FF2B5EF4-FFF2-40B4-BE49-F238E27FC236}">
              <a16:creationId xmlns:a16="http://schemas.microsoft.com/office/drawing/2014/main" id="{00000000-0008-0000-1200-0000B2040000}"/>
            </a:ext>
          </a:extLst>
        </xdr:cNvPr>
        <xdr:cNvCxnSpPr/>
      </xdr:nvCxnSpPr>
      <xdr:spPr>
        <a:xfrm>
          <a:off x="7598834"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1203" name="Straight Arrow Connector 1202">
          <a:extLst>
            <a:ext uri="{FF2B5EF4-FFF2-40B4-BE49-F238E27FC236}">
              <a16:creationId xmlns:a16="http://schemas.microsoft.com/office/drawing/2014/main" id="{00000000-0008-0000-1200-0000B3040000}"/>
            </a:ext>
          </a:extLst>
        </xdr:cNvPr>
        <xdr:cNvCxnSpPr/>
      </xdr:nvCxnSpPr>
      <xdr:spPr>
        <a:xfrm flipV="1">
          <a:off x="8794750" y="68410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1204" name="Straight Arrow Connector 1203">
          <a:extLst>
            <a:ext uri="{FF2B5EF4-FFF2-40B4-BE49-F238E27FC236}">
              <a16:creationId xmlns:a16="http://schemas.microsoft.com/office/drawing/2014/main" id="{00000000-0008-0000-1200-0000B4040000}"/>
            </a:ext>
          </a:extLst>
        </xdr:cNvPr>
        <xdr:cNvCxnSpPr/>
      </xdr:nvCxnSpPr>
      <xdr:spPr>
        <a:xfrm>
          <a:off x="8784166" y="69363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1205" name="Straight Arrow Connector 1204">
          <a:extLst>
            <a:ext uri="{FF2B5EF4-FFF2-40B4-BE49-F238E27FC236}">
              <a16:creationId xmlns:a16="http://schemas.microsoft.com/office/drawing/2014/main" id="{00000000-0008-0000-1200-0000B5040000}"/>
            </a:ext>
          </a:extLst>
        </xdr:cNvPr>
        <xdr:cNvCxnSpPr/>
      </xdr:nvCxnSpPr>
      <xdr:spPr>
        <a:xfrm flipV="1">
          <a:off x="879475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1206" name="Straight Arrow Connector 1205">
          <a:extLst>
            <a:ext uri="{FF2B5EF4-FFF2-40B4-BE49-F238E27FC236}">
              <a16:creationId xmlns:a16="http://schemas.microsoft.com/office/drawing/2014/main" id="{00000000-0008-0000-1200-0000B6040000}"/>
            </a:ext>
          </a:extLst>
        </xdr:cNvPr>
        <xdr:cNvCxnSpPr/>
      </xdr:nvCxnSpPr>
      <xdr:spPr>
        <a:xfrm>
          <a:off x="8805333" y="73342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1252</xdr:row>
      <xdr:rowOff>0</xdr:rowOff>
    </xdr:from>
    <xdr:to>
      <xdr:col>15</xdr:col>
      <xdr:colOff>603250</xdr:colOff>
      <xdr:row>1257</xdr:row>
      <xdr:rowOff>31750</xdr:rowOff>
    </xdr:to>
    <xdr:cxnSp macro="">
      <xdr:nvCxnSpPr>
        <xdr:cNvPr id="1207" name="Straight Arrow Connector 1206">
          <a:extLst>
            <a:ext uri="{FF2B5EF4-FFF2-40B4-BE49-F238E27FC236}">
              <a16:creationId xmlns:a16="http://schemas.microsoft.com/office/drawing/2014/main" id="{00000000-0008-0000-1200-0000B7040000}"/>
            </a:ext>
          </a:extLst>
        </xdr:cNvPr>
        <xdr:cNvCxnSpPr/>
      </xdr:nvCxnSpPr>
      <xdr:spPr>
        <a:xfrm flipV="1">
          <a:off x="10541000"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1208" name="Straight Arrow Connector 1207">
          <a:extLst>
            <a:ext uri="{FF2B5EF4-FFF2-40B4-BE49-F238E27FC236}">
              <a16:creationId xmlns:a16="http://schemas.microsoft.com/office/drawing/2014/main" id="{00000000-0008-0000-1200-0000B8040000}"/>
            </a:ext>
          </a:extLst>
        </xdr:cNvPr>
        <xdr:cNvCxnSpPr/>
      </xdr:nvCxnSpPr>
      <xdr:spPr>
        <a:xfrm flipV="1">
          <a:off x="10583333"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1209" name="Straight Arrow Connector 1208">
          <a:extLst>
            <a:ext uri="{FF2B5EF4-FFF2-40B4-BE49-F238E27FC236}">
              <a16:creationId xmlns:a16="http://schemas.microsoft.com/office/drawing/2014/main" id="{00000000-0008-0000-1200-0000B9040000}"/>
            </a:ext>
          </a:extLst>
        </xdr:cNvPr>
        <xdr:cNvCxnSpPr/>
      </xdr:nvCxnSpPr>
      <xdr:spPr>
        <a:xfrm>
          <a:off x="10604500"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1210" name="Straight Arrow Connector 1209">
          <a:extLst>
            <a:ext uri="{FF2B5EF4-FFF2-40B4-BE49-F238E27FC236}">
              <a16:creationId xmlns:a16="http://schemas.microsoft.com/office/drawing/2014/main" id="{00000000-0008-0000-1200-0000BA040000}"/>
            </a:ext>
          </a:extLst>
        </xdr:cNvPr>
        <xdr:cNvCxnSpPr/>
      </xdr:nvCxnSpPr>
      <xdr:spPr>
        <a:xfrm>
          <a:off x="10519834" y="67923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1265</xdr:row>
      <xdr:rowOff>52916</xdr:rowOff>
    </xdr:from>
    <xdr:to>
      <xdr:col>16</xdr:col>
      <xdr:colOff>0</xdr:colOff>
      <xdr:row>1267</xdr:row>
      <xdr:rowOff>0</xdr:rowOff>
    </xdr:to>
    <xdr:cxnSp macro="">
      <xdr:nvCxnSpPr>
        <xdr:cNvPr id="1211" name="Straight Arrow Connector 1210">
          <a:extLst>
            <a:ext uri="{FF2B5EF4-FFF2-40B4-BE49-F238E27FC236}">
              <a16:creationId xmlns:a16="http://schemas.microsoft.com/office/drawing/2014/main" id="{00000000-0008-0000-1200-0000BB040000}"/>
            </a:ext>
          </a:extLst>
        </xdr:cNvPr>
        <xdr:cNvCxnSpPr/>
      </xdr:nvCxnSpPr>
      <xdr:spPr>
        <a:xfrm flipV="1">
          <a:off x="10541000" y="69394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1212" name="Straight Arrow Connector 1211">
          <a:extLst>
            <a:ext uri="{FF2B5EF4-FFF2-40B4-BE49-F238E27FC236}">
              <a16:creationId xmlns:a16="http://schemas.microsoft.com/office/drawing/2014/main" id="{00000000-0008-0000-1200-0000BC040000}"/>
            </a:ext>
          </a:extLst>
        </xdr:cNvPr>
        <xdr:cNvCxnSpPr/>
      </xdr:nvCxnSpPr>
      <xdr:spPr>
        <a:xfrm>
          <a:off x="10551583"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1213" name="Straight Arrow Connector 1212">
          <a:extLst>
            <a:ext uri="{FF2B5EF4-FFF2-40B4-BE49-F238E27FC236}">
              <a16:creationId xmlns:a16="http://schemas.microsoft.com/office/drawing/2014/main" id="{00000000-0008-0000-1200-0000BD040000}"/>
            </a:ext>
          </a:extLst>
        </xdr:cNvPr>
        <xdr:cNvCxnSpPr/>
      </xdr:nvCxnSpPr>
      <xdr:spPr>
        <a:xfrm>
          <a:off x="10530417" y="69744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1214" name="Straight Arrow Connector 1213">
          <a:extLst>
            <a:ext uri="{FF2B5EF4-FFF2-40B4-BE49-F238E27FC236}">
              <a16:creationId xmlns:a16="http://schemas.microsoft.com/office/drawing/2014/main" id="{00000000-0008-0000-1200-0000BE040000}"/>
            </a:ext>
          </a:extLst>
        </xdr:cNvPr>
        <xdr:cNvCxnSpPr/>
      </xdr:nvCxnSpPr>
      <xdr:spPr>
        <a:xfrm>
          <a:off x="10541000" y="69754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1304</xdr:row>
      <xdr:rowOff>42333</xdr:rowOff>
    </xdr:from>
    <xdr:to>
      <xdr:col>9</xdr:col>
      <xdr:colOff>592666</xdr:colOff>
      <xdr:row>1312</xdr:row>
      <xdr:rowOff>42333</xdr:rowOff>
    </xdr:to>
    <xdr:cxnSp macro="">
      <xdr:nvCxnSpPr>
        <xdr:cNvPr id="1215" name="Straight Arrow Connector 1214">
          <a:extLst>
            <a:ext uri="{FF2B5EF4-FFF2-40B4-BE49-F238E27FC236}">
              <a16:creationId xmlns:a16="http://schemas.microsoft.com/office/drawing/2014/main" id="{00000000-0008-0000-1200-0000BF040000}"/>
            </a:ext>
          </a:extLst>
        </xdr:cNvPr>
        <xdr:cNvCxnSpPr/>
      </xdr:nvCxnSpPr>
      <xdr:spPr>
        <a:xfrm flipV="1">
          <a:off x="6392333"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1314</xdr:row>
      <xdr:rowOff>169334</xdr:rowOff>
    </xdr:from>
    <xdr:to>
      <xdr:col>9</xdr:col>
      <xdr:colOff>603250</xdr:colOff>
      <xdr:row>1323</xdr:row>
      <xdr:rowOff>31750</xdr:rowOff>
    </xdr:to>
    <xdr:cxnSp macro="">
      <xdr:nvCxnSpPr>
        <xdr:cNvPr id="1216" name="Straight Arrow Connector 1215">
          <a:extLst>
            <a:ext uri="{FF2B5EF4-FFF2-40B4-BE49-F238E27FC236}">
              <a16:creationId xmlns:a16="http://schemas.microsoft.com/office/drawing/2014/main" id="{00000000-0008-0000-1200-0000C0040000}"/>
            </a:ext>
          </a:extLst>
        </xdr:cNvPr>
        <xdr:cNvCxnSpPr/>
      </xdr:nvCxnSpPr>
      <xdr:spPr>
        <a:xfrm>
          <a:off x="6413500"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1217" name="Straight Arrow Connector 1216">
          <a:extLst>
            <a:ext uri="{FF2B5EF4-FFF2-40B4-BE49-F238E27FC236}">
              <a16:creationId xmlns:a16="http://schemas.microsoft.com/office/drawing/2014/main" id="{00000000-0008-0000-1200-0000C1040000}"/>
            </a:ext>
          </a:extLst>
        </xdr:cNvPr>
        <xdr:cNvCxnSpPr/>
      </xdr:nvCxnSpPr>
      <xdr:spPr>
        <a:xfrm flipV="1">
          <a:off x="7556500" y="80168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1218" name="Straight Arrow Connector 1217">
          <a:extLst>
            <a:ext uri="{FF2B5EF4-FFF2-40B4-BE49-F238E27FC236}">
              <a16:creationId xmlns:a16="http://schemas.microsoft.com/office/drawing/2014/main" id="{00000000-0008-0000-1200-0000C2040000}"/>
            </a:ext>
          </a:extLst>
        </xdr:cNvPr>
        <xdr:cNvCxnSpPr/>
      </xdr:nvCxnSpPr>
      <xdr:spPr>
        <a:xfrm flipV="1">
          <a:off x="10530417"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1219" name="Straight Arrow Connector 1218">
          <a:extLst>
            <a:ext uri="{FF2B5EF4-FFF2-40B4-BE49-F238E27FC236}">
              <a16:creationId xmlns:a16="http://schemas.microsoft.com/office/drawing/2014/main" id="{00000000-0008-0000-1200-0000C3040000}"/>
            </a:ext>
          </a:extLst>
        </xdr:cNvPr>
        <xdr:cNvCxnSpPr/>
      </xdr:nvCxnSpPr>
      <xdr:spPr>
        <a:xfrm>
          <a:off x="10572750"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1220" name="Straight Arrow Connector 1219">
          <a:extLst>
            <a:ext uri="{FF2B5EF4-FFF2-40B4-BE49-F238E27FC236}">
              <a16:creationId xmlns:a16="http://schemas.microsoft.com/office/drawing/2014/main" id="{00000000-0008-0000-1200-0000C4040000}"/>
            </a:ext>
          </a:extLst>
        </xdr:cNvPr>
        <xdr:cNvCxnSpPr/>
      </xdr:nvCxnSpPr>
      <xdr:spPr>
        <a:xfrm>
          <a:off x="10551583"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1221" name="Straight Arrow Connector 1220">
          <a:extLst>
            <a:ext uri="{FF2B5EF4-FFF2-40B4-BE49-F238E27FC236}">
              <a16:creationId xmlns:a16="http://schemas.microsoft.com/office/drawing/2014/main" id="{00000000-0008-0000-1200-0000C5040000}"/>
            </a:ext>
          </a:extLst>
        </xdr:cNvPr>
        <xdr:cNvCxnSpPr/>
      </xdr:nvCxnSpPr>
      <xdr:spPr>
        <a:xfrm>
          <a:off x="10583333" y="72421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1222" name="Straight Arrow Connector 1221">
          <a:extLst>
            <a:ext uri="{FF2B5EF4-FFF2-40B4-BE49-F238E27FC236}">
              <a16:creationId xmlns:a16="http://schemas.microsoft.com/office/drawing/2014/main" id="{00000000-0008-0000-1200-0000C6040000}"/>
            </a:ext>
          </a:extLst>
        </xdr:cNvPr>
        <xdr:cNvCxnSpPr/>
      </xdr:nvCxnSpPr>
      <xdr:spPr>
        <a:xfrm>
          <a:off x="10562166" y="75057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1223" name="Straight Arrow Connector 1222">
          <a:extLst>
            <a:ext uri="{FF2B5EF4-FFF2-40B4-BE49-F238E27FC236}">
              <a16:creationId xmlns:a16="http://schemas.microsoft.com/office/drawing/2014/main" id="{00000000-0008-0000-1200-0000C7040000}"/>
            </a:ext>
          </a:extLst>
        </xdr:cNvPr>
        <xdr:cNvCxnSpPr/>
      </xdr:nvCxnSpPr>
      <xdr:spPr>
        <a:xfrm>
          <a:off x="10615083"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1224" name="Straight Arrow Connector 1223">
          <a:extLst>
            <a:ext uri="{FF2B5EF4-FFF2-40B4-BE49-F238E27FC236}">
              <a16:creationId xmlns:a16="http://schemas.microsoft.com/office/drawing/2014/main" id="{00000000-0008-0000-1200-0000C8040000}"/>
            </a:ext>
          </a:extLst>
        </xdr:cNvPr>
        <xdr:cNvCxnSpPr/>
      </xdr:nvCxnSpPr>
      <xdr:spPr>
        <a:xfrm>
          <a:off x="10572750"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1225" name="Straight Arrow Connector 1224">
          <a:extLst>
            <a:ext uri="{FF2B5EF4-FFF2-40B4-BE49-F238E27FC236}">
              <a16:creationId xmlns:a16="http://schemas.microsoft.com/office/drawing/2014/main" id="{00000000-0008-0000-1200-0000C9040000}"/>
            </a:ext>
          </a:extLst>
        </xdr:cNvPr>
        <xdr:cNvCxnSpPr/>
      </xdr:nvCxnSpPr>
      <xdr:spPr>
        <a:xfrm flipV="1">
          <a:off x="10562166"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1226" name="Straight Arrow Connector 1225">
          <a:extLst>
            <a:ext uri="{FF2B5EF4-FFF2-40B4-BE49-F238E27FC236}">
              <a16:creationId xmlns:a16="http://schemas.microsoft.com/office/drawing/2014/main" id="{00000000-0008-0000-1200-0000CA040000}"/>
            </a:ext>
          </a:extLst>
        </xdr:cNvPr>
        <xdr:cNvCxnSpPr/>
      </xdr:nvCxnSpPr>
      <xdr:spPr>
        <a:xfrm flipV="1">
          <a:off x="10604500"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1227" name="Straight Arrow Connector 1226">
          <a:extLst>
            <a:ext uri="{FF2B5EF4-FFF2-40B4-BE49-F238E27FC236}">
              <a16:creationId xmlns:a16="http://schemas.microsoft.com/office/drawing/2014/main" id="{00000000-0008-0000-1200-0000CB040000}"/>
            </a:ext>
          </a:extLst>
        </xdr:cNvPr>
        <xdr:cNvCxnSpPr/>
      </xdr:nvCxnSpPr>
      <xdr:spPr>
        <a:xfrm>
          <a:off x="10593916"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1228" name="Straight Arrow Connector 1227">
          <a:extLst>
            <a:ext uri="{FF2B5EF4-FFF2-40B4-BE49-F238E27FC236}">
              <a16:creationId xmlns:a16="http://schemas.microsoft.com/office/drawing/2014/main" id="{00000000-0008-0000-1200-0000CC040000}"/>
            </a:ext>
          </a:extLst>
        </xdr:cNvPr>
        <xdr:cNvCxnSpPr/>
      </xdr:nvCxnSpPr>
      <xdr:spPr>
        <a:xfrm>
          <a:off x="10572750" y="80697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1229" name="Straight Arrow Connector 1228">
          <a:extLst>
            <a:ext uri="{FF2B5EF4-FFF2-40B4-BE49-F238E27FC236}">
              <a16:creationId xmlns:a16="http://schemas.microsoft.com/office/drawing/2014/main" id="{00000000-0008-0000-1200-0000CD040000}"/>
            </a:ext>
          </a:extLst>
        </xdr:cNvPr>
        <xdr:cNvCxnSpPr/>
      </xdr:nvCxnSpPr>
      <xdr:spPr>
        <a:xfrm flipV="1">
          <a:off x="10583333"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1230" name="Straight Arrow Connector 1229">
          <a:extLst>
            <a:ext uri="{FF2B5EF4-FFF2-40B4-BE49-F238E27FC236}">
              <a16:creationId xmlns:a16="http://schemas.microsoft.com/office/drawing/2014/main" id="{00000000-0008-0000-1200-0000CE040000}"/>
            </a:ext>
          </a:extLst>
        </xdr:cNvPr>
        <xdr:cNvCxnSpPr/>
      </xdr:nvCxnSpPr>
      <xdr:spPr>
        <a:xfrm>
          <a:off x="7598834"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1231" name="Straight Arrow Connector 1230">
          <a:extLst>
            <a:ext uri="{FF2B5EF4-FFF2-40B4-BE49-F238E27FC236}">
              <a16:creationId xmlns:a16="http://schemas.microsoft.com/office/drawing/2014/main" id="{00000000-0008-0000-1200-0000CF040000}"/>
            </a:ext>
          </a:extLst>
        </xdr:cNvPr>
        <xdr:cNvCxnSpPr/>
      </xdr:nvCxnSpPr>
      <xdr:spPr>
        <a:xfrm flipV="1">
          <a:off x="8794750" y="7926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1232" name="Straight Arrow Connector 1231">
          <a:extLst>
            <a:ext uri="{FF2B5EF4-FFF2-40B4-BE49-F238E27FC236}">
              <a16:creationId xmlns:a16="http://schemas.microsoft.com/office/drawing/2014/main" id="{00000000-0008-0000-1200-0000D0040000}"/>
            </a:ext>
          </a:extLst>
        </xdr:cNvPr>
        <xdr:cNvCxnSpPr/>
      </xdr:nvCxnSpPr>
      <xdr:spPr>
        <a:xfrm>
          <a:off x="8784166" y="8022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1233" name="Straight Arrow Connector 1232">
          <a:extLst>
            <a:ext uri="{FF2B5EF4-FFF2-40B4-BE49-F238E27FC236}">
              <a16:creationId xmlns:a16="http://schemas.microsoft.com/office/drawing/2014/main" id="{00000000-0008-0000-1200-0000D1040000}"/>
            </a:ext>
          </a:extLst>
        </xdr:cNvPr>
        <xdr:cNvCxnSpPr/>
      </xdr:nvCxnSpPr>
      <xdr:spPr>
        <a:xfrm flipV="1">
          <a:off x="879475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1234" name="Straight Arrow Connector 1233">
          <a:extLst>
            <a:ext uri="{FF2B5EF4-FFF2-40B4-BE49-F238E27FC236}">
              <a16:creationId xmlns:a16="http://schemas.microsoft.com/office/drawing/2014/main" id="{00000000-0008-0000-1200-0000D2040000}"/>
            </a:ext>
          </a:extLst>
        </xdr:cNvPr>
        <xdr:cNvCxnSpPr/>
      </xdr:nvCxnSpPr>
      <xdr:spPr>
        <a:xfrm>
          <a:off x="8805333" y="8420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1235" name="Straight Arrow Connector 1234">
          <a:extLst>
            <a:ext uri="{FF2B5EF4-FFF2-40B4-BE49-F238E27FC236}">
              <a16:creationId xmlns:a16="http://schemas.microsoft.com/office/drawing/2014/main" id="{00000000-0008-0000-1200-0000D3040000}"/>
            </a:ext>
          </a:extLst>
        </xdr:cNvPr>
        <xdr:cNvCxnSpPr/>
      </xdr:nvCxnSpPr>
      <xdr:spPr>
        <a:xfrm>
          <a:off x="10593916"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1321</xdr:row>
      <xdr:rowOff>52916</xdr:rowOff>
    </xdr:from>
    <xdr:to>
      <xdr:col>16</xdr:col>
      <xdr:colOff>0</xdr:colOff>
      <xdr:row>1323</xdr:row>
      <xdr:rowOff>0</xdr:rowOff>
    </xdr:to>
    <xdr:cxnSp macro="">
      <xdr:nvCxnSpPr>
        <xdr:cNvPr id="1236" name="Straight Arrow Connector 1235">
          <a:extLst>
            <a:ext uri="{FF2B5EF4-FFF2-40B4-BE49-F238E27FC236}">
              <a16:creationId xmlns:a16="http://schemas.microsoft.com/office/drawing/2014/main" id="{00000000-0008-0000-1200-0000D4040000}"/>
            </a:ext>
          </a:extLst>
        </xdr:cNvPr>
        <xdr:cNvCxnSpPr/>
      </xdr:nvCxnSpPr>
      <xdr:spPr>
        <a:xfrm flipV="1">
          <a:off x="10541000" y="8025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1237" name="Straight Arrow Connector 1236">
          <a:extLst>
            <a:ext uri="{FF2B5EF4-FFF2-40B4-BE49-F238E27FC236}">
              <a16:creationId xmlns:a16="http://schemas.microsoft.com/office/drawing/2014/main" id="{00000000-0008-0000-1200-0000D5040000}"/>
            </a:ext>
          </a:extLst>
        </xdr:cNvPr>
        <xdr:cNvCxnSpPr/>
      </xdr:nvCxnSpPr>
      <xdr:spPr>
        <a:xfrm>
          <a:off x="10530417"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1238" name="Straight Arrow Connector 1237">
          <a:extLst>
            <a:ext uri="{FF2B5EF4-FFF2-40B4-BE49-F238E27FC236}">
              <a16:creationId xmlns:a16="http://schemas.microsoft.com/office/drawing/2014/main" id="{00000000-0008-0000-1200-0000D6040000}"/>
            </a:ext>
          </a:extLst>
        </xdr:cNvPr>
        <xdr:cNvCxnSpPr/>
      </xdr:nvCxnSpPr>
      <xdr:spPr>
        <a:xfrm>
          <a:off x="10530417" y="80581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1239" name="Straight Arrow Connector 1238">
          <a:extLst>
            <a:ext uri="{FF2B5EF4-FFF2-40B4-BE49-F238E27FC236}">
              <a16:creationId xmlns:a16="http://schemas.microsoft.com/office/drawing/2014/main" id="{00000000-0008-0000-1200-0000D7040000}"/>
            </a:ext>
          </a:extLst>
        </xdr:cNvPr>
        <xdr:cNvCxnSpPr/>
      </xdr:nvCxnSpPr>
      <xdr:spPr>
        <a:xfrm flipV="1">
          <a:off x="10530417"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1240" name="Straight Arrow Connector 1239">
          <a:extLst>
            <a:ext uri="{FF2B5EF4-FFF2-40B4-BE49-F238E27FC236}">
              <a16:creationId xmlns:a16="http://schemas.microsoft.com/office/drawing/2014/main" id="{00000000-0008-0000-1200-0000D8040000}"/>
            </a:ext>
          </a:extLst>
        </xdr:cNvPr>
        <xdr:cNvCxnSpPr/>
      </xdr:nvCxnSpPr>
      <xdr:spPr>
        <a:xfrm>
          <a:off x="10572750"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1241" name="Straight Arrow Connector 1240">
          <a:extLst>
            <a:ext uri="{FF2B5EF4-FFF2-40B4-BE49-F238E27FC236}">
              <a16:creationId xmlns:a16="http://schemas.microsoft.com/office/drawing/2014/main" id="{00000000-0008-0000-1200-0000D9040000}"/>
            </a:ext>
          </a:extLst>
        </xdr:cNvPr>
        <xdr:cNvCxnSpPr/>
      </xdr:nvCxnSpPr>
      <xdr:spPr>
        <a:xfrm>
          <a:off x="10551583"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1242" name="Straight Arrow Connector 1241">
          <a:extLst>
            <a:ext uri="{FF2B5EF4-FFF2-40B4-BE49-F238E27FC236}">
              <a16:creationId xmlns:a16="http://schemas.microsoft.com/office/drawing/2014/main" id="{00000000-0008-0000-1200-0000DA040000}"/>
            </a:ext>
          </a:extLst>
        </xdr:cNvPr>
        <xdr:cNvCxnSpPr/>
      </xdr:nvCxnSpPr>
      <xdr:spPr>
        <a:xfrm>
          <a:off x="10583333" y="8328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1243" name="Straight Arrow Connector 1242">
          <a:extLst>
            <a:ext uri="{FF2B5EF4-FFF2-40B4-BE49-F238E27FC236}">
              <a16:creationId xmlns:a16="http://schemas.microsoft.com/office/drawing/2014/main" id="{00000000-0008-0000-1200-0000DB040000}"/>
            </a:ext>
          </a:extLst>
        </xdr:cNvPr>
        <xdr:cNvCxnSpPr/>
      </xdr:nvCxnSpPr>
      <xdr:spPr>
        <a:xfrm>
          <a:off x="10562166" y="8591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1244" name="Straight Arrow Connector 1243">
          <a:extLst>
            <a:ext uri="{FF2B5EF4-FFF2-40B4-BE49-F238E27FC236}">
              <a16:creationId xmlns:a16="http://schemas.microsoft.com/office/drawing/2014/main" id="{00000000-0008-0000-1200-0000DC040000}"/>
            </a:ext>
          </a:extLst>
        </xdr:cNvPr>
        <xdr:cNvCxnSpPr/>
      </xdr:nvCxnSpPr>
      <xdr:spPr>
        <a:xfrm>
          <a:off x="10615083"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1245" name="Straight Arrow Connector 1244">
          <a:extLst>
            <a:ext uri="{FF2B5EF4-FFF2-40B4-BE49-F238E27FC236}">
              <a16:creationId xmlns:a16="http://schemas.microsoft.com/office/drawing/2014/main" id="{00000000-0008-0000-1200-0000DD040000}"/>
            </a:ext>
          </a:extLst>
        </xdr:cNvPr>
        <xdr:cNvCxnSpPr/>
      </xdr:nvCxnSpPr>
      <xdr:spPr>
        <a:xfrm>
          <a:off x="10572750"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1246" name="Straight Arrow Connector 1245">
          <a:extLst>
            <a:ext uri="{FF2B5EF4-FFF2-40B4-BE49-F238E27FC236}">
              <a16:creationId xmlns:a16="http://schemas.microsoft.com/office/drawing/2014/main" id="{00000000-0008-0000-1200-0000DE040000}"/>
            </a:ext>
          </a:extLst>
        </xdr:cNvPr>
        <xdr:cNvCxnSpPr/>
      </xdr:nvCxnSpPr>
      <xdr:spPr>
        <a:xfrm flipV="1">
          <a:off x="10583333"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1258</xdr:row>
      <xdr:rowOff>127000</xdr:rowOff>
    </xdr:from>
    <xdr:to>
      <xdr:col>8</xdr:col>
      <xdr:colOff>63500</xdr:colOff>
      <xdr:row>1277</xdr:row>
      <xdr:rowOff>0</xdr:rowOff>
    </xdr:to>
    <xdr:cxnSp macro="">
      <xdr:nvCxnSpPr>
        <xdr:cNvPr id="1247" name="Straight Arrow Connector 1246">
          <a:extLst>
            <a:ext uri="{FF2B5EF4-FFF2-40B4-BE49-F238E27FC236}">
              <a16:creationId xmlns:a16="http://schemas.microsoft.com/office/drawing/2014/main" id="{00000000-0008-0000-1200-0000DF040000}"/>
            </a:ext>
          </a:extLst>
        </xdr:cNvPr>
        <xdr:cNvCxnSpPr/>
      </xdr:nvCxnSpPr>
      <xdr:spPr>
        <a:xfrm flipV="1">
          <a:off x="5207000" y="68135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1248" name="Straight Arrow Connector 1247">
          <a:extLst>
            <a:ext uri="{FF2B5EF4-FFF2-40B4-BE49-F238E27FC236}">
              <a16:creationId xmlns:a16="http://schemas.microsoft.com/office/drawing/2014/main" id="{00000000-0008-0000-1200-0000E0040000}"/>
            </a:ext>
          </a:extLst>
        </xdr:cNvPr>
        <xdr:cNvCxnSpPr/>
      </xdr:nvCxnSpPr>
      <xdr:spPr>
        <a:xfrm flipV="1">
          <a:off x="603250" y="884025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1249" name="Straight Arrow Connector 1248">
          <a:extLst>
            <a:ext uri="{FF2B5EF4-FFF2-40B4-BE49-F238E27FC236}">
              <a16:creationId xmlns:a16="http://schemas.microsoft.com/office/drawing/2014/main" id="{00000000-0008-0000-1200-0000E1040000}"/>
            </a:ext>
          </a:extLst>
        </xdr:cNvPr>
        <xdr:cNvCxnSpPr/>
      </xdr:nvCxnSpPr>
      <xdr:spPr>
        <a:xfrm>
          <a:off x="603250" y="1072303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1250" name="Straight Arrow Connector 1249">
          <a:extLst>
            <a:ext uri="{FF2B5EF4-FFF2-40B4-BE49-F238E27FC236}">
              <a16:creationId xmlns:a16="http://schemas.microsoft.com/office/drawing/2014/main" id="{00000000-0008-0000-1200-0000E2040000}"/>
            </a:ext>
          </a:extLst>
        </xdr:cNvPr>
        <xdr:cNvCxnSpPr/>
      </xdr:nvCxnSpPr>
      <xdr:spPr>
        <a:xfrm flipV="1">
          <a:off x="2296584" y="1024572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1251" name="Straight Arrow Connector 1250">
          <a:extLst>
            <a:ext uri="{FF2B5EF4-FFF2-40B4-BE49-F238E27FC236}">
              <a16:creationId xmlns:a16="http://schemas.microsoft.com/office/drawing/2014/main" id="{00000000-0008-0000-1200-0000E3040000}"/>
            </a:ext>
          </a:extLst>
        </xdr:cNvPr>
        <xdr:cNvCxnSpPr/>
      </xdr:nvCxnSpPr>
      <xdr:spPr>
        <a:xfrm>
          <a:off x="2307167" y="1158345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1252" name="Straight Arrow Connector 1251">
          <a:extLst>
            <a:ext uri="{FF2B5EF4-FFF2-40B4-BE49-F238E27FC236}">
              <a16:creationId xmlns:a16="http://schemas.microsoft.com/office/drawing/2014/main" id="{00000000-0008-0000-1200-0000E4040000}"/>
            </a:ext>
          </a:extLst>
        </xdr:cNvPr>
        <xdr:cNvCxnSpPr/>
      </xdr:nvCxnSpPr>
      <xdr:spPr>
        <a:xfrm flipV="1">
          <a:off x="3714750" y="952500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1253" name="Straight Arrow Connector 1252">
          <a:extLst>
            <a:ext uri="{FF2B5EF4-FFF2-40B4-BE49-F238E27FC236}">
              <a16:creationId xmlns:a16="http://schemas.microsoft.com/office/drawing/2014/main" id="{00000000-0008-0000-1200-0000E5040000}"/>
            </a:ext>
          </a:extLst>
        </xdr:cNvPr>
        <xdr:cNvCxnSpPr/>
      </xdr:nvCxnSpPr>
      <xdr:spPr>
        <a:xfrm>
          <a:off x="3799417" y="102467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1254" name="Straight Arrow Connector 1253">
          <a:extLst>
            <a:ext uri="{FF2B5EF4-FFF2-40B4-BE49-F238E27FC236}">
              <a16:creationId xmlns:a16="http://schemas.microsoft.com/office/drawing/2014/main" id="{00000000-0008-0000-1200-0000E6040000}"/>
            </a:ext>
          </a:extLst>
        </xdr:cNvPr>
        <xdr:cNvCxnSpPr/>
      </xdr:nvCxnSpPr>
      <xdr:spPr>
        <a:xfrm flipV="1">
          <a:off x="5175250" y="90445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1255" name="Straight Arrow Connector 1254">
          <a:extLst>
            <a:ext uri="{FF2B5EF4-FFF2-40B4-BE49-F238E27FC236}">
              <a16:creationId xmlns:a16="http://schemas.microsoft.com/office/drawing/2014/main" id="{00000000-0008-0000-1200-0000E7040000}"/>
            </a:ext>
          </a:extLst>
        </xdr:cNvPr>
        <xdr:cNvCxnSpPr/>
      </xdr:nvCxnSpPr>
      <xdr:spPr>
        <a:xfrm>
          <a:off x="5175250" y="952605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1256" name="Straight Arrow Connector 1255">
          <a:extLst>
            <a:ext uri="{FF2B5EF4-FFF2-40B4-BE49-F238E27FC236}">
              <a16:creationId xmlns:a16="http://schemas.microsoft.com/office/drawing/2014/main" id="{00000000-0008-0000-1200-0000E8040000}"/>
            </a:ext>
          </a:extLst>
        </xdr:cNvPr>
        <xdr:cNvCxnSpPr/>
      </xdr:nvCxnSpPr>
      <xdr:spPr>
        <a:xfrm flipV="1">
          <a:off x="6381750" y="88910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1257" name="Straight Arrow Connector 1256">
          <a:extLst>
            <a:ext uri="{FF2B5EF4-FFF2-40B4-BE49-F238E27FC236}">
              <a16:creationId xmlns:a16="http://schemas.microsoft.com/office/drawing/2014/main" id="{00000000-0008-0000-1200-0000E9040000}"/>
            </a:ext>
          </a:extLst>
        </xdr:cNvPr>
        <xdr:cNvCxnSpPr/>
      </xdr:nvCxnSpPr>
      <xdr:spPr>
        <a:xfrm>
          <a:off x="6413500" y="90487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1258" name="Straight Arrow Connector 1257">
          <a:extLst>
            <a:ext uri="{FF2B5EF4-FFF2-40B4-BE49-F238E27FC236}">
              <a16:creationId xmlns:a16="http://schemas.microsoft.com/office/drawing/2014/main" id="{00000000-0008-0000-1200-0000EA040000}"/>
            </a:ext>
          </a:extLst>
        </xdr:cNvPr>
        <xdr:cNvCxnSpPr/>
      </xdr:nvCxnSpPr>
      <xdr:spPr>
        <a:xfrm flipV="1">
          <a:off x="7609417" y="91609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1259" name="Straight Arrow Connector 1258">
          <a:extLst>
            <a:ext uri="{FF2B5EF4-FFF2-40B4-BE49-F238E27FC236}">
              <a16:creationId xmlns:a16="http://schemas.microsoft.com/office/drawing/2014/main" id="{00000000-0008-0000-1200-0000EB040000}"/>
            </a:ext>
          </a:extLst>
        </xdr:cNvPr>
        <xdr:cNvCxnSpPr/>
      </xdr:nvCxnSpPr>
      <xdr:spPr>
        <a:xfrm>
          <a:off x="7598834" y="9262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1260" name="Straight Arrow Connector 1259">
          <a:extLst>
            <a:ext uri="{FF2B5EF4-FFF2-40B4-BE49-F238E27FC236}">
              <a16:creationId xmlns:a16="http://schemas.microsoft.com/office/drawing/2014/main" id="{00000000-0008-0000-1200-0000EC040000}"/>
            </a:ext>
          </a:extLst>
        </xdr:cNvPr>
        <xdr:cNvCxnSpPr/>
      </xdr:nvCxnSpPr>
      <xdr:spPr>
        <a:xfrm flipV="1">
          <a:off x="8794750" y="9069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1261" name="Straight Arrow Connector 1260">
          <a:extLst>
            <a:ext uri="{FF2B5EF4-FFF2-40B4-BE49-F238E27FC236}">
              <a16:creationId xmlns:a16="http://schemas.microsoft.com/office/drawing/2014/main" id="{00000000-0008-0000-1200-0000ED040000}"/>
            </a:ext>
          </a:extLst>
        </xdr:cNvPr>
        <xdr:cNvCxnSpPr/>
      </xdr:nvCxnSpPr>
      <xdr:spPr>
        <a:xfrm>
          <a:off x="8784166" y="9165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1262" name="Straight Arrow Connector 1261">
          <a:extLst>
            <a:ext uri="{FF2B5EF4-FFF2-40B4-BE49-F238E27FC236}">
              <a16:creationId xmlns:a16="http://schemas.microsoft.com/office/drawing/2014/main" id="{00000000-0008-0000-1200-0000EE040000}"/>
            </a:ext>
          </a:extLst>
        </xdr:cNvPr>
        <xdr:cNvCxnSpPr/>
      </xdr:nvCxnSpPr>
      <xdr:spPr>
        <a:xfrm flipV="1">
          <a:off x="8794750" y="9469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1263" name="Straight Arrow Connector 1262">
          <a:extLst>
            <a:ext uri="{FF2B5EF4-FFF2-40B4-BE49-F238E27FC236}">
              <a16:creationId xmlns:a16="http://schemas.microsoft.com/office/drawing/2014/main" id="{00000000-0008-0000-1200-0000EF040000}"/>
            </a:ext>
          </a:extLst>
        </xdr:cNvPr>
        <xdr:cNvCxnSpPr/>
      </xdr:nvCxnSpPr>
      <xdr:spPr>
        <a:xfrm>
          <a:off x="8805333" y="9563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1264" name="Straight Arrow Connector 1263">
          <a:extLst>
            <a:ext uri="{FF2B5EF4-FFF2-40B4-BE49-F238E27FC236}">
              <a16:creationId xmlns:a16="http://schemas.microsoft.com/office/drawing/2014/main" id="{00000000-0008-0000-1200-0000F0040000}"/>
            </a:ext>
          </a:extLst>
        </xdr:cNvPr>
        <xdr:cNvCxnSpPr/>
      </xdr:nvCxnSpPr>
      <xdr:spPr>
        <a:xfrm flipV="1">
          <a:off x="10541000" y="89154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1265" name="Straight Arrow Connector 1264">
          <a:extLst>
            <a:ext uri="{FF2B5EF4-FFF2-40B4-BE49-F238E27FC236}">
              <a16:creationId xmlns:a16="http://schemas.microsoft.com/office/drawing/2014/main" id="{00000000-0008-0000-1200-0000F1040000}"/>
            </a:ext>
          </a:extLst>
        </xdr:cNvPr>
        <xdr:cNvCxnSpPr/>
      </xdr:nvCxnSpPr>
      <xdr:spPr>
        <a:xfrm flipV="1">
          <a:off x="10583333" y="89778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1266" name="Straight Arrow Connector 1265">
          <a:extLst>
            <a:ext uri="{FF2B5EF4-FFF2-40B4-BE49-F238E27FC236}">
              <a16:creationId xmlns:a16="http://schemas.microsoft.com/office/drawing/2014/main" id="{00000000-0008-0000-1200-0000F2040000}"/>
            </a:ext>
          </a:extLst>
        </xdr:cNvPr>
        <xdr:cNvCxnSpPr/>
      </xdr:nvCxnSpPr>
      <xdr:spPr>
        <a:xfrm>
          <a:off x="10604500" y="90265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1267" name="Straight Arrow Connector 1266">
          <a:extLst>
            <a:ext uri="{FF2B5EF4-FFF2-40B4-BE49-F238E27FC236}">
              <a16:creationId xmlns:a16="http://schemas.microsoft.com/office/drawing/2014/main" id="{00000000-0008-0000-1200-0000F3040000}"/>
            </a:ext>
          </a:extLst>
        </xdr:cNvPr>
        <xdr:cNvCxnSpPr/>
      </xdr:nvCxnSpPr>
      <xdr:spPr>
        <a:xfrm>
          <a:off x="10519834" y="90212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1268" name="Straight Arrow Connector 1267">
          <a:extLst>
            <a:ext uri="{FF2B5EF4-FFF2-40B4-BE49-F238E27FC236}">
              <a16:creationId xmlns:a16="http://schemas.microsoft.com/office/drawing/2014/main" id="{00000000-0008-0000-1200-0000F4040000}"/>
            </a:ext>
          </a:extLst>
        </xdr:cNvPr>
        <xdr:cNvCxnSpPr/>
      </xdr:nvCxnSpPr>
      <xdr:spPr>
        <a:xfrm flipV="1">
          <a:off x="10541000" y="9168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1269" name="Straight Arrow Connector 1268">
          <a:extLst>
            <a:ext uri="{FF2B5EF4-FFF2-40B4-BE49-F238E27FC236}">
              <a16:creationId xmlns:a16="http://schemas.microsoft.com/office/drawing/2014/main" id="{00000000-0008-0000-1200-0000F5040000}"/>
            </a:ext>
          </a:extLst>
        </xdr:cNvPr>
        <xdr:cNvCxnSpPr/>
      </xdr:nvCxnSpPr>
      <xdr:spPr>
        <a:xfrm>
          <a:off x="10551583" y="92032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1270" name="Straight Arrow Connector 1269">
          <a:extLst>
            <a:ext uri="{FF2B5EF4-FFF2-40B4-BE49-F238E27FC236}">
              <a16:creationId xmlns:a16="http://schemas.microsoft.com/office/drawing/2014/main" id="{00000000-0008-0000-1200-0000F6040000}"/>
            </a:ext>
          </a:extLst>
        </xdr:cNvPr>
        <xdr:cNvCxnSpPr/>
      </xdr:nvCxnSpPr>
      <xdr:spPr>
        <a:xfrm>
          <a:off x="10530417" y="92032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1271" name="Straight Arrow Connector 1270">
          <a:extLst>
            <a:ext uri="{FF2B5EF4-FFF2-40B4-BE49-F238E27FC236}">
              <a16:creationId xmlns:a16="http://schemas.microsoft.com/office/drawing/2014/main" id="{00000000-0008-0000-1200-0000F7040000}"/>
            </a:ext>
          </a:extLst>
        </xdr:cNvPr>
        <xdr:cNvCxnSpPr/>
      </xdr:nvCxnSpPr>
      <xdr:spPr>
        <a:xfrm>
          <a:off x="10541000" y="92043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1272" name="Straight Arrow Connector 1271">
          <a:extLst>
            <a:ext uri="{FF2B5EF4-FFF2-40B4-BE49-F238E27FC236}">
              <a16:creationId xmlns:a16="http://schemas.microsoft.com/office/drawing/2014/main" id="{00000000-0008-0000-1200-0000F8040000}"/>
            </a:ext>
          </a:extLst>
        </xdr:cNvPr>
        <xdr:cNvCxnSpPr/>
      </xdr:nvCxnSpPr>
      <xdr:spPr>
        <a:xfrm flipV="1">
          <a:off x="6392333" y="99292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1273" name="Straight Arrow Connector 1272">
          <a:extLst>
            <a:ext uri="{FF2B5EF4-FFF2-40B4-BE49-F238E27FC236}">
              <a16:creationId xmlns:a16="http://schemas.microsoft.com/office/drawing/2014/main" id="{00000000-0008-0000-1200-0000F9040000}"/>
            </a:ext>
          </a:extLst>
        </xdr:cNvPr>
        <xdr:cNvCxnSpPr/>
      </xdr:nvCxnSpPr>
      <xdr:spPr>
        <a:xfrm>
          <a:off x="6413500" y="101324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1274" name="Straight Arrow Connector 1273">
          <a:extLst>
            <a:ext uri="{FF2B5EF4-FFF2-40B4-BE49-F238E27FC236}">
              <a16:creationId xmlns:a16="http://schemas.microsoft.com/office/drawing/2014/main" id="{00000000-0008-0000-1200-0000FA040000}"/>
            </a:ext>
          </a:extLst>
        </xdr:cNvPr>
        <xdr:cNvCxnSpPr/>
      </xdr:nvCxnSpPr>
      <xdr:spPr>
        <a:xfrm flipV="1">
          <a:off x="7556500" y="102457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1275" name="Straight Arrow Connector 1274">
          <a:extLst>
            <a:ext uri="{FF2B5EF4-FFF2-40B4-BE49-F238E27FC236}">
              <a16:creationId xmlns:a16="http://schemas.microsoft.com/office/drawing/2014/main" id="{00000000-0008-0000-1200-0000FB040000}"/>
            </a:ext>
          </a:extLst>
        </xdr:cNvPr>
        <xdr:cNvCxnSpPr/>
      </xdr:nvCxnSpPr>
      <xdr:spPr>
        <a:xfrm flipV="1">
          <a:off x="10530417" y="9429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1276" name="Straight Arrow Connector 1275">
          <a:extLst>
            <a:ext uri="{FF2B5EF4-FFF2-40B4-BE49-F238E27FC236}">
              <a16:creationId xmlns:a16="http://schemas.microsoft.com/office/drawing/2014/main" id="{00000000-0008-0000-1200-0000FC040000}"/>
            </a:ext>
          </a:extLst>
        </xdr:cNvPr>
        <xdr:cNvCxnSpPr/>
      </xdr:nvCxnSpPr>
      <xdr:spPr>
        <a:xfrm>
          <a:off x="10572750" y="9468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1277" name="Straight Arrow Connector 1276">
          <a:extLst>
            <a:ext uri="{FF2B5EF4-FFF2-40B4-BE49-F238E27FC236}">
              <a16:creationId xmlns:a16="http://schemas.microsoft.com/office/drawing/2014/main" id="{00000000-0008-0000-1200-0000FD040000}"/>
            </a:ext>
          </a:extLst>
        </xdr:cNvPr>
        <xdr:cNvCxnSpPr/>
      </xdr:nvCxnSpPr>
      <xdr:spPr>
        <a:xfrm>
          <a:off x="10551583" y="9468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1278" name="Straight Arrow Connector 1277">
          <a:extLst>
            <a:ext uri="{FF2B5EF4-FFF2-40B4-BE49-F238E27FC236}">
              <a16:creationId xmlns:a16="http://schemas.microsoft.com/office/drawing/2014/main" id="{00000000-0008-0000-1200-0000FE040000}"/>
            </a:ext>
          </a:extLst>
        </xdr:cNvPr>
        <xdr:cNvCxnSpPr/>
      </xdr:nvCxnSpPr>
      <xdr:spPr>
        <a:xfrm>
          <a:off x="10583333" y="9471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1279" name="Straight Arrow Connector 1278">
          <a:extLst>
            <a:ext uri="{FF2B5EF4-FFF2-40B4-BE49-F238E27FC236}">
              <a16:creationId xmlns:a16="http://schemas.microsoft.com/office/drawing/2014/main" id="{00000000-0008-0000-1200-0000FF040000}"/>
            </a:ext>
          </a:extLst>
        </xdr:cNvPr>
        <xdr:cNvCxnSpPr/>
      </xdr:nvCxnSpPr>
      <xdr:spPr>
        <a:xfrm>
          <a:off x="10562166" y="9734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1280" name="Straight Arrow Connector 1279">
          <a:extLst>
            <a:ext uri="{FF2B5EF4-FFF2-40B4-BE49-F238E27FC236}">
              <a16:creationId xmlns:a16="http://schemas.microsoft.com/office/drawing/2014/main" id="{00000000-0008-0000-1200-000000050000}"/>
            </a:ext>
          </a:extLst>
        </xdr:cNvPr>
        <xdr:cNvCxnSpPr/>
      </xdr:nvCxnSpPr>
      <xdr:spPr>
        <a:xfrm>
          <a:off x="10615083" y="9736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1281" name="Straight Arrow Connector 1280">
          <a:extLst>
            <a:ext uri="{FF2B5EF4-FFF2-40B4-BE49-F238E27FC236}">
              <a16:creationId xmlns:a16="http://schemas.microsoft.com/office/drawing/2014/main" id="{00000000-0008-0000-1200-000001050000}"/>
            </a:ext>
          </a:extLst>
        </xdr:cNvPr>
        <xdr:cNvCxnSpPr/>
      </xdr:nvCxnSpPr>
      <xdr:spPr>
        <a:xfrm>
          <a:off x="10572750" y="9739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1282" name="Straight Arrow Connector 1281">
          <a:extLst>
            <a:ext uri="{FF2B5EF4-FFF2-40B4-BE49-F238E27FC236}">
              <a16:creationId xmlns:a16="http://schemas.microsoft.com/office/drawing/2014/main" id="{00000000-0008-0000-1200-000002050000}"/>
            </a:ext>
          </a:extLst>
        </xdr:cNvPr>
        <xdr:cNvCxnSpPr/>
      </xdr:nvCxnSpPr>
      <xdr:spPr>
        <a:xfrm flipV="1">
          <a:off x="10562166" y="100128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1283" name="Straight Arrow Connector 1282">
          <a:extLst>
            <a:ext uri="{FF2B5EF4-FFF2-40B4-BE49-F238E27FC236}">
              <a16:creationId xmlns:a16="http://schemas.microsoft.com/office/drawing/2014/main" id="{00000000-0008-0000-1200-000003050000}"/>
            </a:ext>
          </a:extLst>
        </xdr:cNvPr>
        <xdr:cNvCxnSpPr/>
      </xdr:nvCxnSpPr>
      <xdr:spPr>
        <a:xfrm flipV="1">
          <a:off x="10604500" y="100488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1284" name="Straight Arrow Connector 1283">
          <a:extLst>
            <a:ext uri="{FF2B5EF4-FFF2-40B4-BE49-F238E27FC236}">
              <a16:creationId xmlns:a16="http://schemas.microsoft.com/office/drawing/2014/main" id="{00000000-0008-0000-1200-000004050000}"/>
            </a:ext>
          </a:extLst>
        </xdr:cNvPr>
        <xdr:cNvCxnSpPr/>
      </xdr:nvCxnSpPr>
      <xdr:spPr>
        <a:xfrm>
          <a:off x="10593916" y="100890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1285" name="Straight Arrow Connector 1284">
          <a:extLst>
            <a:ext uri="{FF2B5EF4-FFF2-40B4-BE49-F238E27FC236}">
              <a16:creationId xmlns:a16="http://schemas.microsoft.com/office/drawing/2014/main" id="{00000000-0008-0000-1200-000005050000}"/>
            </a:ext>
          </a:extLst>
        </xdr:cNvPr>
        <xdr:cNvCxnSpPr/>
      </xdr:nvCxnSpPr>
      <xdr:spPr>
        <a:xfrm>
          <a:off x="10572750" y="102986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1286" name="Straight Arrow Connector 1285">
          <a:extLst>
            <a:ext uri="{FF2B5EF4-FFF2-40B4-BE49-F238E27FC236}">
              <a16:creationId xmlns:a16="http://schemas.microsoft.com/office/drawing/2014/main" id="{00000000-0008-0000-1200-000006050000}"/>
            </a:ext>
          </a:extLst>
        </xdr:cNvPr>
        <xdr:cNvCxnSpPr/>
      </xdr:nvCxnSpPr>
      <xdr:spPr>
        <a:xfrm flipV="1">
          <a:off x="10583333" y="9682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1287" name="Straight Arrow Connector 1286">
          <a:extLst>
            <a:ext uri="{FF2B5EF4-FFF2-40B4-BE49-F238E27FC236}">
              <a16:creationId xmlns:a16="http://schemas.microsoft.com/office/drawing/2014/main" id="{00000000-0008-0000-1200-000007050000}"/>
            </a:ext>
          </a:extLst>
        </xdr:cNvPr>
        <xdr:cNvCxnSpPr/>
      </xdr:nvCxnSpPr>
      <xdr:spPr>
        <a:xfrm>
          <a:off x="7598834" y="103483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1288" name="Straight Arrow Connector 1287">
          <a:extLst>
            <a:ext uri="{FF2B5EF4-FFF2-40B4-BE49-F238E27FC236}">
              <a16:creationId xmlns:a16="http://schemas.microsoft.com/office/drawing/2014/main" id="{00000000-0008-0000-1200-000008050000}"/>
            </a:ext>
          </a:extLst>
        </xdr:cNvPr>
        <xdr:cNvCxnSpPr/>
      </xdr:nvCxnSpPr>
      <xdr:spPr>
        <a:xfrm flipV="1">
          <a:off x="8794750" y="101557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1289" name="Straight Arrow Connector 1288">
          <a:extLst>
            <a:ext uri="{FF2B5EF4-FFF2-40B4-BE49-F238E27FC236}">
              <a16:creationId xmlns:a16="http://schemas.microsoft.com/office/drawing/2014/main" id="{00000000-0008-0000-1200-000009050000}"/>
            </a:ext>
          </a:extLst>
        </xdr:cNvPr>
        <xdr:cNvCxnSpPr/>
      </xdr:nvCxnSpPr>
      <xdr:spPr>
        <a:xfrm>
          <a:off x="8784166" y="102510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1290" name="Straight Arrow Connector 1289">
          <a:extLst>
            <a:ext uri="{FF2B5EF4-FFF2-40B4-BE49-F238E27FC236}">
              <a16:creationId xmlns:a16="http://schemas.microsoft.com/office/drawing/2014/main" id="{00000000-0008-0000-1200-00000A050000}"/>
            </a:ext>
          </a:extLst>
        </xdr:cNvPr>
        <xdr:cNvCxnSpPr/>
      </xdr:nvCxnSpPr>
      <xdr:spPr>
        <a:xfrm flipV="1">
          <a:off x="8794750" y="105558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1291" name="Straight Arrow Connector 1290">
          <a:extLst>
            <a:ext uri="{FF2B5EF4-FFF2-40B4-BE49-F238E27FC236}">
              <a16:creationId xmlns:a16="http://schemas.microsoft.com/office/drawing/2014/main" id="{00000000-0008-0000-1200-00000B050000}"/>
            </a:ext>
          </a:extLst>
        </xdr:cNvPr>
        <xdr:cNvCxnSpPr/>
      </xdr:nvCxnSpPr>
      <xdr:spPr>
        <a:xfrm>
          <a:off x="8805333" y="106489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1292" name="Straight Arrow Connector 1291">
          <a:extLst>
            <a:ext uri="{FF2B5EF4-FFF2-40B4-BE49-F238E27FC236}">
              <a16:creationId xmlns:a16="http://schemas.microsoft.com/office/drawing/2014/main" id="{00000000-0008-0000-1200-00000C050000}"/>
            </a:ext>
          </a:extLst>
        </xdr:cNvPr>
        <xdr:cNvCxnSpPr/>
      </xdr:nvCxnSpPr>
      <xdr:spPr>
        <a:xfrm>
          <a:off x="10593916" y="100869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1293" name="Straight Arrow Connector 1292">
          <a:extLst>
            <a:ext uri="{FF2B5EF4-FFF2-40B4-BE49-F238E27FC236}">
              <a16:creationId xmlns:a16="http://schemas.microsoft.com/office/drawing/2014/main" id="{00000000-0008-0000-1200-00000D050000}"/>
            </a:ext>
          </a:extLst>
        </xdr:cNvPr>
        <xdr:cNvCxnSpPr/>
      </xdr:nvCxnSpPr>
      <xdr:spPr>
        <a:xfrm flipV="1">
          <a:off x="10541000" y="102541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1294" name="Straight Arrow Connector 1293">
          <a:extLst>
            <a:ext uri="{FF2B5EF4-FFF2-40B4-BE49-F238E27FC236}">
              <a16:creationId xmlns:a16="http://schemas.microsoft.com/office/drawing/2014/main" id="{00000000-0008-0000-1200-00000E050000}"/>
            </a:ext>
          </a:extLst>
        </xdr:cNvPr>
        <xdr:cNvCxnSpPr/>
      </xdr:nvCxnSpPr>
      <xdr:spPr>
        <a:xfrm>
          <a:off x="10530417" y="102891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1295" name="Straight Arrow Connector 1294">
          <a:extLst>
            <a:ext uri="{FF2B5EF4-FFF2-40B4-BE49-F238E27FC236}">
              <a16:creationId xmlns:a16="http://schemas.microsoft.com/office/drawing/2014/main" id="{00000000-0008-0000-1200-00000F050000}"/>
            </a:ext>
          </a:extLst>
        </xdr:cNvPr>
        <xdr:cNvCxnSpPr/>
      </xdr:nvCxnSpPr>
      <xdr:spPr>
        <a:xfrm>
          <a:off x="10530417" y="102870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1296" name="Straight Arrow Connector 1295">
          <a:extLst>
            <a:ext uri="{FF2B5EF4-FFF2-40B4-BE49-F238E27FC236}">
              <a16:creationId xmlns:a16="http://schemas.microsoft.com/office/drawing/2014/main" id="{00000000-0008-0000-1200-000010050000}"/>
            </a:ext>
          </a:extLst>
        </xdr:cNvPr>
        <xdr:cNvCxnSpPr/>
      </xdr:nvCxnSpPr>
      <xdr:spPr>
        <a:xfrm flipV="1">
          <a:off x="10530417" y="105156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1297" name="Straight Arrow Connector 1296">
          <a:extLst>
            <a:ext uri="{FF2B5EF4-FFF2-40B4-BE49-F238E27FC236}">
              <a16:creationId xmlns:a16="http://schemas.microsoft.com/office/drawing/2014/main" id="{00000000-0008-0000-1200-000011050000}"/>
            </a:ext>
          </a:extLst>
        </xdr:cNvPr>
        <xdr:cNvCxnSpPr/>
      </xdr:nvCxnSpPr>
      <xdr:spPr>
        <a:xfrm>
          <a:off x="10572750" y="105547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1298" name="Straight Arrow Connector 1297">
          <a:extLst>
            <a:ext uri="{FF2B5EF4-FFF2-40B4-BE49-F238E27FC236}">
              <a16:creationId xmlns:a16="http://schemas.microsoft.com/office/drawing/2014/main" id="{00000000-0008-0000-1200-000012050000}"/>
            </a:ext>
          </a:extLst>
        </xdr:cNvPr>
        <xdr:cNvCxnSpPr/>
      </xdr:nvCxnSpPr>
      <xdr:spPr>
        <a:xfrm>
          <a:off x="10551583" y="105547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1299" name="Straight Arrow Connector 1298">
          <a:extLst>
            <a:ext uri="{FF2B5EF4-FFF2-40B4-BE49-F238E27FC236}">
              <a16:creationId xmlns:a16="http://schemas.microsoft.com/office/drawing/2014/main" id="{00000000-0008-0000-1200-000013050000}"/>
            </a:ext>
          </a:extLst>
        </xdr:cNvPr>
        <xdr:cNvCxnSpPr/>
      </xdr:nvCxnSpPr>
      <xdr:spPr>
        <a:xfrm>
          <a:off x="10583333" y="105568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1304" name="Straight Arrow Connector 1303">
          <a:extLst>
            <a:ext uri="{FF2B5EF4-FFF2-40B4-BE49-F238E27FC236}">
              <a16:creationId xmlns:a16="http://schemas.microsoft.com/office/drawing/2014/main" id="{00000000-0008-0000-1200-000018050000}"/>
            </a:ext>
          </a:extLst>
        </xdr:cNvPr>
        <xdr:cNvCxnSpPr/>
      </xdr:nvCxnSpPr>
      <xdr:spPr>
        <a:xfrm>
          <a:off x="5080000" y="1163002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1305" name="Straight Arrow Connector 1304">
          <a:extLst>
            <a:ext uri="{FF2B5EF4-FFF2-40B4-BE49-F238E27FC236}">
              <a16:creationId xmlns:a16="http://schemas.microsoft.com/office/drawing/2014/main" id="{00000000-0008-0000-1200-000019050000}"/>
            </a:ext>
          </a:extLst>
        </xdr:cNvPr>
        <xdr:cNvCxnSpPr/>
      </xdr:nvCxnSpPr>
      <xdr:spPr>
        <a:xfrm flipV="1">
          <a:off x="6381750" y="110627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1306" name="Straight Arrow Connector 1305">
          <a:extLst>
            <a:ext uri="{FF2B5EF4-FFF2-40B4-BE49-F238E27FC236}">
              <a16:creationId xmlns:a16="http://schemas.microsoft.com/office/drawing/2014/main" id="{00000000-0008-0000-1200-00001A050000}"/>
            </a:ext>
          </a:extLst>
        </xdr:cNvPr>
        <xdr:cNvCxnSpPr/>
      </xdr:nvCxnSpPr>
      <xdr:spPr>
        <a:xfrm>
          <a:off x="6413500" y="112204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1307" name="Straight Arrow Connector 1306">
          <a:extLst>
            <a:ext uri="{FF2B5EF4-FFF2-40B4-BE49-F238E27FC236}">
              <a16:creationId xmlns:a16="http://schemas.microsoft.com/office/drawing/2014/main" id="{00000000-0008-0000-1200-00001B050000}"/>
            </a:ext>
          </a:extLst>
        </xdr:cNvPr>
        <xdr:cNvCxnSpPr/>
      </xdr:nvCxnSpPr>
      <xdr:spPr>
        <a:xfrm flipV="1">
          <a:off x="7609417"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1308" name="Straight Arrow Connector 1307">
          <a:extLst>
            <a:ext uri="{FF2B5EF4-FFF2-40B4-BE49-F238E27FC236}">
              <a16:creationId xmlns:a16="http://schemas.microsoft.com/office/drawing/2014/main" id="{00000000-0008-0000-1200-00001C050000}"/>
            </a:ext>
          </a:extLst>
        </xdr:cNvPr>
        <xdr:cNvCxnSpPr/>
      </xdr:nvCxnSpPr>
      <xdr:spPr>
        <a:xfrm>
          <a:off x="7598834"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1309" name="Straight Arrow Connector 1308">
          <a:extLst>
            <a:ext uri="{FF2B5EF4-FFF2-40B4-BE49-F238E27FC236}">
              <a16:creationId xmlns:a16="http://schemas.microsoft.com/office/drawing/2014/main" id="{00000000-0008-0000-1200-00001D050000}"/>
            </a:ext>
          </a:extLst>
        </xdr:cNvPr>
        <xdr:cNvCxnSpPr/>
      </xdr:nvCxnSpPr>
      <xdr:spPr>
        <a:xfrm flipV="1">
          <a:off x="8794750" y="112416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1310" name="Straight Arrow Connector 1309">
          <a:extLst>
            <a:ext uri="{FF2B5EF4-FFF2-40B4-BE49-F238E27FC236}">
              <a16:creationId xmlns:a16="http://schemas.microsoft.com/office/drawing/2014/main" id="{00000000-0008-0000-1200-00001E050000}"/>
            </a:ext>
          </a:extLst>
        </xdr:cNvPr>
        <xdr:cNvCxnSpPr/>
      </xdr:nvCxnSpPr>
      <xdr:spPr>
        <a:xfrm>
          <a:off x="8784166" y="113368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1311" name="Straight Arrow Connector 1310">
          <a:extLst>
            <a:ext uri="{FF2B5EF4-FFF2-40B4-BE49-F238E27FC236}">
              <a16:creationId xmlns:a16="http://schemas.microsoft.com/office/drawing/2014/main" id="{00000000-0008-0000-1200-00001F050000}"/>
            </a:ext>
          </a:extLst>
        </xdr:cNvPr>
        <xdr:cNvCxnSpPr/>
      </xdr:nvCxnSpPr>
      <xdr:spPr>
        <a:xfrm flipV="1">
          <a:off x="879475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1312" name="Straight Arrow Connector 1311">
          <a:extLst>
            <a:ext uri="{FF2B5EF4-FFF2-40B4-BE49-F238E27FC236}">
              <a16:creationId xmlns:a16="http://schemas.microsoft.com/office/drawing/2014/main" id="{00000000-0008-0000-1200-000020050000}"/>
            </a:ext>
          </a:extLst>
        </xdr:cNvPr>
        <xdr:cNvCxnSpPr/>
      </xdr:nvCxnSpPr>
      <xdr:spPr>
        <a:xfrm>
          <a:off x="8805333" y="117348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1313" name="Straight Arrow Connector 1312">
          <a:extLst>
            <a:ext uri="{FF2B5EF4-FFF2-40B4-BE49-F238E27FC236}">
              <a16:creationId xmlns:a16="http://schemas.microsoft.com/office/drawing/2014/main" id="{00000000-0008-0000-1200-000021050000}"/>
            </a:ext>
          </a:extLst>
        </xdr:cNvPr>
        <xdr:cNvCxnSpPr/>
      </xdr:nvCxnSpPr>
      <xdr:spPr>
        <a:xfrm flipV="1">
          <a:off x="10541000"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1314" name="Straight Arrow Connector 1313">
          <a:extLst>
            <a:ext uri="{FF2B5EF4-FFF2-40B4-BE49-F238E27FC236}">
              <a16:creationId xmlns:a16="http://schemas.microsoft.com/office/drawing/2014/main" id="{00000000-0008-0000-1200-000022050000}"/>
            </a:ext>
          </a:extLst>
        </xdr:cNvPr>
        <xdr:cNvCxnSpPr/>
      </xdr:nvCxnSpPr>
      <xdr:spPr>
        <a:xfrm flipV="1">
          <a:off x="10583333"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1315" name="Straight Arrow Connector 1314">
          <a:extLst>
            <a:ext uri="{FF2B5EF4-FFF2-40B4-BE49-F238E27FC236}">
              <a16:creationId xmlns:a16="http://schemas.microsoft.com/office/drawing/2014/main" id="{00000000-0008-0000-1200-000023050000}"/>
            </a:ext>
          </a:extLst>
        </xdr:cNvPr>
        <xdr:cNvCxnSpPr/>
      </xdr:nvCxnSpPr>
      <xdr:spPr>
        <a:xfrm>
          <a:off x="10604500"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1316" name="Straight Arrow Connector 1315">
          <a:extLst>
            <a:ext uri="{FF2B5EF4-FFF2-40B4-BE49-F238E27FC236}">
              <a16:creationId xmlns:a16="http://schemas.microsoft.com/office/drawing/2014/main" id="{00000000-0008-0000-1200-000024050000}"/>
            </a:ext>
          </a:extLst>
        </xdr:cNvPr>
        <xdr:cNvCxnSpPr/>
      </xdr:nvCxnSpPr>
      <xdr:spPr>
        <a:xfrm>
          <a:off x="10519834" y="111929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1317" name="Straight Arrow Connector 1316">
          <a:extLst>
            <a:ext uri="{FF2B5EF4-FFF2-40B4-BE49-F238E27FC236}">
              <a16:creationId xmlns:a16="http://schemas.microsoft.com/office/drawing/2014/main" id="{00000000-0008-0000-1200-000025050000}"/>
            </a:ext>
          </a:extLst>
        </xdr:cNvPr>
        <xdr:cNvCxnSpPr/>
      </xdr:nvCxnSpPr>
      <xdr:spPr>
        <a:xfrm flipV="1">
          <a:off x="10541000" y="113400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1318" name="Straight Arrow Connector 1317">
          <a:extLst>
            <a:ext uri="{FF2B5EF4-FFF2-40B4-BE49-F238E27FC236}">
              <a16:creationId xmlns:a16="http://schemas.microsoft.com/office/drawing/2014/main" id="{00000000-0008-0000-1200-000026050000}"/>
            </a:ext>
          </a:extLst>
        </xdr:cNvPr>
        <xdr:cNvCxnSpPr/>
      </xdr:nvCxnSpPr>
      <xdr:spPr>
        <a:xfrm>
          <a:off x="10551583"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1319" name="Straight Arrow Connector 1318">
          <a:extLst>
            <a:ext uri="{FF2B5EF4-FFF2-40B4-BE49-F238E27FC236}">
              <a16:creationId xmlns:a16="http://schemas.microsoft.com/office/drawing/2014/main" id="{00000000-0008-0000-1200-000027050000}"/>
            </a:ext>
          </a:extLst>
        </xdr:cNvPr>
        <xdr:cNvCxnSpPr/>
      </xdr:nvCxnSpPr>
      <xdr:spPr>
        <a:xfrm>
          <a:off x="10530417" y="113749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1320" name="Straight Arrow Connector 1319">
          <a:extLst>
            <a:ext uri="{FF2B5EF4-FFF2-40B4-BE49-F238E27FC236}">
              <a16:creationId xmlns:a16="http://schemas.microsoft.com/office/drawing/2014/main" id="{00000000-0008-0000-1200-000028050000}"/>
            </a:ext>
          </a:extLst>
        </xdr:cNvPr>
        <xdr:cNvCxnSpPr/>
      </xdr:nvCxnSpPr>
      <xdr:spPr>
        <a:xfrm>
          <a:off x="10541000" y="113760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1321" name="Straight Arrow Connector 1320">
          <a:extLst>
            <a:ext uri="{FF2B5EF4-FFF2-40B4-BE49-F238E27FC236}">
              <a16:creationId xmlns:a16="http://schemas.microsoft.com/office/drawing/2014/main" id="{00000000-0008-0000-1200-000029050000}"/>
            </a:ext>
          </a:extLst>
        </xdr:cNvPr>
        <xdr:cNvCxnSpPr/>
      </xdr:nvCxnSpPr>
      <xdr:spPr>
        <a:xfrm flipV="1">
          <a:off x="6392333" y="121009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1322" name="Straight Arrow Connector 1321">
          <a:extLst>
            <a:ext uri="{FF2B5EF4-FFF2-40B4-BE49-F238E27FC236}">
              <a16:creationId xmlns:a16="http://schemas.microsoft.com/office/drawing/2014/main" id="{00000000-0008-0000-1200-00002A050000}"/>
            </a:ext>
          </a:extLst>
        </xdr:cNvPr>
        <xdr:cNvCxnSpPr/>
      </xdr:nvCxnSpPr>
      <xdr:spPr>
        <a:xfrm>
          <a:off x="6413500" y="123041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1323" name="Straight Arrow Connector 1322">
          <a:extLst>
            <a:ext uri="{FF2B5EF4-FFF2-40B4-BE49-F238E27FC236}">
              <a16:creationId xmlns:a16="http://schemas.microsoft.com/office/drawing/2014/main" id="{00000000-0008-0000-1200-00002B050000}"/>
            </a:ext>
          </a:extLst>
        </xdr:cNvPr>
        <xdr:cNvCxnSpPr/>
      </xdr:nvCxnSpPr>
      <xdr:spPr>
        <a:xfrm flipV="1">
          <a:off x="7556500" y="124174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1324" name="Straight Arrow Connector 1323">
          <a:extLst>
            <a:ext uri="{FF2B5EF4-FFF2-40B4-BE49-F238E27FC236}">
              <a16:creationId xmlns:a16="http://schemas.microsoft.com/office/drawing/2014/main" id="{00000000-0008-0000-1200-00002C050000}"/>
            </a:ext>
          </a:extLst>
        </xdr:cNvPr>
        <xdr:cNvCxnSpPr/>
      </xdr:nvCxnSpPr>
      <xdr:spPr>
        <a:xfrm flipV="1">
          <a:off x="10530417"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1325" name="Straight Arrow Connector 1324">
          <a:extLst>
            <a:ext uri="{FF2B5EF4-FFF2-40B4-BE49-F238E27FC236}">
              <a16:creationId xmlns:a16="http://schemas.microsoft.com/office/drawing/2014/main" id="{00000000-0008-0000-1200-00002D050000}"/>
            </a:ext>
          </a:extLst>
        </xdr:cNvPr>
        <xdr:cNvCxnSpPr/>
      </xdr:nvCxnSpPr>
      <xdr:spPr>
        <a:xfrm>
          <a:off x="10572750"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1326" name="Straight Arrow Connector 1325">
          <a:extLst>
            <a:ext uri="{FF2B5EF4-FFF2-40B4-BE49-F238E27FC236}">
              <a16:creationId xmlns:a16="http://schemas.microsoft.com/office/drawing/2014/main" id="{00000000-0008-0000-1200-00002E050000}"/>
            </a:ext>
          </a:extLst>
        </xdr:cNvPr>
        <xdr:cNvCxnSpPr/>
      </xdr:nvCxnSpPr>
      <xdr:spPr>
        <a:xfrm>
          <a:off x="10551583"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1327" name="Straight Arrow Connector 1326">
          <a:extLst>
            <a:ext uri="{FF2B5EF4-FFF2-40B4-BE49-F238E27FC236}">
              <a16:creationId xmlns:a16="http://schemas.microsoft.com/office/drawing/2014/main" id="{00000000-0008-0000-1200-00002F050000}"/>
            </a:ext>
          </a:extLst>
        </xdr:cNvPr>
        <xdr:cNvCxnSpPr/>
      </xdr:nvCxnSpPr>
      <xdr:spPr>
        <a:xfrm>
          <a:off x="10583333" y="116427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1328" name="Straight Arrow Connector 1327">
          <a:extLst>
            <a:ext uri="{FF2B5EF4-FFF2-40B4-BE49-F238E27FC236}">
              <a16:creationId xmlns:a16="http://schemas.microsoft.com/office/drawing/2014/main" id="{00000000-0008-0000-1200-000030050000}"/>
            </a:ext>
          </a:extLst>
        </xdr:cNvPr>
        <xdr:cNvCxnSpPr/>
      </xdr:nvCxnSpPr>
      <xdr:spPr>
        <a:xfrm>
          <a:off x="10562166" y="119062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1329" name="Straight Arrow Connector 1328">
          <a:extLst>
            <a:ext uri="{FF2B5EF4-FFF2-40B4-BE49-F238E27FC236}">
              <a16:creationId xmlns:a16="http://schemas.microsoft.com/office/drawing/2014/main" id="{00000000-0008-0000-1200-000031050000}"/>
            </a:ext>
          </a:extLst>
        </xdr:cNvPr>
        <xdr:cNvCxnSpPr/>
      </xdr:nvCxnSpPr>
      <xdr:spPr>
        <a:xfrm>
          <a:off x="10615083"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1330" name="Straight Arrow Connector 1329">
          <a:extLst>
            <a:ext uri="{FF2B5EF4-FFF2-40B4-BE49-F238E27FC236}">
              <a16:creationId xmlns:a16="http://schemas.microsoft.com/office/drawing/2014/main" id="{00000000-0008-0000-1200-000032050000}"/>
            </a:ext>
          </a:extLst>
        </xdr:cNvPr>
        <xdr:cNvCxnSpPr/>
      </xdr:nvCxnSpPr>
      <xdr:spPr>
        <a:xfrm>
          <a:off x="10572750"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1331" name="Straight Arrow Connector 1330">
          <a:extLst>
            <a:ext uri="{FF2B5EF4-FFF2-40B4-BE49-F238E27FC236}">
              <a16:creationId xmlns:a16="http://schemas.microsoft.com/office/drawing/2014/main" id="{00000000-0008-0000-1200-000033050000}"/>
            </a:ext>
          </a:extLst>
        </xdr:cNvPr>
        <xdr:cNvCxnSpPr/>
      </xdr:nvCxnSpPr>
      <xdr:spPr>
        <a:xfrm flipV="1">
          <a:off x="10562166"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1332" name="Straight Arrow Connector 1331">
          <a:extLst>
            <a:ext uri="{FF2B5EF4-FFF2-40B4-BE49-F238E27FC236}">
              <a16:creationId xmlns:a16="http://schemas.microsoft.com/office/drawing/2014/main" id="{00000000-0008-0000-1200-000034050000}"/>
            </a:ext>
          </a:extLst>
        </xdr:cNvPr>
        <xdr:cNvCxnSpPr/>
      </xdr:nvCxnSpPr>
      <xdr:spPr>
        <a:xfrm flipV="1">
          <a:off x="10604500"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1333" name="Straight Arrow Connector 1332">
          <a:extLst>
            <a:ext uri="{FF2B5EF4-FFF2-40B4-BE49-F238E27FC236}">
              <a16:creationId xmlns:a16="http://schemas.microsoft.com/office/drawing/2014/main" id="{00000000-0008-0000-1200-000035050000}"/>
            </a:ext>
          </a:extLst>
        </xdr:cNvPr>
        <xdr:cNvCxnSpPr/>
      </xdr:nvCxnSpPr>
      <xdr:spPr>
        <a:xfrm>
          <a:off x="10593916"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1334" name="Straight Arrow Connector 1333">
          <a:extLst>
            <a:ext uri="{FF2B5EF4-FFF2-40B4-BE49-F238E27FC236}">
              <a16:creationId xmlns:a16="http://schemas.microsoft.com/office/drawing/2014/main" id="{00000000-0008-0000-1200-000036050000}"/>
            </a:ext>
          </a:extLst>
        </xdr:cNvPr>
        <xdr:cNvCxnSpPr/>
      </xdr:nvCxnSpPr>
      <xdr:spPr>
        <a:xfrm>
          <a:off x="10572750" y="124703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1335" name="Straight Arrow Connector 1334">
          <a:extLst>
            <a:ext uri="{FF2B5EF4-FFF2-40B4-BE49-F238E27FC236}">
              <a16:creationId xmlns:a16="http://schemas.microsoft.com/office/drawing/2014/main" id="{00000000-0008-0000-1200-000037050000}"/>
            </a:ext>
          </a:extLst>
        </xdr:cNvPr>
        <xdr:cNvCxnSpPr/>
      </xdr:nvCxnSpPr>
      <xdr:spPr>
        <a:xfrm flipV="1">
          <a:off x="10583333"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1336" name="Straight Arrow Connector 1335">
          <a:extLst>
            <a:ext uri="{FF2B5EF4-FFF2-40B4-BE49-F238E27FC236}">
              <a16:creationId xmlns:a16="http://schemas.microsoft.com/office/drawing/2014/main" id="{00000000-0008-0000-1200-000038050000}"/>
            </a:ext>
          </a:extLst>
        </xdr:cNvPr>
        <xdr:cNvCxnSpPr/>
      </xdr:nvCxnSpPr>
      <xdr:spPr>
        <a:xfrm>
          <a:off x="7598834"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1337" name="Straight Arrow Connector 1336">
          <a:extLst>
            <a:ext uri="{FF2B5EF4-FFF2-40B4-BE49-F238E27FC236}">
              <a16:creationId xmlns:a16="http://schemas.microsoft.com/office/drawing/2014/main" id="{00000000-0008-0000-1200-000039050000}"/>
            </a:ext>
          </a:extLst>
        </xdr:cNvPr>
        <xdr:cNvCxnSpPr/>
      </xdr:nvCxnSpPr>
      <xdr:spPr>
        <a:xfrm flipV="1">
          <a:off x="8794750" y="123274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1338" name="Straight Arrow Connector 1337">
          <a:extLst>
            <a:ext uri="{FF2B5EF4-FFF2-40B4-BE49-F238E27FC236}">
              <a16:creationId xmlns:a16="http://schemas.microsoft.com/office/drawing/2014/main" id="{00000000-0008-0000-1200-00003A050000}"/>
            </a:ext>
          </a:extLst>
        </xdr:cNvPr>
        <xdr:cNvCxnSpPr/>
      </xdr:nvCxnSpPr>
      <xdr:spPr>
        <a:xfrm>
          <a:off x="8784166" y="124227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1339" name="Straight Arrow Connector 1338">
          <a:extLst>
            <a:ext uri="{FF2B5EF4-FFF2-40B4-BE49-F238E27FC236}">
              <a16:creationId xmlns:a16="http://schemas.microsoft.com/office/drawing/2014/main" id="{00000000-0008-0000-1200-00003B050000}"/>
            </a:ext>
          </a:extLst>
        </xdr:cNvPr>
        <xdr:cNvCxnSpPr/>
      </xdr:nvCxnSpPr>
      <xdr:spPr>
        <a:xfrm flipV="1">
          <a:off x="879475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1340" name="Straight Arrow Connector 1339">
          <a:extLst>
            <a:ext uri="{FF2B5EF4-FFF2-40B4-BE49-F238E27FC236}">
              <a16:creationId xmlns:a16="http://schemas.microsoft.com/office/drawing/2014/main" id="{00000000-0008-0000-1200-00003C050000}"/>
            </a:ext>
          </a:extLst>
        </xdr:cNvPr>
        <xdr:cNvCxnSpPr/>
      </xdr:nvCxnSpPr>
      <xdr:spPr>
        <a:xfrm>
          <a:off x="8805333" y="128206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1341" name="Straight Arrow Connector 1340">
          <a:extLst>
            <a:ext uri="{FF2B5EF4-FFF2-40B4-BE49-F238E27FC236}">
              <a16:creationId xmlns:a16="http://schemas.microsoft.com/office/drawing/2014/main" id="{00000000-0008-0000-1200-00003D050000}"/>
            </a:ext>
          </a:extLst>
        </xdr:cNvPr>
        <xdr:cNvCxnSpPr/>
      </xdr:nvCxnSpPr>
      <xdr:spPr>
        <a:xfrm>
          <a:off x="10593916"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1342" name="Straight Arrow Connector 1341">
          <a:extLst>
            <a:ext uri="{FF2B5EF4-FFF2-40B4-BE49-F238E27FC236}">
              <a16:creationId xmlns:a16="http://schemas.microsoft.com/office/drawing/2014/main" id="{00000000-0008-0000-1200-00003E050000}"/>
            </a:ext>
          </a:extLst>
        </xdr:cNvPr>
        <xdr:cNvCxnSpPr/>
      </xdr:nvCxnSpPr>
      <xdr:spPr>
        <a:xfrm flipV="1">
          <a:off x="10541000" y="124258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1343" name="Straight Arrow Connector 1342">
          <a:extLst>
            <a:ext uri="{FF2B5EF4-FFF2-40B4-BE49-F238E27FC236}">
              <a16:creationId xmlns:a16="http://schemas.microsoft.com/office/drawing/2014/main" id="{00000000-0008-0000-1200-00003F050000}"/>
            </a:ext>
          </a:extLst>
        </xdr:cNvPr>
        <xdr:cNvCxnSpPr/>
      </xdr:nvCxnSpPr>
      <xdr:spPr>
        <a:xfrm>
          <a:off x="10530417"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1344" name="Straight Arrow Connector 1343">
          <a:extLst>
            <a:ext uri="{FF2B5EF4-FFF2-40B4-BE49-F238E27FC236}">
              <a16:creationId xmlns:a16="http://schemas.microsoft.com/office/drawing/2014/main" id="{00000000-0008-0000-1200-000040050000}"/>
            </a:ext>
          </a:extLst>
        </xdr:cNvPr>
        <xdr:cNvCxnSpPr/>
      </xdr:nvCxnSpPr>
      <xdr:spPr>
        <a:xfrm>
          <a:off x="10530417" y="124587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1345" name="Straight Arrow Connector 1344">
          <a:extLst>
            <a:ext uri="{FF2B5EF4-FFF2-40B4-BE49-F238E27FC236}">
              <a16:creationId xmlns:a16="http://schemas.microsoft.com/office/drawing/2014/main" id="{00000000-0008-0000-1200-000041050000}"/>
            </a:ext>
          </a:extLst>
        </xdr:cNvPr>
        <xdr:cNvCxnSpPr/>
      </xdr:nvCxnSpPr>
      <xdr:spPr>
        <a:xfrm flipV="1">
          <a:off x="10530417"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1346" name="Straight Arrow Connector 1345">
          <a:extLst>
            <a:ext uri="{FF2B5EF4-FFF2-40B4-BE49-F238E27FC236}">
              <a16:creationId xmlns:a16="http://schemas.microsoft.com/office/drawing/2014/main" id="{00000000-0008-0000-1200-000042050000}"/>
            </a:ext>
          </a:extLst>
        </xdr:cNvPr>
        <xdr:cNvCxnSpPr/>
      </xdr:nvCxnSpPr>
      <xdr:spPr>
        <a:xfrm>
          <a:off x="10572750"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1347" name="Straight Arrow Connector 1346">
          <a:extLst>
            <a:ext uri="{FF2B5EF4-FFF2-40B4-BE49-F238E27FC236}">
              <a16:creationId xmlns:a16="http://schemas.microsoft.com/office/drawing/2014/main" id="{00000000-0008-0000-1200-000043050000}"/>
            </a:ext>
          </a:extLst>
        </xdr:cNvPr>
        <xdr:cNvCxnSpPr/>
      </xdr:nvCxnSpPr>
      <xdr:spPr>
        <a:xfrm>
          <a:off x="10551583"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1348" name="Straight Arrow Connector 1347">
          <a:extLst>
            <a:ext uri="{FF2B5EF4-FFF2-40B4-BE49-F238E27FC236}">
              <a16:creationId xmlns:a16="http://schemas.microsoft.com/office/drawing/2014/main" id="{00000000-0008-0000-1200-000044050000}"/>
            </a:ext>
          </a:extLst>
        </xdr:cNvPr>
        <xdr:cNvCxnSpPr/>
      </xdr:nvCxnSpPr>
      <xdr:spPr>
        <a:xfrm>
          <a:off x="10583333" y="127285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1349" name="Straight Arrow Connector 1348">
          <a:extLst>
            <a:ext uri="{FF2B5EF4-FFF2-40B4-BE49-F238E27FC236}">
              <a16:creationId xmlns:a16="http://schemas.microsoft.com/office/drawing/2014/main" id="{00000000-0008-0000-1200-000045050000}"/>
            </a:ext>
          </a:extLst>
        </xdr:cNvPr>
        <xdr:cNvCxnSpPr/>
      </xdr:nvCxnSpPr>
      <xdr:spPr>
        <a:xfrm>
          <a:off x="10562166" y="129921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1350" name="Straight Arrow Connector 1349">
          <a:extLst>
            <a:ext uri="{FF2B5EF4-FFF2-40B4-BE49-F238E27FC236}">
              <a16:creationId xmlns:a16="http://schemas.microsoft.com/office/drawing/2014/main" id="{00000000-0008-0000-1200-000046050000}"/>
            </a:ext>
          </a:extLst>
        </xdr:cNvPr>
        <xdr:cNvCxnSpPr/>
      </xdr:nvCxnSpPr>
      <xdr:spPr>
        <a:xfrm>
          <a:off x="10615083"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1351" name="Straight Arrow Connector 1350">
          <a:extLst>
            <a:ext uri="{FF2B5EF4-FFF2-40B4-BE49-F238E27FC236}">
              <a16:creationId xmlns:a16="http://schemas.microsoft.com/office/drawing/2014/main" id="{00000000-0008-0000-1200-000047050000}"/>
            </a:ext>
          </a:extLst>
        </xdr:cNvPr>
        <xdr:cNvCxnSpPr/>
      </xdr:nvCxnSpPr>
      <xdr:spPr>
        <a:xfrm>
          <a:off x="10572750"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1352" name="Straight Arrow Connector 1351">
          <a:extLst>
            <a:ext uri="{FF2B5EF4-FFF2-40B4-BE49-F238E27FC236}">
              <a16:creationId xmlns:a16="http://schemas.microsoft.com/office/drawing/2014/main" id="{00000000-0008-0000-1200-000048050000}"/>
            </a:ext>
          </a:extLst>
        </xdr:cNvPr>
        <xdr:cNvCxnSpPr/>
      </xdr:nvCxnSpPr>
      <xdr:spPr>
        <a:xfrm flipV="1">
          <a:off x="10583333"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1353" name="Straight Arrow Connector 1352">
          <a:extLst>
            <a:ext uri="{FF2B5EF4-FFF2-40B4-BE49-F238E27FC236}">
              <a16:creationId xmlns:a16="http://schemas.microsoft.com/office/drawing/2014/main" id="{00000000-0008-0000-1200-000049050000}"/>
            </a:ext>
          </a:extLst>
        </xdr:cNvPr>
        <xdr:cNvCxnSpPr/>
      </xdr:nvCxnSpPr>
      <xdr:spPr>
        <a:xfrm flipV="1">
          <a:off x="5207000" y="1121410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1354" name="Straight Arrow Connector 1353">
          <a:extLst>
            <a:ext uri="{FF2B5EF4-FFF2-40B4-BE49-F238E27FC236}">
              <a16:creationId xmlns:a16="http://schemas.microsoft.com/office/drawing/2014/main" id="{00000000-0008-0000-1200-00004A050000}"/>
            </a:ext>
          </a:extLst>
        </xdr:cNvPr>
        <xdr:cNvCxnSpPr/>
      </xdr:nvCxnSpPr>
      <xdr:spPr>
        <a:xfrm flipV="1">
          <a:off x="3714750" y="1386840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1355" name="Straight Arrow Connector 1354">
          <a:extLst>
            <a:ext uri="{FF2B5EF4-FFF2-40B4-BE49-F238E27FC236}">
              <a16:creationId xmlns:a16="http://schemas.microsoft.com/office/drawing/2014/main" id="{00000000-0008-0000-1200-00004B050000}"/>
            </a:ext>
          </a:extLst>
        </xdr:cNvPr>
        <xdr:cNvCxnSpPr/>
      </xdr:nvCxnSpPr>
      <xdr:spPr>
        <a:xfrm>
          <a:off x="3799417" y="145901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1356" name="Straight Arrow Connector 1355">
          <a:extLst>
            <a:ext uri="{FF2B5EF4-FFF2-40B4-BE49-F238E27FC236}">
              <a16:creationId xmlns:a16="http://schemas.microsoft.com/office/drawing/2014/main" id="{00000000-0008-0000-1200-00004C050000}"/>
            </a:ext>
          </a:extLst>
        </xdr:cNvPr>
        <xdr:cNvCxnSpPr/>
      </xdr:nvCxnSpPr>
      <xdr:spPr>
        <a:xfrm flipV="1">
          <a:off x="5175250" y="133879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1357" name="Straight Arrow Connector 1356">
          <a:extLst>
            <a:ext uri="{FF2B5EF4-FFF2-40B4-BE49-F238E27FC236}">
              <a16:creationId xmlns:a16="http://schemas.microsoft.com/office/drawing/2014/main" id="{00000000-0008-0000-1200-00004D050000}"/>
            </a:ext>
          </a:extLst>
        </xdr:cNvPr>
        <xdr:cNvCxnSpPr/>
      </xdr:nvCxnSpPr>
      <xdr:spPr>
        <a:xfrm>
          <a:off x="5175250" y="1386945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1358" name="Straight Arrow Connector 1357">
          <a:extLst>
            <a:ext uri="{FF2B5EF4-FFF2-40B4-BE49-F238E27FC236}">
              <a16:creationId xmlns:a16="http://schemas.microsoft.com/office/drawing/2014/main" id="{00000000-0008-0000-1200-00004E050000}"/>
            </a:ext>
          </a:extLst>
        </xdr:cNvPr>
        <xdr:cNvCxnSpPr/>
      </xdr:nvCxnSpPr>
      <xdr:spPr>
        <a:xfrm flipV="1">
          <a:off x="6381750" y="132344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1359" name="Straight Arrow Connector 1358">
          <a:extLst>
            <a:ext uri="{FF2B5EF4-FFF2-40B4-BE49-F238E27FC236}">
              <a16:creationId xmlns:a16="http://schemas.microsoft.com/office/drawing/2014/main" id="{00000000-0008-0000-1200-00004F050000}"/>
            </a:ext>
          </a:extLst>
        </xdr:cNvPr>
        <xdr:cNvCxnSpPr/>
      </xdr:nvCxnSpPr>
      <xdr:spPr>
        <a:xfrm>
          <a:off x="6413500" y="133921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1360" name="Straight Arrow Connector 1359">
          <a:extLst>
            <a:ext uri="{FF2B5EF4-FFF2-40B4-BE49-F238E27FC236}">
              <a16:creationId xmlns:a16="http://schemas.microsoft.com/office/drawing/2014/main" id="{00000000-0008-0000-1200-000050050000}"/>
            </a:ext>
          </a:extLst>
        </xdr:cNvPr>
        <xdr:cNvCxnSpPr/>
      </xdr:nvCxnSpPr>
      <xdr:spPr>
        <a:xfrm flipV="1">
          <a:off x="7609417" y="135043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1361" name="Straight Arrow Connector 1360">
          <a:extLst>
            <a:ext uri="{FF2B5EF4-FFF2-40B4-BE49-F238E27FC236}">
              <a16:creationId xmlns:a16="http://schemas.microsoft.com/office/drawing/2014/main" id="{00000000-0008-0000-1200-000051050000}"/>
            </a:ext>
          </a:extLst>
        </xdr:cNvPr>
        <xdr:cNvCxnSpPr/>
      </xdr:nvCxnSpPr>
      <xdr:spPr>
        <a:xfrm>
          <a:off x="7598834" y="136059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1362" name="Straight Arrow Connector 1361">
          <a:extLst>
            <a:ext uri="{FF2B5EF4-FFF2-40B4-BE49-F238E27FC236}">
              <a16:creationId xmlns:a16="http://schemas.microsoft.com/office/drawing/2014/main" id="{00000000-0008-0000-1200-000052050000}"/>
            </a:ext>
          </a:extLst>
        </xdr:cNvPr>
        <xdr:cNvCxnSpPr/>
      </xdr:nvCxnSpPr>
      <xdr:spPr>
        <a:xfrm flipV="1">
          <a:off x="8794750" y="134133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1363" name="Straight Arrow Connector 1362">
          <a:extLst>
            <a:ext uri="{FF2B5EF4-FFF2-40B4-BE49-F238E27FC236}">
              <a16:creationId xmlns:a16="http://schemas.microsoft.com/office/drawing/2014/main" id="{00000000-0008-0000-1200-000053050000}"/>
            </a:ext>
          </a:extLst>
        </xdr:cNvPr>
        <xdr:cNvCxnSpPr/>
      </xdr:nvCxnSpPr>
      <xdr:spPr>
        <a:xfrm>
          <a:off x="8784166" y="135085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1364" name="Straight Arrow Connector 1363">
          <a:extLst>
            <a:ext uri="{FF2B5EF4-FFF2-40B4-BE49-F238E27FC236}">
              <a16:creationId xmlns:a16="http://schemas.microsoft.com/office/drawing/2014/main" id="{00000000-0008-0000-1200-000054050000}"/>
            </a:ext>
          </a:extLst>
        </xdr:cNvPr>
        <xdr:cNvCxnSpPr/>
      </xdr:nvCxnSpPr>
      <xdr:spPr>
        <a:xfrm flipV="1">
          <a:off x="8794750" y="138133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1365" name="Straight Arrow Connector 1364">
          <a:extLst>
            <a:ext uri="{FF2B5EF4-FFF2-40B4-BE49-F238E27FC236}">
              <a16:creationId xmlns:a16="http://schemas.microsoft.com/office/drawing/2014/main" id="{00000000-0008-0000-1200-000055050000}"/>
            </a:ext>
          </a:extLst>
        </xdr:cNvPr>
        <xdr:cNvCxnSpPr/>
      </xdr:nvCxnSpPr>
      <xdr:spPr>
        <a:xfrm>
          <a:off x="8805333" y="139065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1366" name="Straight Arrow Connector 1365">
          <a:extLst>
            <a:ext uri="{FF2B5EF4-FFF2-40B4-BE49-F238E27FC236}">
              <a16:creationId xmlns:a16="http://schemas.microsoft.com/office/drawing/2014/main" id="{00000000-0008-0000-1200-000056050000}"/>
            </a:ext>
          </a:extLst>
        </xdr:cNvPr>
        <xdr:cNvCxnSpPr/>
      </xdr:nvCxnSpPr>
      <xdr:spPr>
        <a:xfrm flipV="1">
          <a:off x="10541000" y="132588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1367" name="Straight Arrow Connector 1366">
          <a:extLst>
            <a:ext uri="{FF2B5EF4-FFF2-40B4-BE49-F238E27FC236}">
              <a16:creationId xmlns:a16="http://schemas.microsoft.com/office/drawing/2014/main" id="{00000000-0008-0000-1200-000057050000}"/>
            </a:ext>
          </a:extLst>
        </xdr:cNvPr>
        <xdr:cNvCxnSpPr/>
      </xdr:nvCxnSpPr>
      <xdr:spPr>
        <a:xfrm flipV="1">
          <a:off x="10583333" y="133212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1368" name="Straight Arrow Connector 1367">
          <a:extLst>
            <a:ext uri="{FF2B5EF4-FFF2-40B4-BE49-F238E27FC236}">
              <a16:creationId xmlns:a16="http://schemas.microsoft.com/office/drawing/2014/main" id="{00000000-0008-0000-1200-000058050000}"/>
            </a:ext>
          </a:extLst>
        </xdr:cNvPr>
        <xdr:cNvCxnSpPr/>
      </xdr:nvCxnSpPr>
      <xdr:spPr>
        <a:xfrm>
          <a:off x="10604500" y="133699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1369" name="Straight Arrow Connector 1368">
          <a:extLst>
            <a:ext uri="{FF2B5EF4-FFF2-40B4-BE49-F238E27FC236}">
              <a16:creationId xmlns:a16="http://schemas.microsoft.com/office/drawing/2014/main" id="{00000000-0008-0000-1200-000059050000}"/>
            </a:ext>
          </a:extLst>
        </xdr:cNvPr>
        <xdr:cNvCxnSpPr/>
      </xdr:nvCxnSpPr>
      <xdr:spPr>
        <a:xfrm>
          <a:off x="10519834" y="133646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1370" name="Straight Arrow Connector 1369">
          <a:extLst>
            <a:ext uri="{FF2B5EF4-FFF2-40B4-BE49-F238E27FC236}">
              <a16:creationId xmlns:a16="http://schemas.microsoft.com/office/drawing/2014/main" id="{00000000-0008-0000-1200-00005A050000}"/>
            </a:ext>
          </a:extLst>
        </xdr:cNvPr>
        <xdr:cNvCxnSpPr/>
      </xdr:nvCxnSpPr>
      <xdr:spPr>
        <a:xfrm flipV="1">
          <a:off x="10541000" y="135117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1371" name="Straight Arrow Connector 1370">
          <a:extLst>
            <a:ext uri="{FF2B5EF4-FFF2-40B4-BE49-F238E27FC236}">
              <a16:creationId xmlns:a16="http://schemas.microsoft.com/office/drawing/2014/main" id="{00000000-0008-0000-1200-00005B050000}"/>
            </a:ext>
          </a:extLst>
        </xdr:cNvPr>
        <xdr:cNvCxnSpPr/>
      </xdr:nvCxnSpPr>
      <xdr:spPr>
        <a:xfrm>
          <a:off x="10551583" y="135466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1372" name="Straight Arrow Connector 1371">
          <a:extLst>
            <a:ext uri="{FF2B5EF4-FFF2-40B4-BE49-F238E27FC236}">
              <a16:creationId xmlns:a16="http://schemas.microsoft.com/office/drawing/2014/main" id="{00000000-0008-0000-1200-00005C050000}"/>
            </a:ext>
          </a:extLst>
        </xdr:cNvPr>
        <xdr:cNvCxnSpPr/>
      </xdr:nvCxnSpPr>
      <xdr:spPr>
        <a:xfrm>
          <a:off x="10530417" y="135466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1373" name="Straight Arrow Connector 1372">
          <a:extLst>
            <a:ext uri="{FF2B5EF4-FFF2-40B4-BE49-F238E27FC236}">
              <a16:creationId xmlns:a16="http://schemas.microsoft.com/office/drawing/2014/main" id="{00000000-0008-0000-1200-00005D050000}"/>
            </a:ext>
          </a:extLst>
        </xdr:cNvPr>
        <xdr:cNvCxnSpPr/>
      </xdr:nvCxnSpPr>
      <xdr:spPr>
        <a:xfrm>
          <a:off x="10541000" y="135477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1374" name="Straight Arrow Connector 1373">
          <a:extLst>
            <a:ext uri="{FF2B5EF4-FFF2-40B4-BE49-F238E27FC236}">
              <a16:creationId xmlns:a16="http://schemas.microsoft.com/office/drawing/2014/main" id="{00000000-0008-0000-1200-00005E050000}"/>
            </a:ext>
          </a:extLst>
        </xdr:cNvPr>
        <xdr:cNvCxnSpPr/>
      </xdr:nvCxnSpPr>
      <xdr:spPr>
        <a:xfrm flipV="1">
          <a:off x="6392333" y="142726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1375" name="Straight Arrow Connector 1374">
          <a:extLst>
            <a:ext uri="{FF2B5EF4-FFF2-40B4-BE49-F238E27FC236}">
              <a16:creationId xmlns:a16="http://schemas.microsoft.com/office/drawing/2014/main" id="{00000000-0008-0000-1200-00005F050000}"/>
            </a:ext>
          </a:extLst>
        </xdr:cNvPr>
        <xdr:cNvCxnSpPr/>
      </xdr:nvCxnSpPr>
      <xdr:spPr>
        <a:xfrm>
          <a:off x="6413500" y="144758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1376" name="Straight Arrow Connector 1375">
          <a:extLst>
            <a:ext uri="{FF2B5EF4-FFF2-40B4-BE49-F238E27FC236}">
              <a16:creationId xmlns:a16="http://schemas.microsoft.com/office/drawing/2014/main" id="{00000000-0008-0000-1200-000060050000}"/>
            </a:ext>
          </a:extLst>
        </xdr:cNvPr>
        <xdr:cNvCxnSpPr/>
      </xdr:nvCxnSpPr>
      <xdr:spPr>
        <a:xfrm flipV="1">
          <a:off x="7556500" y="145891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1377" name="Straight Arrow Connector 1376">
          <a:extLst>
            <a:ext uri="{FF2B5EF4-FFF2-40B4-BE49-F238E27FC236}">
              <a16:creationId xmlns:a16="http://schemas.microsoft.com/office/drawing/2014/main" id="{00000000-0008-0000-1200-000061050000}"/>
            </a:ext>
          </a:extLst>
        </xdr:cNvPr>
        <xdr:cNvCxnSpPr/>
      </xdr:nvCxnSpPr>
      <xdr:spPr>
        <a:xfrm flipV="1">
          <a:off x="10530417" y="137731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1378" name="Straight Arrow Connector 1377">
          <a:extLst>
            <a:ext uri="{FF2B5EF4-FFF2-40B4-BE49-F238E27FC236}">
              <a16:creationId xmlns:a16="http://schemas.microsoft.com/office/drawing/2014/main" id="{00000000-0008-0000-1200-000062050000}"/>
            </a:ext>
          </a:extLst>
        </xdr:cNvPr>
        <xdr:cNvCxnSpPr/>
      </xdr:nvCxnSpPr>
      <xdr:spPr>
        <a:xfrm>
          <a:off x="10572750" y="138123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1379" name="Straight Arrow Connector 1378">
          <a:extLst>
            <a:ext uri="{FF2B5EF4-FFF2-40B4-BE49-F238E27FC236}">
              <a16:creationId xmlns:a16="http://schemas.microsoft.com/office/drawing/2014/main" id="{00000000-0008-0000-1200-000063050000}"/>
            </a:ext>
          </a:extLst>
        </xdr:cNvPr>
        <xdr:cNvCxnSpPr/>
      </xdr:nvCxnSpPr>
      <xdr:spPr>
        <a:xfrm>
          <a:off x="10551583" y="138123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1380" name="Straight Arrow Connector 1379">
          <a:extLst>
            <a:ext uri="{FF2B5EF4-FFF2-40B4-BE49-F238E27FC236}">
              <a16:creationId xmlns:a16="http://schemas.microsoft.com/office/drawing/2014/main" id="{00000000-0008-0000-1200-000064050000}"/>
            </a:ext>
          </a:extLst>
        </xdr:cNvPr>
        <xdr:cNvCxnSpPr/>
      </xdr:nvCxnSpPr>
      <xdr:spPr>
        <a:xfrm>
          <a:off x="10583333" y="138144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1381" name="Straight Arrow Connector 1380">
          <a:extLst>
            <a:ext uri="{FF2B5EF4-FFF2-40B4-BE49-F238E27FC236}">
              <a16:creationId xmlns:a16="http://schemas.microsoft.com/office/drawing/2014/main" id="{00000000-0008-0000-1200-000065050000}"/>
            </a:ext>
          </a:extLst>
        </xdr:cNvPr>
        <xdr:cNvCxnSpPr/>
      </xdr:nvCxnSpPr>
      <xdr:spPr>
        <a:xfrm>
          <a:off x="10562166" y="140779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1382" name="Straight Arrow Connector 1381">
          <a:extLst>
            <a:ext uri="{FF2B5EF4-FFF2-40B4-BE49-F238E27FC236}">
              <a16:creationId xmlns:a16="http://schemas.microsoft.com/office/drawing/2014/main" id="{00000000-0008-0000-1200-000066050000}"/>
            </a:ext>
          </a:extLst>
        </xdr:cNvPr>
        <xdr:cNvCxnSpPr/>
      </xdr:nvCxnSpPr>
      <xdr:spPr>
        <a:xfrm>
          <a:off x="10615083" y="140800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1383" name="Straight Arrow Connector 1382">
          <a:extLst>
            <a:ext uri="{FF2B5EF4-FFF2-40B4-BE49-F238E27FC236}">
              <a16:creationId xmlns:a16="http://schemas.microsoft.com/office/drawing/2014/main" id="{00000000-0008-0000-1200-000067050000}"/>
            </a:ext>
          </a:extLst>
        </xdr:cNvPr>
        <xdr:cNvCxnSpPr/>
      </xdr:nvCxnSpPr>
      <xdr:spPr>
        <a:xfrm>
          <a:off x="10572750" y="140832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1384" name="Straight Arrow Connector 1383">
          <a:extLst>
            <a:ext uri="{FF2B5EF4-FFF2-40B4-BE49-F238E27FC236}">
              <a16:creationId xmlns:a16="http://schemas.microsoft.com/office/drawing/2014/main" id="{00000000-0008-0000-1200-000068050000}"/>
            </a:ext>
          </a:extLst>
        </xdr:cNvPr>
        <xdr:cNvCxnSpPr/>
      </xdr:nvCxnSpPr>
      <xdr:spPr>
        <a:xfrm flipV="1">
          <a:off x="10562166" y="143562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1385" name="Straight Arrow Connector 1384">
          <a:extLst>
            <a:ext uri="{FF2B5EF4-FFF2-40B4-BE49-F238E27FC236}">
              <a16:creationId xmlns:a16="http://schemas.microsoft.com/office/drawing/2014/main" id="{00000000-0008-0000-1200-000069050000}"/>
            </a:ext>
          </a:extLst>
        </xdr:cNvPr>
        <xdr:cNvCxnSpPr/>
      </xdr:nvCxnSpPr>
      <xdr:spPr>
        <a:xfrm flipV="1">
          <a:off x="10604500" y="143922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1386" name="Straight Arrow Connector 1385">
          <a:extLst>
            <a:ext uri="{FF2B5EF4-FFF2-40B4-BE49-F238E27FC236}">
              <a16:creationId xmlns:a16="http://schemas.microsoft.com/office/drawing/2014/main" id="{00000000-0008-0000-1200-00006A050000}"/>
            </a:ext>
          </a:extLst>
        </xdr:cNvPr>
        <xdr:cNvCxnSpPr/>
      </xdr:nvCxnSpPr>
      <xdr:spPr>
        <a:xfrm>
          <a:off x="10593916" y="144324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1387" name="Straight Arrow Connector 1386">
          <a:extLst>
            <a:ext uri="{FF2B5EF4-FFF2-40B4-BE49-F238E27FC236}">
              <a16:creationId xmlns:a16="http://schemas.microsoft.com/office/drawing/2014/main" id="{00000000-0008-0000-1200-00006B050000}"/>
            </a:ext>
          </a:extLst>
        </xdr:cNvPr>
        <xdr:cNvCxnSpPr/>
      </xdr:nvCxnSpPr>
      <xdr:spPr>
        <a:xfrm>
          <a:off x="10572750" y="146420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1388" name="Straight Arrow Connector 1387">
          <a:extLst>
            <a:ext uri="{FF2B5EF4-FFF2-40B4-BE49-F238E27FC236}">
              <a16:creationId xmlns:a16="http://schemas.microsoft.com/office/drawing/2014/main" id="{00000000-0008-0000-1200-00006C050000}"/>
            </a:ext>
          </a:extLst>
        </xdr:cNvPr>
        <xdr:cNvCxnSpPr/>
      </xdr:nvCxnSpPr>
      <xdr:spPr>
        <a:xfrm flipV="1">
          <a:off x="10583333" y="140260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1389" name="Straight Arrow Connector 1388">
          <a:extLst>
            <a:ext uri="{FF2B5EF4-FFF2-40B4-BE49-F238E27FC236}">
              <a16:creationId xmlns:a16="http://schemas.microsoft.com/office/drawing/2014/main" id="{00000000-0008-0000-1200-00006D050000}"/>
            </a:ext>
          </a:extLst>
        </xdr:cNvPr>
        <xdr:cNvCxnSpPr/>
      </xdr:nvCxnSpPr>
      <xdr:spPr>
        <a:xfrm>
          <a:off x="7598834" y="146917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1390" name="Straight Arrow Connector 1389">
          <a:extLst>
            <a:ext uri="{FF2B5EF4-FFF2-40B4-BE49-F238E27FC236}">
              <a16:creationId xmlns:a16="http://schemas.microsoft.com/office/drawing/2014/main" id="{00000000-0008-0000-1200-00006E050000}"/>
            </a:ext>
          </a:extLst>
        </xdr:cNvPr>
        <xdr:cNvCxnSpPr/>
      </xdr:nvCxnSpPr>
      <xdr:spPr>
        <a:xfrm flipV="1">
          <a:off x="8794750" y="144991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1391" name="Straight Arrow Connector 1390">
          <a:extLst>
            <a:ext uri="{FF2B5EF4-FFF2-40B4-BE49-F238E27FC236}">
              <a16:creationId xmlns:a16="http://schemas.microsoft.com/office/drawing/2014/main" id="{00000000-0008-0000-1200-00006F050000}"/>
            </a:ext>
          </a:extLst>
        </xdr:cNvPr>
        <xdr:cNvCxnSpPr/>
      </xdr:nvCxnSpPr>
      <xdr:spPr>
        <a:xfrm>
          <a:off x="8784166" y="145944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1392" name="Straight Arrow Connector 1391">
          <a:extLst>
            <a:ext uri="{FF2B5EF4-FFF2-40B4-BE49-F238E27FC236}">
              <a16:creationId xmlns:a16="http://schemas.microsoft.com/office/drawing/2014/main" id="{00000000-0008-0000-1200-000070050000}"/>
            </a:ext>
          </a:extLst>
        </xdr:cNvPr>
        <xdr:cNvCxnSpPr/>
      </xdr:nvCxnSpPr>
      <xdr:spPr>
        <a:xfrm flipV="1">
          <a:off x="8794750" y="148992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1393" name="Straight Arrow Connector 1392">
          <a:extLst>
            <a:ext uri="{FF2B5EF4-FFF2-40B4-BE49-F238E27FC236}">
              <a16:creationId xmlns:a16="http://schemas.microsoft.com/office/drawing/2014/main" id="{00000000-0008-0000-1200-000071050000}"/>
            </a:ext>
          </a:extLst>
        </xdr:cNvPr>
        <xdr:cNvCxnSpPr/>
      </xdr:nvCxnSpPr>
      <xdr:spPr>
        <a:xfrm>
          <a:off x="8805333" y="149923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1394" name="Straight Arrow Connector 1393">
          <a:extLst>
            <a:ext uri="{FF2B5EF4-FFF2-40B4-BE49-F238E27FC236}">
              <a16:creationId xmlns:a16="http://schemas.microsoft.com/office/drawing/2014/main" id="{00000000-0008-0000-1200-000072050000}"/>
            </a:ext>
          </a:extLst>
        </xdr:cNvPr>
        <xdr:cNvCxnSpPr/>
      </xdr:nvCxnSpPr>
      <xdr:spPr>
        <a:xfrm>
          <a:off x="10593916" y="144303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1395" name="Straight Arrow Connector 1394">
          <a:extLst>
            <a:ext uri="{FF2B5EF4-FFF2-40B4-BE49-F238E27FC236}">
              <a16:creationId xmlns:a16="http://schemas.microsoft.com/office/drawing/2014/main" id="{00000000-0008-0000-1200-000073050000}"/>
            </a:ext>
          </a:extLst>
        </xdr:cNvPr>
        <xdr:cNvCxnSpPr/>
      </xdr:nvCxnSpPr>
      <xdr:spPr>
        <a:xfrm flipV="1">
          <a:off x="10541000" y="145975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1396" name="Straight Arrow Connector 1395">
          <a:extLst>
            <a:ext uri="{FF2B5EF4-FFF2-40B4-BE49-F238E27FC236}">
              <a16:creationId xmlns:a16="http://schemas.microsoft.com/office/drawing/2014/main" id="{00000000-0008-0000-1200-000074050000}"/>
            </a:ext>
          </a:extLst>
        </xdr:cNvPr>
        <xdr:cNvCxnSpPr/>
      </xdr:nvCxnSpPr>
      <xdr:spPr>
        <a:xfrm>
          <a:off x="10530417" y="146325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1397" name="Straight Arrow Connector 1396">
          <a:extLst>
            <a:ext uri="{FF2B5EF4-FFF2-40B4-BE49-F238E27FC236}">
              <a16:creationId xmlns:a16="http://schemas.microsoft.com/office/drawing/2014/main" id="{00000000-0008-0000-1200-000075050000}"/>
            </a:ext>
          </a:extLst>
        </xdr:cNvPr>
        <xdr:cNvCxnSpPr/>
      </xdr:nvCxnSpPr>
      <xdr:spPr>
        <a:xfrm>
          <a:off x="10530417" y="146304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1398" name="Straight Arrow Connector 1397">
          <a:extLst>
            <a:ext uri="{FF2B5EF4-FFF2-40B4-BE49-F238E27FC236}">
              <a16:creationId xmlns:a16="http://schemas.microsoft.com/office/drawing/2014/main" id="{00000000-0008-0000-1200-000076050000}"/>
            </a:ext>
          </a:extLst>
        </xdr:cNvPr>
        <xdr:cNvCxnSpPr/>
      </xdr:nvCxnSpPr>
      <xdr:spPr>
        <a:xfrm flipV="1">
          <a:off x="10530417" y="148590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1399" name="Straight Arrow Connector 1398">
          <a:extLst>
            <a:ext uri="{FF2B5EF4-FFF2-40B4-BE49-F238E27FC236}">
              <a16:creationId xmlns:a16="http://schemas.microsoft.com/office/drawing/2014/main" id="{00000000-0008-0000-1200-000077050000}"/>
            </a:ext>
          </a:extLst>
        </xdr:cNvPr>
        <xdr:cNvCxnSpPr/>
      </xdr:nvCxnSpPr>
      <xdr:spPr>
        <a:xfrm>
          <a:off x="10572750" y="148981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1400" name="Straight Arrow Connector 1399">
          <a:extLst>
            <a:ext uri="{FF2B5EF4-FFF2-40B4-BE49-F238E27FC236}">
              <a16:creationId xmlns:a16="http://schemas.microsoft.com/office/drawing/2014/main" id="{00000000-0008-0000-1200-000078050000}"/>
            </a:ext>
          </a:extLst>
        </xdr:cNvPr>
        <xdr:cNvCxnSpPr/>
      </xdr:nvCxnSpPr>
      <xdr:spPr>
        <a:xfrm>
          <a:off x="10551583" y="148981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1401" name="Straight Arrow Connector 1400">
          <a:extLst>
            <a:ext uri="{FF2B5EF4-FFF2-40B4-BE49-F238E27FC236}">
              <a16:creationId xmlns:a16="http://schemas.microsoft.com/office/drawing/2014/main" id="{00000000-0008-0000-1200-000079050000}"/>
            </a:ext>
          </a:extLst>
        </xdr:cNvPr>
        <xdr:cNvCxnSpPr/>
      </xdr:nvCxnSpPr>
      <xdr:spPr>
        <a:xfrm>
          <a:off x="10583333" y="149002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1402" name="Straight Arrow Connector 1401">
          <a:extLst>
            <a:ext uri="{FF2B5EF4-FFF2-40B4-BE49-F238E27FC236}">
              <a16:creationId xmlns:a16="http://schemas.microsoft.com/office/drawing/2014/main" id="{00000000-0008-0000-1200-00007A050000}"/>
            </a:ext>
          </a:extLst>
        </xdr:cNvPr>
        <xdr:cNvCxnSpPr/>
      </xdr:nvCxnSpPr>
      <xdr:spPr>
        <a:xfrm>
          <a:off x="10562166" y="151638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1403" name="Straight Arrow Connector 1402">
          <a:extLst>
            <a:ext uri="{FF2B5EF4-FFF2-40B4-BE49-F238E27FC236}">
              <a16:creationId xmlns:a16="http://schemas.microsoft.com/office/drawing/2014/main" id="{00000000-0008-0000-1200-00007B050000}"/>
            </a:ext>
          </a:extLst>
        </xdr:cNvPr>
        <xdr:cNvCxnSpPr/>
      </xdr:nvCxnSpPr>
      <xdr:spPr>
        <a:xfrm>
          <a:off x="10615083" y="151659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1404" name="Straight Arrow Connector 1403">
          <a:extLst>
            <a:ext uri="{FF2B5EF4-FFF2-40B4-BE49-F238E27FC236}">
              <a16:creationId xmlns:a16="http://schemas.microsoft.com/office/drawing/2014/main" id="{00000000-0008-0000-1200-00007C050000}"/>
            </a:ext>
          </a:extLst>
        </xdr:cNvPr>
        <xdr:cNvCxnSpPr/>
      </xdr:nvCxnSpPr>
      <xdr:spPr>
        <a:xfrm>
          <a:off x="10572750" y="151690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1405" name="Straight Arrow Connector 1404">
          <a:extLst>
            <a:ext uri="{FF2B5EF4-FFF2-40B4-BE49-F238E27FC236}">
              <a16:creationId xmlns:a16="http://schemas.microsoft.com/office/drawing/2014/main" id="{00000000-0008-0000-1200-00007D050000}"/>
            </a:ext>
          </a:extLst>
        </xdr:cNvPr>
        <xdr:cNvCxnSpPr/>
      </xdr:nvCxnSpPr>
      <xdr:spPr>
        <a:xfrm flipV="1">
          <a:off x="10583333" y="151119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1406" name="Straight Arrow Connector 1405">
          <a:extLst>
            <a:ext uri="{FF2B5EF4-FFF2-40B4-BE49-F238E27FC236}">
              <a16:creationId xmlns:a16="http://schemas.microsoft.com/office/drawing/2014/main" id="{00000000-0008-0000-1200-00007E050000}"/>
            </a:ext>
          </a:extLst>
        </xdr:cNvPr>
        <xdr:cNvCxnSpPr/>
      </xdr:nvCxnSpPr>
      <xdr:spPr>
        <a:xfrm>
          <a:off x="5080000" y="1597342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1407" name="Straight Arrow Connector 1406">
          <a:extLst>
            <a:ext uri="{FF2B5EF4-FFF2-40B4-BE49-F238E27FC236}">
              <a16:creationId xmlns:a16="http://schemas.microsoft.com/office/drawing/2014/main" id="{00000000-0008-0000-1200-00007F050000}"/>
            </a:ext>
          </a:extLst>
        </xdr:cNvPr>
        <xdr:cNvCxnSpPr/>
      </xdr:nvCxnSpPr>
      <xdr:spPr>
        <a:xfrm flipV="1">
          <a:off x="6381750" y="154061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1408" name="Straight Arrow Connector 1407">
          <a:extLst>
            <a:ext uri="{FF2B5EF4-FFF2-40B4-BE49-F238E27FC236}">
              <a16:creationId xmlns:a16="http://schemas.microsoft.com/office/drawing/2014/main" id="{00000000-0008-0000-1200-000080050000}"/>
            </a:ext>
          </a:extLst>
        </xdr:cNvPr>
        <xdr:cNvCxnSpPr/>
      </xdr:nvCxnSpPr>
      <xdr:spPr>
        <a:xfrm>
          <a:off x="6413500" y="155638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1409" name="Straight Arrow Connector 1408">
          <a:extLst>
            <a:ext uri="{FF2B5EF4-FFF2-40B4-BE49-F238E27FC236}">
              <a16:creationId xmlns:a16="http://schemas.microsoft.com/office/drawing/2014/main" id="{00000000-0008-0000-1200-000081050000}"/>
            </a:ext>
          </a:extLst>
        </xdr:cNvPr>
        <xdr:cNvCxnSpPr/>
      </xdr:nvCxnSpPr>
      <xdr:spPr>
        <a:xfrm flipV="1">
          <a:off x="7609417"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1410" name="Straight Arrow Connector 1409">
          <a:extLst>
            <a:ext uri="{FF2B5EF4-FFF2-40B4-BE49-F238E27FC236}">
              <a16:creationId xmlns:a16="http://schemas.microsoft.com/office/drawing/2014/main" id="{00000000-0008-0000-1200-000082050000}"/>
            </a:ext>
          </a:extLst>
        </xdr:cNvPr>
        <xdr:cNvCxnSpPr/>
      </xdr:nvCxnSpPr>
      <xdr:spPr>
        <a:xfrm>
          <a:off x="7598834"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1411" name="Straight Arrow Connector 1410">
          <a:extLst>
            <a:ext uri="{FF2B5EF4-FFF2-40B4-BE49-F238E27FC236}">
              <a16:creationId xmlns:a16="http://schemas.microsoft.com/office/drawing/2014/main" id="{00000000-0008-0000-1200-000083050000}"/>
            </a:ext>
          </a:extLst>
        </xdr:cNvPr>
        <xdr:cNvCxnSpPr/>
      </xdr:nvCxnSpPr>
      <xdr:spPr>
        <a:xfrm flipV="1">
          <a:off x="8794750" y="155850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1412" name="Straight Arrow Connector 1411">
          <a:extLst>
            <a:ext uri="{FF2B5EF4-FFF2-40B4-BE49-F238E27FC236}">
              <a16:creationId xmlns:a16="http://schemas.microsoft.com/office/drawing/2014/main" id="{00000000-0008-0000-1200-000084050000}"/>
            </a:ext>
          </a:extLst>
        </xdr:cNvPr>
        <xdr:cNvCxnSpPr/>
      </xdr:nvCxnSpPr>
      <xdr:spPr>
        <a:xfrm>
          <a:off x="8784166" y="156802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1413" name="Straight Arrow Connector 1412">
          <a:extLst>
            <a:ext uri="{FF2B5EF4-FFF2-40B4-BE49-F238E27FC236}">
              <a16:creationId xmlns:a16="http://schemas.microsoft.com/office/drawing/2014/main" id="{00000000-0008-0000-1200-000085050000}"/>
            </a:ext>
          </a:extLst>
        </xdr:cNvPr>
        <xdr:cNvCxnSpPr/>
      </xdr:nvCxnSpPr>
      <xdr:spPr>
        <a:xfrm flipV="1">
          <a:off x="879475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1414" name="Straight Arrow Connector 1413">
          <a:extLst>
            <a:ext uri="{FF2B5EF4-FFF2-40B4-BE49-F238E27FC236}">
              <a16:creationId xmlns:a16="http://schemas.microsoft.com/office/drawing/2014/main" id="{00000000-0008-0000-1200-000086050000}"/>
            </a:ext>
          </a:extLst>
        </xdr:cNvPr>
        <xdr:cNvCxnSpPr/>
      </xdr:nvCxnSpPr>
      <xdr:spPr>
        <a:xfrm>
          <a:off x="8805333" y="160782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1415" name="Straight Arrow Connector 1414">
          <a:extLst>
            <a:ext uri="{FF2B5EF4-FFF2-40B4-BE49-F238E27FC236}">
              <a16:creationId xmlns:a16="http://schemas.microsoft.com/office/drawing/2014/main" id="{00000000-0008-0000-1200-000087050000}"/>
            </a:ext>
          </a:extLst>
        </xdr:cNvPr>
        <xdr:cNvCxnSpPr/>
      </xdr:nvCxnSpPr>
      <xdr:spPr>
        <a:xfrm flipV="1">
          <a:off x="10541000"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1416" name="Straight Arrow Connector 1415">
          <a:extLst>
            <a:ext uri="{FF2B5EF4-FFF2-40B4-BE49-F238E27FC236}">
              <a16:creationId xmlns:a16="http://schemas.microsoft.com/office/drawing/2014/main" id="{00000000-0008-0000-1200-000088050000}"/>
            </a:ext>
          </a:extLst>
        </xdr:cNvPr>
        <xdr:cNvCxnSpPr/>
      </xdr:nvCxnSpPr>
      <xdr:spPr>
        <a:xfrm flipV="1">
          <a:off x="10583333"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1417" name="Straight Arrow Connector 1416">
          <a:extLst>
            <a:ext uri="{FF2B5EF4-FFF2-40B4-BE49-F238E27FC236}">
              <a16:creationId xmlns:a16="http://schemas.microsoft.com/office/drawing/2014/main" id="{00000000-0008-0000-1200-000089050000}"/>
            </a:ext>
          </a:extLst>
        </xdr:cNvPr>
        <xdr:cNvCxnSpPr/>
      </xdr:nvCxnSpPr>
      <xdr:spPr>
        <a:xfrm>
          <a:off x="10604500"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1418" name="Straight Arrow Connector 1417">
          <a:extLst>
            <a:ext uri="{FF2B5EF4-FFF2-40B4-BE49-F238E27FC236}">
              <a16:creationId xmlns:a16="http://schemas.microsoft.com/office/drawing/2014/main" id="{00000000-0008-0000-1200-00008A050000}"/>
            </a:ext>
          </a:extLst>
        </xdr:cNvPr>
        <xdr:cNvCxnSpPr/>
      </xdr:nvCxnSpPr>
      <xdr:spPr>
        <a:xfrm>
          <a:off x="10519834" y="155363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1419" name="Straight Arrow Connector 1418">
          <a:extLst>
            <a:ext uri="{FF2B5EF4-FFF2-40B4-BE49-F238E27FC236}">
              <a16:creationId xmlns:a16="http://schemas.microsoft.com/office/drawing/2014/main" id="{00000000-0008-0000-1200-00008B050000}"/>
            </a:ext>
          </a:extLst>
        </xdr:cNvPr>
        <xdr:cNvCxnSpPr/>
      </xdr:nvCxnSpPr>
      <xdr:spPr>
        <a:xfrm flipV="1">
          <a:off x="10541000" y="156834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1420" name="Straight Arrow Connector 1419">
          <a:extLst>
            <a:ext uri="{FF2B5EF4-FFF2-40B4-BE49-F238E27FC236}">
              <a16:creationId xmlns:a16="http://schemas.microsoft.com/office/drawing/2014/main" id="{00000000-0008-0000-1200-00008C050000}"/>
            </a:ext>
          </a:extLst>
        </xdr:cNvPr>
        <xdr:cNvCxnSpPr/>
      </xdr:nvCxnSpPr>
      <xdr:spPr>
        <a:xfrm>
          <a:off x="10551583"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1421" name="Straight Arrow Connector 1420">
          <a:extLst>
            <a:ext uri="{FF2B5EF4-FFF2-40B4-BE49-F238E27FC236}">
              <a16:creationId xmlns:a16="http://schemas.microsoft.com/office/drawing/2014/main" id="{00000000-0008-0000-1200-00008D050000}"/>
            </a:ext>
          </a:extLst>
        </xdr:cNvPr>
        <xdr:cNvCxnSpPr/>
      </xdr:nvCxnSpPr>
      <xdr:spPr>
        <a:xfrm>
          <a:off x="10530417" y="157183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1422" name="Straight Arrow Connector 1421">
          <a:extLst>
            <a:ext uri="{FF2B5EF4-FFF2-40B4-BE49-F238E27FC236}">
              <a16:creationId xmlns:a16="http://schemas.microsoft.com/office/drawing/2014/main" id="{00000000-0008-0000-1200-00008E050000}"/>
            </a:ext>
          </a:extLst>
        </xdr:cNvPr>
        <xdr:cNvCxnSpPr/>
      </xdr:nvCxnSpPr>
      <xdr:spPr>
        <a:xfrm>
          <a:off x="10541000" y="157194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1423" name="Straight Arrow Connector 1422">
          <a:extLst>
            <a:ext uri="{FF2B5EF4-FFF2-40B4-BE49-F238E27FC236}">
              <a16:creationId xmlns:a16="http://schemas.microsoft.com/office/drawing/2014/main" id="{00000000-0008-0000-1200-00008F050000}"/>
            </a:ext>
          </a:extLst>
        </xdr:cNvPr>
        <xdr:cNvCxnSpPr/>
      </xdr:nvCxnSpPr>
      <xdr:spPr>
        <a:xfrm flipV="1">
          <a:off x="6392333" y="164443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1424" name="Straight Arrow Connector 1423">
          <a:extLst>
            <a:ext uri="{FF2B5EF4-FFF2-40B4-BE49-F238E27FC236}">
              <a16:creationId xmlns:a16="http://schemas.microsoft.com/office/drawing/2014/main" id="{00000000-0008-0000-1200-000090050000}"/>
            </a:ext>
          </a:extLst>
        </xdr:cNvPr>
        <xdr:cNvCxnSpPr/>
      </xdr:nvCxnSpPr>
      <xdr:spPr>
        <a:xfrm>
          <a:off x="6413500" y="166475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1425" name="Straight Arrow Connector 1424">
          <a:extLst>
            <a:ext uri="{FF2B5EF4-FFF2-40B4-BE49-F238E27FC236}">
              <a16:creationId xmlns:a16="http://schemas.microsoft.com/office/drawing/2014/main" id="{00000000-0008-0000-1200-000091050000}"/>
            </a:ext>
          </a:extLst>
        </xdr:cNvPr>
        <xdr:cNvCxnSpPr/>
      </xdr:nvCxnSpPr>
      <xdr:spPr>
        <a:xfrm flipV="1">
          <a:off x="7556500" y="167608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1426" name="Straight Arrow Connector 1425">
          <a:extLst>
            <a:ext uri="{FF2B5EF4-FFF2-40B4-BE49-F238E27FC236}">
              <a16:creationId xmlns:a16="http://schemas.microsoft.com/office/drawing/2014/main" id="{00000000-0008-0000-1200-000092050000}"/>
            </a:ext>
          </a:extLst>
        </xdr:cNvPr>
        <xdr:cNvCxnSpPr/>
      </xdr:nvCxnSpPr>
      <xdr:spPr>
        <a:xfrm flipV="1">
          <a:off x="10530417"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1427" name="Straight Arrow Connector 1426">
          <a:extLst>
            <a:ext uri="{FF2B5EF4-FFF2-40B4-BE49-F238E27FC236}">
              <a16:creationId xmlns:a16="http://schemas.microsoft.com/office/drawing/2014/main" id="{00000000-0008-0000-1200-000093050000}"/>
            </a:ext>
          </a:extLst>
        </xdr:cNvPr>
        <xdr:cNvCxnSpPr/>
      </xdr:nvCxnSpPr>
      <xdr:spPr>
        <a:xfrm>
          <a:off x="10572750"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1428" name="Straight Arrow Connector 1427">
          <a:extLst>
            <a:ext uri="{FF2B5EF4-FFF2-40B4-BE49-F238E27FC236}">
              <a16:creationId xmlns:a16="http://schemas.microsoft.com/office/drawing/2014/main" id="{00000000-0008-0000-1200-000094050000}"/>
            </a:ext>
          </a:extLst>
        </xdr:cNvPr>
        <xdr:cNvCxnSpPr/>
      </xdr:nvCxnSpPr>
      <xdr:spPr>
        <a:xfrm>
          <a:off x="10551583"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1429" name="Straight Arrow Connector 1428">
          <a:extLst>
            <a:ext uri="{FF2B5EF4-FFF2-40B4-BE49-F238E27FC236}">
              <a16:creationId xmlns:a16="http://schemas.microsoft.com/office/drawing/2014/main" id="{00000000-0008-0000-1200-000095050000}"/>
            </a:ext>
          </a:extLst>
        </xdr:cNvPr>
        <xdr:cNvCxnSpPr/>
      </xdr:nvCxnSpPr>
      <xdr:spPr>
        <a:xfrm>
          <a:off x="10583333" y="159861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1430" name="Straight Arrow Connector 1429">
          <a:extLst>
            <a:ext uri="{FF2B5EF4-FFF2-40B4-BE49-F238E27FC236}">
              <a16:creationId xmlns:a16="http://schemas.microsoft.com/office/drawing/2014/main" id="{00000000-0008-0000-1200-000096050000}"/>
            </a:ext>
          </a:extLst>
        </xdr:cNvPr>
        <xdr:cNvCxnSpPr/>
      </xdr:nvCxnSpPr>
      <xdr:spPr>
        <a:xfrm>
          <a:off x="10562166" y="162496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1431" name="Straight Arrow Connector 1430">
          <a:extLst>
            <a:ext uri="{FF2B5EF4-FFF2-40B4-BE49-F238E27FC236}">
              <a16:creationId xmlns:a16="http://schemas.microsoft.com/office/drawing/2014/main" id="{00000000-0008-0000-1200-000097050000}"/>
            </a:ext>
          </a:extLst>
        </xdr:cNvPr>
        <xdr:cNvCxnSpPr/>
      </xdr:nvCxnSpPr>
      <xdr:spPr>
        <a:xfrm>
          <a:off x="10615083"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1432" name="Straight Arrow Connector 1431">
          <a:extLst>
            <a:ext uri="{FF2B5EF4-FFF2-40B4-BE49-F238E27FC236}">
              <a16:creationId xmlns:a16="http://schemas.microsoft.com/office/drawing/2014/main" id="{00000000-0008-0000-1200-000098050000}"/>
            </a:ext>
          </a:extLst>
        </xdr:cNvPr>
        <xdr:cNvCxnSpPr/>
      </xdr:nvCxnSpPr>
      <xdr:spPr>
        <a:xfrm>
          <a:off x="10572750"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1433" name="Straight Arrow Connector 1432">
          <a:extLst>
            <a:ext uri="{FF2B5EF4-FFF2-40B4-BE49-F238E27FC236}">
              <a16:creationId xmlns:a16="http://schemas.microsoft.com/office/drawing/2014/main" id="{00000000-0008-0000-1200-000099050000}"/>
            </a:ext>
          </a:extLst>
        </xdr:cNvPr>
        <xdr:cNvCxnSpPr/>
      </xdr:nvCxnSpPr>
      <xdr:spPr>
        <a:xfrm flipV="1">
          <a:off x="10562166"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1434" name="Straight Arrow Connector 1433">
          <a:extLst>
            <a:ext uri="{FF2B5EF4-FFF2-40B4-BE49-F238E27FC236}">
              <a16:creationId xmlns:a16="http://schemas.microsoft.com/office/drawing/2014/main" id="{00000000-0008-0000-1200-00009A050000}"/>
            </a:ext>
          </a:extLst>
        </xdr:cNvPr>
        <xdr:cNvCxnSpPr/>
      </xdr:nvCxnSpPr>
      <xdr:spPr>
        <a:xfrm flipV="1">
          <a:off x="10604500"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1435" name="Straight Arrow Connector 1434">
          <a:extLst>
            <a:ext uri="{FF2B5EF4-FFF2-40B4-BE49-F238E27FC236}">
              <a16:creationId xmlns:a16="http://schemas.microsoft.com/office/drawing/2014/main" id="{00000000-0008-0000-1200-00009B050000}"/>
            </a:ext>
          </a:extLst>
        </xdr:cNvPr>
        <xdr:cNvCxnSpPr/>
      </xdr:nvCxnSpPr>
      <xdr:spPr>
        <a:xfrm>
          <a:off x="10593916"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1436" name="Straight Arrow Connector 1435">
          <a:extLst>
            <a:ext uri="{FF2B5EF4-FFF2-40B4-BE49-F238E27FC236}">
              <a16:creationId xmlns:a16="http://schemas.microsoft.com/office/drawing/2014/main" id="{00000000-0008-0000-1200-00009C050000}"/>
            </a:ext>
          </a:extLst>
        </xdr:cNvPr>
        <xdr:cNvCxnSpPr/>
      </xdr:nvCxnSpPr>
      <xdr:spPr>
        <a:xfrm>
          <a:off x="10572750" y="168137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1437" name="Straight Arrow Connector 1436">
          <a:extLst>
            <a:ext uri="{FF2B5EF4-FFF2-40B4-BE49-F238E27FC236}">
              <a16:creationId xmlns:a16="http://schemas.microsoft.com/office/drawing/2014/main" id="{00000000-0008-0000-1200-00009D050000}"/>
            </a:ext>
          </a:extLst>
        </xdr:cNvPr>
        <xdr:cNvCxnSpPr/>
      </xdr:nvCxnSpPr>
      <xdr:spPr>
        <a:xfrm flipV="1">
          <a:off x="10583333"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1438" name="Straight Arrow Connector 1437">
          <a:extLst>
            <a:ext uri="{FF2B5EF4-FFF2-40B4-BE49-F238E27FC236}">
              <a16:creationId xmlns:a16="http://schemas.microsoft.com/office/drawing/2014/main" id="{00000000-0008-0000-1200-00009E050000}"/>
            </a:ext>
          </a:extLst>
        </xdr:cNvPr>
        <xdr:cNvCxnSpPr/>
      </xdr:nvCxnSpPr>
      <xdr:spPr>
        <a:xfrm>
          <a:off x="7598834"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1439" name="Straight Arrow Connector 1438">
          <a:extLst>
            <a:ext uri="{FF2B5EF4-FFF2-40B4-BE49-F238E27FC236}">
              <a16:creationId xmlns:a16="http://schemas.microsoft.com/office/drawing/2014/main" id="{00000000-0008-0000-1200-00009F050000}"/>
            </a:ext>
          </a:extLst>
        </xdr:cNvPr>
        <xdr:cNvCxnSpPr/>
      </xdr:nvCxnSpPr>
      <xdr:spPr>
        <a:xfrm flipV="1">
          <a:off x="8794750" y="16670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1440" name="Straight Arrow Connector 1439">
          <a:extLst>
            <a:ext uri="{FF2B5EF4-FFF2-40B4-BE49-F238E27FC236}">
              <a16:creationId xmlns:a16="http://schemas.microsoft.com/office/drawing/2014/main" id="{00000000-0008-0000-1200-0000A0050000}"/>
            </a:ext>
          </a:extLst>
        </xdr:cNvPr>
        <xdr:cNvCxnSpPr/>
      </xdr:nvCxnSpPr>
      <xdr:spPr>
        <a:xfrm>
          <a:off x="8784166" y="16766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1441" name="Straight Arrow Connector 1440">
          <a:extLst>
            <a:ext uri="{FF2B5EF4-FFF2-40B4-BE49-F238E27FC236}">
              <a16:creationId xmlns:a16="http://schemas.microsoft.com/office/drawing/2014/main" id="{00000000-0008-0000-1200-0000A1050000}"/>
            </a:ext>
          </a:extLst>
        </xdr:cNvPr>
        <xdr:cNvCxnSpPr/>
      </xdr:nvCxnSpPr>
      <xdr:spPr>
        <a:xfrm flipV="1">
          <a:off x="879475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1442" name="Straight Arrow Connector 1441">
          <a:extLst>
            <a:ext uri="{FF2B5EF4-FFF2-40B4-BE49-F238E27FC236}">
              <a16:creationId xmlns:a16="http://schemas.microsoft.com/office/drawing/2014/main" id="{00000000-0008-0000-1200-0000A2050000}"/>
            </a:ext>
          </a:extLst>
        </xdr:cNvPr>
        <xdr:cNvCxnSpPr/>
      </xdr:nvCxnSpPr>
      <xdr:spPr>
        <a:xfrm>
          <a:off x="8805333" y="17164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1443" name="Straight Arrow Connector 1442">
          <a:extLst>
            <a:ext uri="{FF2B5EF4-FFF2-40B4-BE49-F238E27FC236}">
              <a16:creationId xmlns:a16="http://schemas.microsoft.com/office/drawing/2014/main" id="{00000000-0008-0000-1200-0000A3050000}"/>
            </a:ext>
          </a:extLst>
        </xdr:cNvPr>
        <xdr:cNvCxnSpPr/>
      </xdr:nvCxnSpPr>
      <xdr:spPr>
        <a:xfrm>
          <a:off x="10593916"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1444" name="Straight Arrow Connector 1443">
          <a:extLst>
            <a:ext uri="{FF2B5EF4-FFF2-40B4-BE49-F238E27FC236}">
              <a16:creationId xmlns:a16="http://schemas.microsoft.com/office/drawing/2014/main" id="{00000000-0008-0000-1200-0000A4050000}"/>
            </a:ext>
          </a:extLst>
        </xdr:cNvPr>
        <xdr:cNvCxnSpPr/>
      </xdr:nvCxnSpPr>
      <xdr:spPr>
        <a:xfrm flipV="1">
          <a:off x="10541000" y="16769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1445" name="Straight Arrow Connector 1444">
          <a:extLst>
            <a:ext uri="{FF2B5EF4-FFF2-40B4-BE49-F238E27FC236}">
              <a16:creationId xmlns:a16="http://schemas.microsoft.com/office/drawing/2014/main" id="{00000000-0008-0000-1200-0000A5050000}"/>
            </a:ext>
          </a:extLst>
        </xdr:cNvPr>
        <xdr:cNvCxnSpPr/>
      </xdr:nvCxnSpPr>
      <xdr:spPr>
        <a:xfrm>
          <a:off x="10530417"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1446" name="Straight Arrow Connector 1445">
          <a:extLst>
            <a:ext uri="{FF2B5EF4-FFF2-40B4-BE49-F238E27FC236}">
              <a16:creationId xmlns:a16="http://schemas.microsoft.com/office/drawing/2014/main" id="{00000000-0008-0000-1200-0000A6050000}"/>
            </a:ext>
          </a:extLst>
        </xdr:cNvPr>
        <xdr:cNvCxnSpPr/>
      </xdr:nvCxnSpPr>
      <xdr:spPr>
        <a:xfrm>
          <a:off x="10530417" y="168021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1447" name="Straight Arrow Connector 1446">
          <a:extLst>
            <a:ext uri="{FF2B5EF4-FFF2-40B4-BE49-F238E27FC236}">
              <a16:creationId xmlns:a16="http://schemas.microsoft.com/office/drawing/2014/main" id="{00000000-0008-0000-1200-0000A7050000}"/>
            </a:ext>
          </a:extLst>
        </xdr:cNvPr>
        <xdr:cNvCxnSpPr/>
      </xdr:nvCxnSpPr>
      <xdr:spPr>
        <a:xfrm flipV="1">
          <a:off x="10530417"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1448" name="Straight Arrow Connector 1447">
          <a:extLst>
            <a:ext uri="{FF2B5EF4-FFF2-40B4-BE49-F238E27FC236}">
              <a16:creationId xmlns:a16="http://schemas.microsoft.com/office/drawing/2014/main" id="{00000000-0008-0000-1200-0000A8050000}"/>
            </a:ext>
          </a:extLst>
        </xdr:cNvPr>
        <xdr:cNvCxnSpPr/>
      </xdr:nvCxnSpPr>
      <xdr:spPr>
        <a:xfrm>
          <a:off x="10572750"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1449" name="Straight Arrow Connector 1448">
          <a:extLst>
            <a:ext uri="{FF2B5EF4-FFF2-40B4-BE49-F238E27FC236}">
              <a16:creationId xmlns:a16="http://schemas.microsoft.com/office/drawing/2014/main" id="{00000000-0008-0000-1200-0000A9050000}"/>
            </a:ext>
          </a:extLst>
        </xdr:cNvPr>
        <xdr:cNvCxnSpPr/>
      </xdr:nvCxnSpPr>
      <xdr:spPr>
        <a:xfrm>
          <a:off x="10551583"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1450" name="Straight Arrow Connector 1449">
          <a:extLst>
            <a:ext uri="{FF2B5EF4-FFF2-40B4-BE49-F238E27FC236}">
              <a16:creationId xmlns:a16="http://schemas.microsoft.com/office/drawing/2014/main" id="{00000000-0008-0000-1200-0000AA050000}"/>
            </a:ext>
          </a:extLst>
        </xdr:cNvPr>
        <xdr:cNvCxnSpPr/>
      </xdr:nvCxnSpPr>
      <xdr:spPr>
        <a:xfrm>
          <a:off x="10583333" y="17071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1451" name="Straight Arrow Connector 1450">
          <a:extLst>
            <a:ext uri="{FF2B5EF4-FFF2-40B4-BE49-F238E27FC236}">
              <a16:creationId xmlns:a16="http://schemas.microsoft.com/office/drawing/2014/main" id="{00000000-0008-0000-1200-0000AB050000}"/>
            </a:ext>
          </a:extLst>
        </xdr:cNvPr>
        <xdr:cNvCxnSpPr/>
      </xdr:nvCxnSpPr>
      <xdr:spPr>
        <a:xfrm>
          <a:off x="10562166" y="17335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1452" name="Straight Arrow Connector 1451">
          <a:extLst>
            <a:ext uri="{FF2B5EF4-FFF2-40B4-BE49-F238E27FC236}">
              <a16:creationId xmlns:a16="http://schemas.microsoft.com/office/drawing/2014/main" id="{00000000-0008-0000-1200-0000AC050000}"/>
            </a:ext>
          </a:extLst>
        </xdr:cNvPr>
        <xdr:cNvCxnSpPr/>
      </xdr:nvCxnSpPr>
      <xdr:spPr>
        <a:xfrm>
          <a:off x="10615083"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1453" name="Straight Arrow Connector 1452">
          <a:extLst>
            <a:ext uri="{FF2B5EF4-FFF2-40B4-BE49-F238E27FC236}">
              <a16:creationId xmlns:a16="http://schemas.microsoft.com/office/drawing/2014/main" id="{00000000-0008-0000-1200-0000AD050000}"/>
            </a:ext>
          </a:extLst>
        </xdr:cNvPr>
        <xdr:cNvCxnSpPr/>
      </xdr:nvCxnSpPr>
      <xdr:spPr>
        <a:xfrm>
          <a:off x="10572750"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1454" name="Straight Arrow Connector 1453">
          <a:extLst>
            <a:ext uri="{FF2B5EF4-FFF2-40B4-BE49-F238E27FC236}">
              <a16:creationId xmlns:a16="http://schemas.microsoft.com/office/drawing/2014/main" id="{00000000-0008-0000-1200-0000AE050000}"/>
            </a:ext>
          </a:extLst>
        </xdr:cNvPr>
        <xdr:cNvCxnSpPr/>
      </xdr:nvCxnSpPr>
      <xdr:spPr>
        <a:xfrm flipV="1">
          <a:off x="10583333"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1455" name="Straight Arrow Connector 1454">
          <a:extLst>
            <a:ext uri="{FF2B5EF4-FFF2-40B4-BE49-F238E27FC236}">
              <a16:creationId xmlns:a16="http://schemas.microsoft.com/office/drawing/2014/main" id="{00000000-0008-0000-1200-0000AF050000}"/>
            </a:ext>
          </a:extLst>
        </xdr:cNvPr>
        <xdr:cNvCxnSpPr/>
      </xdr:nvCxnSpPr>
      <xdr:spPr>
        <a:xfrm flipV="1">
          <a:off x="5207000" y="1555750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912</xdr:row>
      <xdr:rowOff>10584</xdr:rowOff>
    </xdr:from>
    <xdr:to>
      <xdr:col>1</xdr:col>
      <xdr:colOff>603250</xdr:colOff>
      <xdr:row>1005</xdr:row>
      <xdr:rowOff>158750</xdr:rowOff>
    </xdr:to>
    <xdr:cxnSp macro="">
      <xdr:nvCxnSpPr>
        <xdr:cNvPr id="1664" name="Straight Arrow Connector 1663">
          <a:extLst>
            <a:ext uri="{FF2B5EF4-FFF2-40B4-BE49-F238E27FC236}">
              <a16:creationId xmlns:a16="http://schemas.microsoft.com/office/drawing/2014/main" id="{00000000-0008-0000-1200-000080060000}"/>
            </a:ext>
          </a:extLst>
        </xdr:cNvPr>
        <xdr:cNvCxnSpPr/>
      </xdr:nvCxnSpPr>
      <xdr:spPr>
        <a:xfrm flipV="1">
          <a:off x="603250" y="884025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1008</xdr:row>
      <xdr:rowOff>169333</xdr:rowOff>
    </xdr:from>
    <xdr:to>
      <xdr:col>1</xdr:col>
      <xdr:colOff>603250</xdr:colOff>
      <xdr:row>1050</xdr:row>
      <xdr:rowOff>148167</xdr:rowOff>
    </xdr:to>
    <xdr:cxnSp macro="">
      <xdr:nvCxnSpPr>
        <xdr:cNvPr id="1665" name="Straight Arrow Connector 1664">
          <a:extLst>
            <a:ext uri="{FF2B5EF4-FFF2-40B4-BE49-F238E27FC236}">
              <a16:creationId xmlns:a16="http://schemas.microsoft.com/office/drawing/2014/main" id="{00000000-0008-0000-1200-000081060000}"/>
            </a:ext>
          </a:extLst>
        </xdr:cNvPr>
        <xdr:cNvCxnSpPr/>
      </xdr:nvCxnSpPr>
      <xdr:spPr>
        <a:xfrm>
          <a:off x="603250" y="1072303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984</xdr:row>
      <xdr:rowOff>158750</xdr:rowOff>
    </xdr:from>
    <xdr:to>
      <xdr:col>3</xdr:col>
      <xdr:colOff>603250</xdr:colOff>
      <xdr:row>1051</xdr:row>
      <xdr:rowOff>10583</xdr:rowOff>
    </xdr:to>
    <xdr:cxnSp macro="">
      <xdr:nvCxnSpPr>
        <xdr:cNvPr id="1666" name="Straight Arrow Connector 1665">
          <a:extLst>
            <a:ext uri="{FF2B5EF4-FFF2-40B4-BE49-F238E27FC236}">
              <a16:creationId xmlns:a16="http://schemas.microsoft.com/office/drawing/2014/main" id="{00000000-0008-0000-1200-000082060000}"/>
            </a:ext>
          </a:extLst>
        </xdr:cNvPr>
        <xdr:cNvCxnSpPr/>
      </xdr:nvCxnSpPr>
      <xdr:spPr>
        <a:xfrm flipV="1">
          <a:off x="2296584" y="1024572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1053</xdr:row>
      <xdr:rowOff>10583</xdr:rowOff>
    </xdr:from>
    <xdr:to>
      <xdr:col>4</xdr:col>
      <xdr:colOff>63500</xdr:colOff>
      <xdr:row>1204</xdr:row>
      <xdr:rowOff>158750</xdr:rowOff>
    </xdr:to>
    <xdr:cxnSp macro="">
      <xdr:nvCxnSpPr>
        <xdr:cNvPr id="1667" name="Straight Arrow Connector 1666">
          <a:extLst>
            <a:ext uri="{FF2B5EF4-FFF2-40B4-BE49-F238E27FC236}">
              <a16:creationId xmlns:a16="http://schemas.microsoft.com/office/drawing/2014/main" id="{00000000-0008-0000-1200-000083060000}"/>
            </a:ext>
          </a:extLst>
        </xdr:cNvPr>
        <xdr:cNvCxnSpPr/>
      </xdr:nvCxnSpPr>
      <xdr:spPr>
        <a:xfrm>
          <a:off x="2307167" y="1158345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947</xdr:row>
      <xdr:rowOff>1</xdr:rowOff>
    </xdr:from>
    <xdr:to>
      <xdr:col>6</xdr:col>
      <xdr:colOff>0</xdr:colOff>
      <xdr:row>981</xdr:row>
      <xdr:rowOff>116417</xdr:rowOff>
    </xdr:to>
    <xdr:cxnSp macro="">
      <xdr:nvCxnSpPr>
        <xdr:cNvPr id="1668" name="Straight Arrow Connector 1667">
          <a:extLst>
            <a:ext uri="{FF2B5EF4-FFF2-40B4-BE49-F238E27FC236}">
              <a16:creationId xmlns:a16="http://schemas.microsoft.com/office/drawing/2014/main" id="{00000000-0008-0000-1200-000084060000}"/>
            </a:ext>
          </a:extLst>
        </xdr:cNvPr>
        <xdr:cNvCxnSpPr/>
      </xdr:nvCxnSpPr>
      <xdr:spPr>
        <a:xfrm flipV="1">
          <a:off x="3714750" y="952500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984</xdr:row>
      <xdr:rowOff>169334</xdr:rowOff>
    </xdr:from>
    <xdr:to>
      <xdr:col>5</xdr:col>
      <xdr:colOff>571500</xdr:colOff>
      <xdr:row>1053</xdr:row>
      <xdr:rowOff>0</xdr:rowOff>
    </xdr:to>
    <xdr:cxnSp macro="">
      <xdr:nvCxnSpPr>
        <xdr:cNvPr id="1669" name="Straight Arrow Connector 1668">
          <a:extLst>
            <a:ext uri="{FF2B5EF4-FFF2-40B4-BE49-F238E27FC236}">
              <a16:creationId xmlns:a16="http://schemas.microsoft.com/office/drawing/2014/main" id="{00000000-0008-0000-1200-000085060000}"/>
            </a:ext>
          </a:extLst>
        </xdr:cNvPr>
        <xdr:cNvCxnSpPr/>
      </xdr:nvCxnSpPr>
      <xdr:spPr>
        <a:xfrm>
          <a:off x="3799417" y="102467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922</xdr:row>
      <xdr:rowOff>148167</xdr:rowOff>
    </xdr:from>
    <xdr:to>
      <xdr:col>7</xdr:col>
      <xdr:colOff>603250</xdr:colOff>
      <xdr:row>944</xdr:row>
      <xdr:rowOff>31750</xdr:rowOff>
    </xdr:to>
    <xdr:cxnSp macro="">
      <xdr:nvCxnSpPr>
        <xdr:cNvPr id="1670" name="Straight Arrow Connector 1669">
          <a:extLst>
            <a:ext uri="{FF2B5EF4-FFF2-40B4-BE49-F238E27FC236}">
              <a16:creationId xmlns:a16="http://schemas.microsoft.com/office/drawing/2014/main" id="{00000000-0008-0000-1200-000086060000}"/>
            </a:ext>
          </a:extLst>
        </xdr:cNvPr>
        <xdr:cNvCxnSpPr/>
      </xdr:nvCxnSpPr>
      <xdr:spPr>
        <a:xfrm flipV="1">
          <a:off x="5175250" y="90445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947</xdr:row>
      <xdr:rowOff>10584</xdr:rowOff>
    </xdr:from>
    <xdr:to>
      <xdr:col>8</xdr:col>
      <xdr:colOff>21167</xdr:colOff>
      <xdr:row>975</xdr:row>
      <xdr:rowOff>148166</xdr:rowOff>
    </xdr:to>
    <xdr:cxnSp macro="">
      <xdr:nvCxnSpPr>
        <xdr:cNvPr id="1671" name="Straight Arrow Connector 1670">
          <a:extLst>
            <a:ext uri="{FF2B5EF4-FFF2-40B4-BE49-F238E27FC236}">
              <a16:creationId xmlns:a16="http://schemas.microsoft.com/office/drawing/2014/main" id="{00000000-0008-0000-1200-000087060000}"/>
            </a:ext>
          </a:extLst>
        </xdr:cNvPr>
        <xdr:cNvCxnSpPr/>
      </xdr:nvCxnSpPr>
      <xdr:spPr>
        <a:xfrm>
          <a:off x="5175250" y="952605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914</xdr:row>
      <xdr:rowOff>137583</xdr:rowOff>
    </xdr:from>
    <xdr:to>
      <xdr:col>9</xdr:col>
      <xdr:colOff>603250</xdr:colOff>
      <xdr:row>920</xdr:row>
      <xdr:rowOff>21166</xdr:rowOff>
    </xdr:to>
    <xdr:cxnSp macro="">
      <xdr:nvCxnSpPr>
        <xdr:cNvPr id="1672" name="Straight Arrow Connector 1671">
          <a:extLst>
            <a:ext uri="{FF2B5EF4-FFF2-40B4-BE49-F238E27FC236}">
              <a16:creationId xmlns:a16="http://schemas.microsoft.com/office/drawing/2014/main" id="{00000000-0008-0000-1200-000088060000}"/>
            </a:ext>
          </a:extLst>
        </xdr:cNvPr>
        <xdr:cNvCxnSpPr/>
      </xdr:nvCxnSpPr>
      <xdr:spPr>
        <a:xfrm flipV="1">
          <a:off x="6381750" y="88910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923</xdr:row>
      <xdr:rowOff>0</xdr:rowOff>
    </xdr:from>
    <xdr:to>
      <xdr:col>9</xdr:col>
      <xdr:colOff>582083</xdr:colOff>
      <xdr:row>931</xdr:row>
      <xdr:rowOff>10583</xdr:rowOff>
    </xdr:to>
    <xdr:cxnSp macro="">
      <xdr:nvCxnSpPr>
        <xdr:cNvPr id="1673" name="Straight Arrow Connector 1672">
          <a:extLst>
            <a:ext uri="{FF2B5EF4-FFF2-40B4-BE49-F238E27FC236}">
              <a16:creationId xmlns:a16="http://schemas.microsoft.com/office/drawing/2014/main" id="{00000000-0008-0000-1200-000089060000}"/>
            </a:ext>
          </a:extLst>
        </xdr:cNvPr>
        <xdr:cNvCxnSpPr/>
      </xdr:nvCxnSpPr>
      <xdr:spPr>
        <a:xfrm>
          <a:off x="6413500" y="90487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928</xdr:row>
      <xdr:rowOff>169333</xdr:rowOff>
    </xdr:from>
    <xdr:to>
      <xdr:col>11</xdr:col>
      <xdr:colOff>603250</xdr:colOff>
      <xdr:row>931</xdr:row>
      <xdr:rowOff>21167</xdr:rowOff>
    </xdr:to>
    <xdr:cxnSp macro="">
      <xdr:nvCxnSpPr>
        <xdr:cNvPr id="1674" name="Straight Arrow Connector 1673">
          <a:extLst>
            <a:ext uri="{FF2B5EF4-FFF2-40B4-BE49-F238E27FC236}">
              <a16:creationId xmlns:a16="http://schemas.microsoft.com/office/drawing/2014/main" id="{00000000-0008-0000-1200-00008A060000}"/>
            </a:ext>
          </a:extLst>
        </xdr:cNvPr>
        <xdr:cNvCxnSpPr/>
      </xdr:nvCxnSpPr>
      <xdr:spPr>
        <a:xfrm flipV="1">
          <a:off x="7609417" y="91609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934</xdr:row>
      <xdr:rowOff>42333</xdr:rowOff>
    </xdr:from>
    <xdr:to>
      <xdr:col>11</xdr:col>
      <xdr:colOff>603250</xdr:colOff>
      <xdr:row>946</xdr:row>
      <xdr:rowOff>10583</xdr:rowOff>
    </xdr:to>
    <xdr:cxnSp macro="">
      <xdr:nvCxnSpPr>
        <xdr:cNvPr id="1675" name="Straight Arrow Connector 1674">
          <a:extLst>
            <a:ext uri="{FF2B5EF4-FFF2-40B4-BE49-F238E27FC236}">
              <a16:creationId xmlns:a16="http://schemas.microsoft.com/office/drawing/2014/main" id="{00000000-0008-0000-1200-00008B060000}"/>
            </a:ext>
          </a:extLst>
        </xdr:cNvPr>
        <xdr:cNvCxnSpPr/>
      </xdr:nvCxnSpPr>
      <xdr:spPr>
        <a:xfrm>
          <a:off x="7598834" y="9262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924</xdr:row>
      <xdr:rowOff>21167</xdr:rowOff>
    </xdr:from>
    <xdr:to>
      <xdr:col>13</xdr:col>
      <xdr:colOff>592667</xdr:colOff>
      <xdr:row>926</xdr:row>
      <xdr:rowOff>0</xdr:rowOff>
    </xdr:to>
    <xdr:cxnSp macro="">
      <xdr:nvCxnSpPr>
        <xdr:cNvPr id="1676" name="Straight Arrow Connector 1675">
          <a:extLst>
            <a:ext uri="{FF2B5EF4-FFF2-40B4-BE49-F238E27FC236}">
              <a16:creationId xmlns:a16="http://schemas.microsoft.com/office/drawing/2014/main" id="{00000000-0008-0000-1200-00008C060000}"/>
            </a:ext>
          </a:extLst>
        </xdr:cNvPr>
        <xdr:cNvCxnSpPr/>
      </xdr:nvCxnSpPr>
      <xdr:spPr>
        <a:xfrm flipV="1">
          <a:off x="8794750" y="90699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929</xdr:row>
      <xdr:rowOff>21166</xdr:rowOff>
    </xdr:from>
    <xdr:to>
      <xdr:col>13</xdr:col>
      <xdr:colOff>592667</xdr:colOff>
      <xdr:row>930</xdr:row>
      <xdr:rowOff>169334</xdr:rowOff>
    </xdr:to>
    <xdr:cxnSp macro="">
      <xdr:nvCxnSpPr>
        <xdr:cNvPr id="1677" name="Straight Arrow Connector 1676">
          <a:extLst>
            <a:ext uri="{FF2B5EF4-FFF2-40B4-BE49-F238E27FC236}">
              <a16:creationId xmlns:a16="http://schemas.microsoft.com/office/drawing/2014/main" id="{00000000-0008-0000-1200-00008D060000}"/>
            </a:ext>
          </a:extLst>
        </xdr:cNvPr>
        <xdr:cNvCxnSpPr/>
      </xdr:nvCxnSpPr>
      <xdr:spPr>
        <a:xfrm>
          <a:off x="8784166" y="91651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944</xdr:row>
      <xdr:rowOff>21167</xdr:rowOff>
    </xdr:from>
    <xdr:to>
      <xdr:col>13</xdr:col>
      <xdr:colOff>592667</xdr:colOff>
      <xdr:row>946</xdr:row>
      <xdr:rowOff>63500</xdr:rowOff>
    </xdr:to>
    <xdr:cxnSp macro="">
      <xdr:nvCxnSpPr>
        <xdr:cNvPr id="1678" name="Straight Arrow Connector 1677">
          <a:extLst>
            <a:ext uri="{FF2B5EF4-FFF2-40B4-BE49-F238E27FC236}">
              <a16:creationId xmlns:a16="http://schemas.microsoft.com/office/drawing/2014/main" id="{00000000-0008-0000-1200-00008E060000}"/>
            </a:ext>
          </a:extLst>
        </xdr:cNvPr>
        <xdr:cNvCxnSpPr/>
      </xdr:nvCxnSpPr>
      <xdr:spPr>
        <a:xfrm flipV="1">
          <a:off x="8794750" y="9469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949</xdr:row>
      <xdr:rowOff>0</xdr:rowOff>
    </xdr:from>
    <xdr:to>
      <xdr:col>14</xdr:col>
      <xdr:colOff>10584</xdr:colOff>
      <xdr:row>957</xdr:row>
      <xdr:rowOff>148167</xdr:rowOff>
    </xdr:to>
    <xdr:cxnSp macro="">
      <xdr:nvCxnSpPr>
        <xdr:cNvPr id="1679" name="Straight Arrow Connector 1678">
          <a:extLst>
            <a:ext uri="{FF2B5EF4-FFF2-40B4-BE49-F238E27FC236}">
              <a16:creationId xmlns:a16="http://schemas.microsoft.com/office/drawing/2014/main" id="{00000000-0008-0000-1200-00008F060000}"/>
            </a:ext>
          </a:extLst>
        </xdr:cNvPr>
        <xdr:cNvCxnSpPr/>
      </xdr:nvCxnSpPr>
      <xdr:spPr>
        <a:xfrm>
          <a:off x="8805333" y="95631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916</xdr:row>
      <xdr:rowOff>0</xdr:rowOff>
    </xdr:from>
    <xdr:to>
      <xdr:col>15</xdr:col>
      <xdr:colOff>603250</xdr:colOff>
      <xdr:row>921</xdr:row>
      <xdr:rowOff>31750</xdr:rowOff>
    </xdr:to>
    <xdr:cxnSp macro="">
      <xdr:nvCxnSpPr>
        <xdr:cNvPr id="1680" name="Straight Arrow Connector 1679">
          <a:extLst>
            <a:ext uri="{FF2B5EF4-FFF2-40B4-BE49-F238E27FC236}">
              <a16:creationId xmlns:a16="http://schemas.microsoft.com/office/drawing/2014/main" id="{00000000-0008-0000-1200-000090060000}"/>
            </a:ext>
          </a:extLst>
        </xdr:cNvPr>
        <xdr:cNvCxnSpPr/>
      </xdr:nvCxnSpPr>
      <xdr:spPr>
        <a:xfrm flipV="1">
          <a:off x="10541000" y="89154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919</xdr:row>
      <xdr:rowOff>52917</xdr:rowOff>
    </xdr:from>
    <xdr:to>
      <xdr:col>15</xdr:col>
      <xdr:colOff>603250</xdr:colOff>
      <xdr:row>921</xdr:row>
      <xdr:rowOff>95250</xdr:rowOff>
    </xdr:to>
    <xdr:cxnSp macro="">
      <xdr:nvCxnSpPr>
        <xdr:cNvPr id="1681" name="Straight Arrow Connector 1680">
          <a:extLst>
            <a:ext uri="{FF2B5EF4-FFF2-40B4-BE49-F238E27FC236}">
              <a16:creationId xmlns:a16="http://schemas.microsoft.com/office/drawing/2014/main" id="{00000000-0008-0000-1200-000091060000}"/>
            </a:ext>
          </a:extLst>
        </xdr:cNvPr>
        <xdr:cNvCxnSpPr/>
      </xdr:nvCxnSpPr>
      <xdr:spPr>
        <a:xfrm flipV="1">
          <a:off x="10583333" y="89778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921</xdr:row>
      <xdr:rowOff>158750</xdr:rowOff>
    </xdr:from>
    <xdr:to>
      <xdr:col>15</xdr:col>
      <xdr:colOff>582083</xdr:colOff>
      <xdr:row>922</xdr:row>
      <xdr:rowOff>137583</xdr:rowOff>
    </xdr:to>
    <xdr:cxnSp macro="">
      <xdr:nvCxnSpPr>
        <xdr:cNvPr id="1682" name="Straight Arrow Connector 1681">
          <a:extLst>
            <a:ext uri="{FF2B5EF4-FFF2-40B4-BE49-F238E27FC236}">
              <a16:creationId xmlns:a16="http://schemas.microsoft.com/office/drawing/2014/main" id="{00000000-0008-0000-1200-000092060000}"/>
            </a:ext>
          </a:extLst>
        </xdr:cNvPr>
        <xdr:cNvCxnSpPr/>
      </xdr:nvCxnSpPr>
      <xdr:spPr>
        <a:xfrm>
          <a:off x="10604500" y="90265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921</xdr:row>
      <xdr:rowOff>105834</xdr:rowOff>
    </xdr:from>
    <xdr:to>
      <xdr:col>16</xdr:col>
      <xdr:colOff>0</xdr:colOff>
      <xdr:row>925</xdr:row>
      <xdr:rowOff>84667</xdr:rowOff>
    </xdr:to>
    <xdr:cxnSp macro="">
      <xdr:nvCxnSpPr>
        <xdr:cNvPr id="1683" name="Straight Arrow Connector 1682">
          <a:extLst>
            <a:ext uri="{FF2B5EF4-FFF2-40B4-BE49-F238E27FC236}">
              <a16:creationId xmlns:a16="http://schemas.microsoft.com/office/drawing/2014/main" id="{00000000-0008-0000-1200-000093060000}"/>
            </a:ext>
          </a:extLst>
        </xdr:cNvPr>
        <xdr:cNvCxnSpPr/>
      </xdr:nvCxnSpPr>
      <xdr:spPr>
        <a:xfrm>
          <a:off x="10519834" y="90212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929</xdr:row>
      <xdr:rowOff>52916</xdr:rowOff>
    </xdr:from>
    <xdr:to>
      <xdr:col>16</xdr:col>
      <xdr:colOff>0</xdr:colOff>
      <xdr:row>931</xdr:row>
      <xdr:rowOff>0</xdr:rowOff>
    </xdr:to>
    <xdr:cxnSp macro="">
      <xdr:nvCxnSpPr>
        <xdr:cNvPr id="1684" name="Straight Arrow Connector 1683">
          <a:extLst>
            <a:ext uri="{FF2B5EF4-FFF2-40B4-BE49-F238E27FC236}">
              <a16:creationId xmlns:a16="http://schemas.microsoft.com/office/drawing/2014/main" id="{00000000-0008-0000-1200-000094060000}"/>
            </a:ext>
          </a:extLst>
        </xdr:cNvPr>
        <xdr:cNvCxnSpPr/>
      </xdr:nvCxnSpPr>
      <xdr:spPr>
        <a:xfrm flipV="1">
          <a:off x="10541000" y="91683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931</xdr:row>
      <xdr:rowOff>21167</xdr:rowOff>
    </xdr:from>
    <xdr:to>
      <xdr:col>15</xdr:col>
      <xdr:colOff>582083</xdr:colOff>
      <xdr:row>932</xdr:row>
      <xdr:rowOff>42333</xdr:rowOff>
    </xdr:to>
    <xdr:cxnSp macro="">
      <xdr:nvCxnSpPr>
        <xdr:cNvPr id="1685" name="Straight Arrow Connector 1684">
          <a:extLst>
            <a:ext uri="{FF2B5EF4-FFF2-40B4-BE49-F238E27FC236}">
              <a16:creationId xmlns:a16="http://schemas.microsoft.com/office/drawing/2014/main" id="{00000000-0008-0000-1200-000095060000}"/>
            </a:ext>
          </a:extLst>
        </xdr:cNvPr>
        <xdr:cNvCxnSpPr/>
      </xdr:nvCxnSpPr>
      <xdr:spPr>
        <a:xfrm>
          <a:off x="10551583" y="92032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931</xdr:row>
      <xdr:rowOff>21167</xdr:rowOff>
    </xdr:from>
    <xdr:to>
      <xdr:col>16</xdr:col>
      <xdr:colOff>42333</xdr:colOff>
      <xdr:row>936</xdr:row>
      <xdr:rowOff>21168</xdr:rowOff>
    </xdr:to>
    <xdr:cxnSp macro="">
      <xdr:nvCxnSpPr>
        <xdr:cNvPr id="1686" name="Straight Arrow Connector 1685">
          <a:extLst>
            <a:ext uri="{FF2B5EF4-FFF2-40B4-BE49-F238E27FC236}">
              <a16:creationId xmlns:a16="http://schemas.microsoft.com/office/drawing/2014/main" id="{00000000-0008-0000-1200-000096060000}"/>
            </a:ext>
          </a:extLst>
        </xdr:cNvPr>
        <xdr:cNvCxnSpPr/>
      </xdr:nvCxnSpPr>
      <xdr:spPr>
        <a:xfrm>
          <a:off x="10530417" y="92032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931</xdr:row>
      <xdr:rowOff>31750</xdr:rowOff>
    </xdr:from>
    <xdr:to>
      <xdr:col>16</xdr:col>
      <xdr:colOff>42334</xdr:colOff>
      <xdr:row>938</xdr:row>
      <xdr:rowOff>63501</xdr:rowOff>
    </xdr:to>
    <xdr:cxnSp macro="">
      <xdr:nvCxnSpPr>
        <xdr:cNvPr id="1687" name="Straight Arrow Connector 1686">
          <a:extLst>
            <a:ext uri="{FF2B5EF4-FFF2-40B4-BE49-F238E27FC236}">
              <a16:creationId xmlns:a16="http://schemas.microsoft.com/office/drawing/2014/main" id="{00000000-0008-0000-1200-000097060000}"/>
            </a:ext>
          </a:extLst>
        </xdr:cNvPr>
        <xdr:cNvCxnSpPr/>
      </xdr:nvCxnSpPr>
      <xdr:spPr>
        <a:xfrm>
          <a:off x="10541000" y="92043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968</xdr:row>
      <xdr:rowOff>42333</xdr:rowOff>
    </xdr:from>
    <xdr:to>
      <xdr:col>9</xdr:col>
      <xdr:colOff>592666</xdr:colOff>
      <xdr:row>976</xdr:row>
      <xdr:rowOff>42333</xdr:rowOff>
    </xdr:to>
    <xdr:cxnSp macro="">
      <xdr:nvCxnSpPr>
        <xdr:cNvPr id="1688" name="Straight Arrow Connector 1687">
          <a:extLst>
            <a:ext uri="{FF2B5EF4-FFF2-40B4-BE49-F238E27FC236}">
              <a16:creationId xmlns:a16="http://schemas.microsoft.com/office/drawing/2014/main" id="{00000000-0008-0000-1200-000098060000}"/>
            </a:ext>
          </a:extLst>
        </xdr:cNvPr>
        <xdr:cNvCxnSpPr/>
      </xdr:nvCxnSpPr>
      <xdr:spPr>
        <a:xfrm flipV="1">
          <a:off x="6392333" y="99292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978</xdr:row>
      <xdr:rowOff>169334</xdr:rowOff>
    </xdr:from>
    <xdr:to>
      <xdr:col>9</xdr:col>
      <xdr:colOff>603250</xdr:colOff>
      <xdr:row>987</xdr:row>
      <xdr:rowOff>31750</xdr:rowOff>
    </xdr:to>
    <xdr:cxnSp macro="">
      <xdr:nvCxnSpPr>
        <xdr:cNvPr id="1689" name="Straight Arrow Connector 1688">
          <a:extLst>
            <a:ext uri="{FF2B5EF4-FFF2-40B4-BE49-F238E27FC236}">
              <a16:creationId xmlns:a16="http://schemas.microsoft.com/office/drawing/2014/main" id="{00000000-0008-0000-1200-000099060000}"/>
            </a:ext>
          </a:extLst>
        </xdr:cNvPr>
        <xdr:cNvCxnSpPr/>
      </xdr:nvCxnSpPr>
      <xdr:spPr>
        <a:xfrm>
          <a:off x="6413500" y="101324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984</xdr:row>
      <xdr:rowOff>158750</xdr:rowOff>
    </xdr:from>
    <xdr:to>
      <xdr:col>11</xdr:col>
      <xdr:colOff>571500</xdr:colOff>
      <xdr:row>987</xdr:row>
      <xdr:rowOff>0</xdr:rowOff>
    </xdr:to>
    <xdr:cxnSp macro="">
      <xdr:nvCxnSpPr>
        <xdr:cNvPr id="1690" name="Straight Arrow Connector 1689">
          <a:extLst>
            <a:ext uri="{FF2B5EF4-FFF2-40B4-BE49-F238E27FC236}">
              <a16:creationId xmlns:a16="http://schemas.microsoft.com/office/drawing/2014/main" id="{00000000-0008-0000-1200-00009A060000}"/>
            </a:ext>
          </a:extLst>
        </xdr:cNvPr>
        <xdr:cNvCxnSpPr/>
      </xdr:nvCxnSpPr>
      <xdr:spPr>
        <a:xfrm flipV="1">
          <a:off x="7556500" y="102457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942</xdr:row>
      <xdr:rowOff>0</xdr:rowOff>
    </xdr:from>
    <xdr:to>
      <xdr:col>15</xdr:col>
      <xdr:colOff>603250</xdr:colOff>
      <xdr:row>944</xdr:row>
      <xdr:rowOff>1</xdr:rowOff>
    </xdr:to>
    <xdr:cxnSp macro="">
      <xdr:nvCxnSpPr>
        <xdr:cNvPr id="1691" name="Straight Arrow Connector 1690">
          <a:extLst>
            <a:ext uri="{FF2B5EF4-FFF2-40B4-BE49-F238E27FC236}">
              <a16:creationId xmlns:a16="http://schemas.microsoft.com/office/drawing/2014/main" id="{00000000-0008-0000-1200-00009B060000}"/>
            </a:ext>
          </a:extLst>
        </xdr:cNvPr>
        <xdr:cNvCxnSpPr/>
      </xdr:nvCxnSpPr>
      <xdr:spPr>
        <a:xfrm flipV="1">
          <a:off x="10530417" y="9429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944</xdr:row>
      <xdr:rowOff>10584</xdr:rowOff>
    </xdr:from>
    <xdr:to>
      <xdr:col>15</xdr:col>
      <xdr:colOff>592666</xdr:colOff>
      <xdr:row>945</xdr:row>
      <xdr:rowOff>95250</xdr:rowOff>
    </xdr:to>
    <xdr:cxnSp macro="">
      <xdr:nvCxnSpPr>
        <xdr:cNvPr id="1692" name="Straight Arrow Connector 1691">
          <a:extLst>
            <a:ext uri="{FF2B5EF4-FFF2-40B4-BE49-F238E27FC236}">
              <a16:creationId xmlns:a16="http://schemas.microsoft.com/office/drawing/2014/main" id="{00000000-0008-0000-1200-00009C060000}"/>
            </a:ext>
          </a:extLst>
        </xdr:cNvPr>
        <xdr:cNvCxnSpPr/>
      </xdr:nvCxnSpPr>
      <xdr:spPr>
        <a:xfrm>
          <a:off x="10572750" y="9468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944</xdr:row>
      <xdr:rowOff>10584</xdr:rowOff>
    </xdr:from>
    <xdr:to>
      <xdr:col>15</xdr:col>
      <xdr:colOff>560916</xdr:colOff>
      <xdr:row>948</xdr:row>
      <xdr:rowOff>52917</xdr:rowOff>
    </xdr:to>
    <xdr:cxnSp macro="">
      <xdr:nvCxnSpPr>
        <xdr:cNvPr id="1693" name="Straight Arrow Connector 1692">
          <a:extLst>
            <a:ext uri="{FF2B5EF4-FFF2-40B4-BE49-F238E27FC236}">
              <a16:creationId xmlns:a16="http://schemas.microsoft.com/office/drawing/2014/main" id="{00000000-0008-0000-1200-00009D060000}"/>
            </a:ext>
          </a:extLst>
        </xdr:cNvPr>
        <xdr:cNvCxnSpPr/>
      </xdr:nvCxnSpPr>
      <xdr:spPr>
        <a:xfrm>
          <a:off x="10551583" y="9468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944</xdr:row>
      <xdr:rowOff>31750</xdr:rowOff>
    </xdr:from>
    <xdr:to>
      <xdr:col>16</xdr:col>
      <xdr:colOff>21167</xdr:colOff>
      <xdr:row>951</xdr:row>
      <xdr:rowOff>95250</xdr:rowOff>
    </xdr:to>
    <xdr:cxnSp macro="">
      <xdr:nvCxnSpPr>
        <xdr:cNvPr id="1694" name="Straight Arrow Connector 1693">
          <a:extLst>
            <a:ext uri="{FF2B5EF4-FFF2-40B4-BE49-F238E27FC236}">
              <a16:creationId xmlns:a16="http://schemas.microsoft.com/office/drawing/2014/main" id="{00000000-0008-0000-1200-00009E060000}"/>
            </a:ext>
          </a:extLst>
        </xdr:cNvPr>
        <xdr:cNvCxnSpPr/>
      </xdr:nvCxnSpPr>
      <xdr:spPr>
        <a:xfrm>
          <a:off x="10583333" y="94710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958</xdr:row>
      <xdr:rowOff>0</xdr:rowOff>
    </xdr:from>
    <xdr:to>
      <xdr:col>16</xdr:col>
      <xdr:colOff>0</xdr:colOff>
      <xdr:row>958</xdr:row>
      <xdr:rowOff>42334</xdr:rowOff>
    </xdr:to>
    <xdr:cxnSp macro="">
      <xdr:nvCxnSpPr>
        <xdr:cNvPr id="1695" name="Straight Arrow Connector 1694">
          <a:extLst>
            <a:ext uri="{FF2B5EF4-FFF2-40B4-BE49-F238E27FC236}">
              <a16:creationId xmlns:a16="http://schemas.microsoft.com/office/drawing/2014/main" id="{00000000-0008-0000-1200-00009F060000}"/>
            </a:ext>
          </a:extLst>
        </xdr:cNvPr>
        <xdr:cNvCxnSpPr/>
      </xdr:nvCxnSpPr>
      <xdr:spPr>
        <a:xfrm>
          <a:off x="10562166" y="97345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958</xdr:row>
      <xdr:rowOff>21166</xdr:rowOff>
    </xdr:from>
    <xdr:to>
      <xdr:col>15</xdr:col>
      <xdr:colOff>560916</xdr:colOff>
      <xdr:row>961</xdr:row>
      <xdr:rowOff>84667</xdr:rowOff>
    </xdr:to>
    <xdr:cxnSp macro="">
      <xdr:nvCxnSpPr>
        <xdr:cNvPr id="1696" name="Straight Arrow Connector 1695">
          <a:extLst>
            <a:ext uri="{FF2B5EF4-FFF2-40B4-BE49-F238E27FC236}">
              <a16:creationId xmlns:a16="http://schemas.microsoft.com/office/drawing/2014/main" id="{00000000-0008-0000-1200-0000A0060000}"/>
            </a:ext>
          </a:extLst>
        </xdr:cNvPr>
        <xdr:cNvCxnSpPr/>
      </xdr:nvCxnSpPr>
      <xdr:spPr>
        <a:xfrm>
          <a:off x="10615083" y="9736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958</xdr:row>
      <xdr:rowOff>52916</xdr:rowOff>
    </xdr:from>
    <xdr:to>
      <xdr:col>15</xdr:col>
      <xdr:colOff>592666</xdr:colOff>
      <xdr:row>964</xdr:row>
      <xdr:rowOff>63501</xdr:rowOff>
    </xdr:to>
    <xdr:cxnSp macro="">
      <xdr:nvCxnSpPr>
        <xdr:cNvPr id="1697" name="Straight Arrow Connector 1696">
          <a:extLst>
            <a:ext uri="{FF2B5EF4-FFF2-40B4-BE49-F238E27FC236}">
              <a16:creationId xmlns:a16="http://schemas.microsoft.com/office/drawing/2014/main" id="{00000000-0008-0000-1200-0000A1060000}"/>
            </a:ext>
          </a:extLst>
        </xdr:cNvPr>
        <xdr:cNvCxnSpPr/>
      </xdr:nvCxnSpPr>
      <xdr:spPr>
        <a:xfrm>
          <a:off x="10572750" y="9739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972</xdr:row>
      <xdr:rowOff>116416</xdr:rowOff>
    </xdr:from>
    <xdr:to>
      <xdr:col>15</xdr:col>
      <xdr:colOff>592666</xdr:colOff>
      <xdr:row>975</xdr:row>
      <xdr:rowOff>158750</xdr:rowOff>
    </xdr:to>
    <xdr:cxnSp macro="">
      <xdr:nvCxnSpPr>
        <xdr:cNvPr id="1698" name="Straight Arrow Connector 1697">
          <a:extLst>
            <a:ext uri="{FF2B5EF4-FFF2-40B4-BE49-F238E27FC236}">
              <a16:creationId xmlns:a16="http://schemas.microsoft.com/office/drawing/2014/main" id="{00000000-0008-0000-1200-0000A2060000}"/>
            </a:ext>
          </a:extLst>
        </xdr:cNvPr>
        <xdr:cNvCxnSpPr/>
      </xdr:nvCxnSpPr>
      <xdr:spPr>
        <a:xfrm flipV="1">
          <a:off x="10562166" y="100128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974</xdr:row>
      <xdr:rowOff>95250</xdr:rowOff>
    </xdr:from>
    <xdr:to>
      <xdr:col>15</xdr:col>
      <xdr:colOff>582083</xdr:colOff>
      <xdr:row>976</xdr:row>
      <xdr:rowOff>52917</xdr:rowOff>
    </xdr:to>
    <xdr:cxnSp macro="">
      <xdr:nvCxnSpPr>
        <xdr:cNvPr id="1699" name="Straight Arrow Connector 1698">
          <a:extLst>
            <a:ext uri="{FF2B5EF4-FFF2-40B4-BE49-F238E27FC236}">
              <a16:creationId xmlns:a16="http://schemas.microsoft.com/office/drawing/2014/main" id="{00000000-0008-0000-1200-0000A3060000}"/>
            </a:ext>
          </a:extLst>
        </xdr:cNvPr>
        <xdr:cNvCxnSpPr/>
      </xdr:nvCxnSpPr>
      <xdr:spPr>
        <a:xfrm flipV="1">
          <a:off x="10604500" y="100488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116417</xdr:rowOff>
    </xdr:from>
    <xdr:to>
      <xdr:col>15</xdr:col>
      <xdr:colOff>592666</xdr:colOff>
      <xdr:row>980</xdr:row>
      <xdr:rowOff>95250</xdr:rowOff>
    </xdr:to>
    <xdr:cxnSp macro="">
      <xdr:nvCxnSpPr>
        <xdr:cNvPr id="1700" name="Straight Arrow Connector 1699">
          <a:extLst>
            <a:ext uri="{FF2B5EF4-FFF2-40B4-BE49-F238E27FC236}">
              <a16:creationId xmlns:a16="http://schemas.microsoft.com/office/drawing/2014/main" id="{00000000-0008-0000-1200-0000A4060000}"/>
            </a:ext>
          </a:extLst>
        </xdr:cNvPr>
        <xdr:cNvCxnSpPr/>
      </xdr:nvCxnSpPr>
      <xdr:spPr>
        <a:xfrm>
          <a:off x="10593916" y="100890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987</xdr:row>
      <xdr:rowOff>116416</xdr:rowOff>
    </xdr:from>
    <xdr:to>
      <xdr:col>16</xdr:col>
      <xdr:colOff>0</xdr:colOff>
      <xdr:row>994</xdr:row>
      <xdr:rowOff>74084</xdr:rowOff>
    </xdr:to>
    <xdr:cxnSp macro="">
      <xdr:nvCxnSpPr>
        <xdr:cNvPr id="1701" name="Straight Arrow Connector 1700">
          <a:extLst>
            <a:ext uri="{FF2B5EF4-FFF2-40B4-BE49-F238E27FC236}">
              <a16:creationId xmlns:a16="http://schemas.microsoft.com/office/drawing/2014/main" id="{00000000-0008-0000-1200-0000A5060000}"/>
            </a:ext>
          </a:extLst>
        </xdr:cNvPr>
        <xdr:cNvCxnSpPr/>
      </xdr:nvCxnSpPr>
      <xdr:spPr>
        <a:xfrm>
          <a:off x="10572750" y="102986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955</xdr:row>
      <xdr:rowOff>52917</xdr:rowOff>
    </xdr:from>
    <xdr:to>
      <xdr:col>15</xdr:col>
      <xdr:colOff>603250</xdr:colOff>
      <xdr:row>957</xdr:row>
      <xdr:rowOff>148167</xdr:rowOff>
    </xdr:to>
    <xdr:cxnSp macro="">
      <xdr:nvCxnSpPr>
        <xdr:cNvPr id="1702" name="Straight Arrow Connector 1701">
          <a:extLst>
            <a:ext uri="{FF2B5EF4-FFF2-40B4-BE49-F238E27FC236}">
              <a16:creationId xmlns:a16="http://schemas.microsoft.com/office/drawing/2014/main" id="{00000000-0008-0000-1200-0000A6060000}"/>
            </a:ext>
          </a:extLst>
        </xdr:cNvPr>
        <xdr:cNvCxnSpPr/>
      </xdr:nvCxnSpPr>
      <xdr:spPr>
        <a:xfrm flipV="1">
          <a:off x="10583333" y="9682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990</xdr:row>
      <xdr:rowOff>42333</xdr:rowOff>
    </xdr:from>
    <xdr:to>
      <xdr:col>11</xdr:col>
      <xdr:colOff>603250</xdr:colOff>
      <xdr:row>1002</xdr:row>
      <xdr:rowOff>10583</xdr:rowOff>
    </xdr:to>
    <xdr:cxnSp macro="">
      <xdr:nvCxnSpPr>
        <xdr:cNvPr id="1703" name="Straight Arrow Connector 1702">
          <a:extLst>
            <a:ext uri="{FF2B5EF4-FFF2-40B4-BE49-F238E27FC236}">
              <a16:creationId xmlns:a16="http://schemas.microsoft.com/office/drawing/2014/main" id="{00000000-0008-0000-1200-0000A7060000}"/>
            </a:ext>
          </a:extLst>
        </xdr:cNvPr>
        <xdr:cNvCxnSpPr/>
      </xdr:nvCxnSpPr>
      <xdr:spPr>
        <a:xfrm>
          <a:off x="7598834" y="103483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980</xdr:row>
      <xdr:rowOff>21167</xdr:rowOff>
    </xdr:from>
    <xdr:to>
      <xdr:col>13</xdr:col>
      <xdr:colOff>592667</xdr:colOff>
      <xdr:row>982</xdr:row>
      <xdr:rowOff>0</xdr:rowOff>
    </xdr:to>
    <xdr:cxnSp macro="">
      <xdr:nvCxnSpPr>
        <xdr:cNvPr id="1704" name="Straight Arrow Connector 1703">
          <a:extLst>
            <a:ext uri="{FF2B5EF4-FFF2-40B4-BE49-F238E27FC236}">
              <a16:creationId xmlns:a16="http://schemas.microsoft.com/office/drawing/2014/main" id="{00000000-0008-0000-1200-0000A8060000}"/>
            </a:ext>
          </a:extLst>
        </xdr:cNvPr>
        <xdr:cNvCxnSpPr/>
      </xdr:nvCxnSpPr>
      <xdr:spPr>
        <a:xfrm flipV="1">
          <a:off x="8794750" y="101557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985</xdr:row>
      <xdr:rowOff>21166</xdr:rowOff>
    </xdr:from>
    <xdr:to>
      <xdr:col>13</xdr:col>
      <xdr:colOff>592667</xdr:colOff>
      <xdr:row>986</xdr:row>
      <xdr:rowOff>169334</xdr:rowOff>
    </xdr:to>
    <xdr:cxnSp macro="">
      <xdr:nvCxnSpPr>
        <xdr:cNvPr id="1705" name="Straight Arrow Connector 1704">
          <a:extLst>
            <a:ext uri="{FF2B5EF4-FFF2-40B4-BE49-F238E27FC236}">
              <a16:creationId xmlns:a16="http://schemas.microsoft.com/office/drawing/2014/main" id="{00000000-0008-0000-1200-0000A9060000}"/>
            </a:ext>
          </a:extLst>
        </xdr:cNvPr>
        <xdr:cNvCxnSpPr/>
      </xdr:nvCxnSpPr>
      <xdr:spPr>
        <a:xfrm>
          <a:off x="8784166" y="102510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1000</xdr:row>
      <xdr:rowOff>21167</xdr:rowOff>
    </xdr:from>
    <xdr:to>
      <xdr:col>13</xdr:col>
      <xdr:colOff>592667</xdr:colOff>
      <xdr:row>1002</xdr:row>
      <xdr:rowOff>63500</xdr:rowOff>
    </xdr:to>
    <xdr:cxnSp macro="">
      <xdr:nvCxnSpPr>
        <xdr:cNvPr id="1706" name="Straight Arrow Connector 1705">
          <a:extLst>
            <a:ext uri="{FF2B5EF4-FFF2-40B4-BE49-F238E27FC236}">
              <a16:creationId xmlns:a16="http://schemas.microsoft.com/office/drawing/2014/main" id="{00000000-0008-0000-1200-0000AA060000}"/>
            </a:ext>
          </a:extLst>
        </xdr:cNvPr>
        <xdr:cNvCxnSpPr/>
      </xdr:nvCxnSpPr>
      <xdr:spPr>
        <a:xfrm flipV="1">
          <a:off x="8794750" y="105558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1005</xdr:row>
      <xdr:rowOff>0</xdr:rowOff>
    </xdr:from>
    <xdr:to>
      <xdr:col>14</xdr:col>
      <xdr:colOff>10584</xdr:colOff>
      <xdr:row>1013</xdr:row>
      <xdr:rowOff>148167</xdr:rowOff>
    </xdr:to>
    <xdr:cxnSp macro="">
      <xdr:nvCxnSpPr>
        <xdr:cNvPr id="1707" name="Straight Arrow Connector 1706">
          <a:extLst>
            <a:ext uri="{FF2B5EF4-FFF2-40B4-BE49-F238E27FC236}">
              <a16:creationId xmlns:a16="http://schemas.microsoft.com/office/drawing/2014/main" id="{00000000-0008-0000-1200-0000AB060000}"/>
            </a:ext>
          </a:extLst>
        </xdr:cNvPr>
        <xdr:cNvCxnSpPr/>
      </xdr:nvCxnSpPr>
      <xdr:spPr>
        <a:xfrm>
          <a:off x="8805333" y="106489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95250</xdr:rowOff>
    </xdr:from>
    <xdr:to>
      <xdr:col>15</xdr:col>
      <xdr:colOff>582083</xdr:colOff>
      <xdr:row>978</xdr:row>
      <xdr:rowOff>137583</xdr:rowOff>
    </xdr:to>
    <xdr:cxnSp macro="">
      <xdr:nvCxnSpPr>
        <xdr:cNvPr id="1708" name="Straight Arrow Connector 1707">
          <a:extLst>
            <a:ext uri="{FF2B5EF4-FFF2-40B4-BE49-F238E27FC236}">
              <a16:creationId xmlns:a16="http://schemas.microsoft.com/office/drawing/2014/main" id="{00000000-0008-0000-1200-0000AC060000}"/>
            </a:ext>
          </a:extLst>
        </xdr:cNvPr>
        <xdr:cNvCxnSpPr/>
      </xdr:nvCxnSpPr>
      <xdr:spPr>
        <a:xfrm>
          <a:off x="10593916" y="100869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985</xdr:row>
      <xdr:rowOff>52916</xdr:rowOff>
    </xdr:from>
    <xdr:to>
      <xdr:col>16</xdr:col>
      <xdr:colOff>0</xdr:colOff>
      <xdr:row>987</xdr:row>
      <xdr:rowOff>0</xdr:rowOff>
    </xdr:to>
    <xdr:cxnSp macro="">
      <xdr:nvCxnSpPr>
        <xdr:cNvPr id="1709" name="Straight Arrow Connector 1708">
          <a:extLst>
            <a:ext uri="{FF2B5EF4-FFF2-40B4-BE49-F238E27FC236}">
              <a16:creationId xmlns:a16="http://schemas.microsoft.com/office/drawing/2014/main" id="{00000000-0008-0000-1200-0000AD060000}"/>
            </a:ext>
          </a:extLst>
        </xdr:cNvPr>
        <xdr:cNvCxnSpPr/>
      </xdr:nvCxnSpPr>
      <xdr:spPr>
        <a:xfrm flipV="1">
          <a:off x="10541000" y="102541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21167</xdr:rowOff>
    </xdr:from>
    <xdr:to>
      <xdr:col>15</xdr:col>
      <xdr:colOff>592666</xdr:colOff>
      <xdr:row>988</xdr:row>
      <xdr:rowOff>84667</xdr:rowOff>
    </xdr:to>
    <xdr:cxnSp macro="">
      <xdr:nvCxnSpPr>
        <xdr:cNvPr id="1710" name="Straight Arrow Connector 1709">
          <a:extLst>
            <a:ext uri="{FF2B5EF4-FFF2-40B4-BE49-F238E27FC236}">
              <a16:creationId xmlns:a16="http://schemas.microsoft.com/office/drawing/2014/main" id="{00000000-0008-0000-1200-0000AE060000}"/>
            </a:ext>
          </a:extLst>
        </xdr:cNvPr>
        <xdr:cNvCxnSpPr/>
      </xdr:nvCxnSpPr>
      <xdr:spPr>
        <a:xfrm>
          <a:off x="10530417" y="102891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0</xdr:rowOff>
    </xdr:from>
    <xdr:to>
      <xdr:col>16</xdr:col>
      <xdr:colOff>0</xdr:colOff>
      <xdr:row>991</xdr:row>
      <xdr:rowOff>42334</xdr:rowOff>
    </xdr:to>
    <xdr:cxnSp macro="">
      <xdr:nvCxnSpPr>
        <xdr:cNvPr id="1711" name="Straight Arrow Connector 1710">
          <a:extLst>
            <a:ext uri="{FF2B5EF4-FFF2-40B4-BE49-F238E27FC236}">
              <a16:creationId xmlns:a16="http://schemas.microsoft.com/office/drawing/2014/main" id="{00000000-0008-0000-1200-0000AF060000}"/>
            </a:ext>
          </a:extLst>
        </xdr:cNvPr>
        <xdr:cNvCxnSpPr/>
      </xdr:nvCxnSpPr>
      <xdr:spPr>
        <a:xfrm>
          <a:off x="10530417" y="102870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1000</xdr:row>
      <xdr:rowOff>10584</xdr:rowOff>
    </xdr:from>
    <xdr:to>
      <xdr:col>15</xdr:col>
      <xdr:colOff>592666</xdr:colOff>
      <xdr:row>1001</xdr:row>
      <xdr:rowOff>95250</xdr:rowOff>
    </xdr:to>
    <xdr:cxnSp macro="">
      <xdr:nvCxnSpPr>
        <xdr:cNvPr id="1713" name="Straight Arrow Connector 1712">
          <a:extLst>
            <a:ext uri="{FF2B5EF4-FFF2-40B4-BE49-F238E27FC236}">
              <a16:creationId xmlns:a16="http://schemas.microsoft.com/office/drawing/2014/main" id="{00000000-0008-0000-1200-0000B1060000}"/>
            </a:ext>
          </a:extLst>
        </xdr:cNvPr>
        <xdr:cNvCxnSpPr/>
      </xdr:nvCxnSpPr>
      <xdr:spPr>
        <a:xfrm>
          <a:off x="10572750" y="105547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1000</xdr:row>
      <xdr:rowOff>10584</xdr:rowOff>
    </xdr:from>
    <xdr:to>
      <xdr:col>15</xdr:col>
      <xdr:colOff>560916</xdr:colOff>
      <xdr:row>1004</xdr:row>
      <xdr:rowOff>52917</xdr:rowOff>
    </xdr:to>
    <xdr:cxnSp macro="">
      <xdr:nvCxnSpPr>
        <xdr:cNvPr id="1714" name="Straight Arrow Connector 1713">
          <a:extLst>
            <a:ext uri="{FF2B5EF4-FFF2-40B4-BE49-F238E27FC236}">
              <a16:creationId xmlns:a16="http://schemas.microsoft.com/office/drawing/2014/main" id="{00000000-0008-0000-1200-0000B2060000}"/>
            </a:ext>
          </a:extLst>
        </xdr:cNvPr>
        <xdr:cNvCxnSpPr/>
      </xdr:nvCxnSpPr>
      <xdr:spPr>
        <a:xfrm>
          <a:off x="10551583" y="105547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1715" name="Straight Arrow Connector 1714">
          <a:extLst>
            <a:ext uri="{FF2B5EF4-FFF2-40B4-BE49-F238E27FC236}">
              <a16:creationId xmlns:a16="http://schemas.microsoft.com/office/drawing/2014/main" id="{00000000-0008-0000-1200-0000B3060000}"/>
            </a:ext>
          </a:extLst>
        </xdr:cNvPr>
        <xdr:cNvCxnSpPr/>
      </xdr:nvCxnSpPr>
      <xdr:spPr>
        <a:xfrm>
          <a:off x="10583333" y="105568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1014</xdr:row>
      <xdr:rowOff>0</xdr:rowOff>
    </xdr:from>
    <xdr:to>
      <xdr:col>16</xdr:col>
      <xdr:colOff>0</xdr:colOff>
      <xdr:row>1014</xdr:row>
      <xdr:rowOff>42334</xdr:rowOff>
    </xdr:to>
    <xdr:cxnSp macro="">
      <xdr:nvCxnSpPr>
        <xdr:cNvPr id="1716" name="Straight Arrow Connector 1715">
          <a:extLst>
            <a:ext uri="{FF2B5EF4-FFF2-40B4-BE49-F238E27FC236}">
              <a16:creationId xmlns:a16="http://schemas.microsoft.com/office/drawing/2014/main" id="{00000000-0008-0000-1200-0000B4060000}"/>
            </a:ext>
          </a:extLst>
        </xdr:cNvPr>
        <xdr:cNvCxnSpPr/>
      </xdr:nvCxnSpPr>
      <xdr:spPr>
        <a:xfrm>
          <a:off x="10562166" y="108204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1014</xdr:row>
      <xdr:rowOff>21166</xdr:rowOff>
    </xdr:from>
    <xdr:to>
      <xdr:col>15</xdr:col>
      <xdr:colOff>560916</xdr:colOff>
      <xdr:row>1017</xdr:row>
      <xdr:rowOff>84667</xdr:rowOff>
    </xdr:to>
    <xdr:cxnSp macro="">
      <xdr:nvCxnSpPr>
        <xdr:cNvPr id="1717" name="Straight Arrow Connector 1716">
          <a:extLst>
            <a:ext uri="{FF2B5EF4-FFF2-40B4-BE49-F238E27FC236}">
              <a16:creationId xmlns:a16="http://schemas.microsoft.com/office/drawing/2014/main" id="{00000000-0008-0000-1200-0000B5060000}"/>
            </a:ext>
          </a:extLst>
        </xdr:cNvPr>
        <xdr:cNvCxnSpPr/>
      </xdr:nvCxnSpPr>
      <xdr:spPr>
        <a:xfrm>
          <a:off x="10615083" y="108225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1014</xdr:row>
      <xdr:rowOff>52916</xdr:rowOff>
    </xdr:from>
    <xdr:to>
      <xdr:col>15</xdr:col>
      <xdr:colOff>592666</xdr:colOff>
      <xdr:row>1020</xdr:row>
      <xdr:rowOff>63501</xdr:rowOff>
    </xdr:to>
    <xdr:cxnSp macro="">
      <xdr:nvCxnSpPr>
        <xdr:cNvPr id="1718" name="Straight Arrow Connector 1717">
          <a:extLst>
            <a:ext uri="{FF2B5EF4-FFF2-40B4-BE49-F238E27FC236}">
              <a16:creationId xmlns:a16="http://schemas.microsoft.com/office/drawing/2014/main" id="{00000000-0008-0000-1200-0000B6060000}"/>
            </a:ext>
          </a:extLst>
        </xdr:cNvPr>
        <xdr:cNvCxnSpPr/>
      </xdr:nvCxnSpPr>
      <xdr:spPr>
        <a:xfrm>
          <a:off x="10572750" y="108256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1011</xdr:row>
      <xdr:rowOff>52917</xdr:rowOff>
    </xdr:from>
    <xdr:to>
      <xdr:col>15</xdr:col>
      <xdr:colOff>603250</xdr:colOff>
      <xdr:row>1013</xdr:row>
      <xdr:rowOff>148167</xdr:rowOff>
    </xdr:to>
    <xdr:cxnSp macro="">
      <xdr:nvCxnSpPr>
        <xdr:cNvPr id="1719" name="Straight Arrow Connector 1718">
          <a:extLst>
            <a:ext uri="{FF2B5EF4-FFF2-40B4-BE49-F238E27FC236}">
              <a16:creationId xmlns:a16="http://schemas.microsoft.com/office/drawing/2014/main" id="{00000000-0008-0000-1200-0000B7060000}"/>
            </a:ext>
          </a:extLst>
        </xdr:cNvPr>
        <xdr:cNvCxnSpPr/>
      </xdr:nvCxnSpPr>
      <xdr:spPr>
        <a:xfrm flipV="1">
          <a:off x="10583333" y="107685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1055</xdr:row>
      <xdr:rowOff>95250</xdr:rowOff>
    </xdr:from>
    <xdr:to>
      <xdr:col>8</xdr:col>
      <xdr:colOff>21167</xdr:colOff>
      <xdr:row>1087</xdr:row>
      <xdr:rowOff>148166</xdr:rowOff>
    </xdr:to>
    <xdr:cxnSp macro="">
      <xdr:nvCxnSpPr>
        <xdr:cNvPr id="1720" name="Straight Arrow Connector 1719">
          <a:extLst>
            <a:ext uri="{FF2B5EF4-FFF2-40B4-BE49-F238E27FC236}">
              <a16:creationId xmlns:a16="http://schemas.microsoft.com/office/drawing/2014/main" id="{00000000-0008-0000-1200-0000B8060000}"/>
            </a:ext>
          </a:extLst>
        </xdr:cNvPr>
        <xdr:cNvCxnSpPr/>
      </xdr:nvCxnSpPr>
      <xdr:spPr>
        <a:xfrm>
          <a:off x="5080000" y="1163002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1026</xdr:row>
      <xdr:rowOff>137583</xdr:rowOff>
    </xdr:from>
    <xdr:to>
      <xdr:col>9</xdr:col>
      <xdr:colOff>603250</xdr:colOff>
      <xdr:row>1032</xdr:row>
      <xdr:rowOff>21166</xdr:rowOff>
    </xdr:to>
    <xdr:cxnSp macro="">
      <xdr:nvCxnSpPr>
        <xdr:cNvPr id="1721" name="Straight Arrow Connector 1720">
          <a:extLst>
            <a:ext uri="{FF2B5EF4-FFF2-40B4-BE49-F238E27FC236}">
              <a16:creationId xmlns:a16="http://schemas.microsoft.com/office/drawing/2014/main" id="{00000000-0008-0000-1200-0000B9060000}"/>
            </a:ext>
          </a:extLst>
        </xdr:cNvPr>
        <xdr:cNvCxnSpPr/>
      </xdr:nvCxnSpPr>
      <xdr:spPr>
        <a:xfrm flipV="1">
          <a:off x="6381750" y="110627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1035</xdr:row>
      <xdr:rowOff>0</xdr:rowOff>
    </xdr:from>
    <xdr:to>
      <xdr:col>9</xdr:col>
      <xdr:colOff>582083</xdr:colOff>
      <xdr:row>1043</xdr:row>
      <xdr:rowOff>10583</xdr:rowOff>
    </xdr:to>
    <xdr:cxnSp macro="">
      <xdr:nvCxnSpPr>
        <xdr:cNvPr id="1722" name="Straight Arrow Connector 1721">
          <a:extLst>
            <a:ext uri="{FF2B5EF4-FFF2-40B4-BE49-F238E27FC236}">
              <a16:creationId xmlns:a16="http://schemas.microsoft.com/office/drawing/2014/main" id="{00000000-0008-0000-1200-0000BA060000}"/>
            </a:ext>
          </a:extLst>
        </xdr:cNvPr>
        <xdr:cNvCxnSpPr/>
      </xdr:nvCxnSpPr>
      <xdr:spPr>
        <a:xfrm>
          <a:off x="6413500" y="112204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1723" name="Straight Arrow Connector 1722">
          <a:extLst>
            <a:ext uri="{FF2B5EF4-FFF2-40B4-BE49-F238E27FC236}">
              <a16:creationId xmlns:a16="http://schemas.microsoft.com/office/drawing/2014/main" id="{00000000-0008-0000-1200-0000BB060000}"/>
            </a:ext>
          </a:extLst>
        </xdr:cNvPr>
        <xdr:cNvCxnSpPr/>
      </xdr:nvCxnSpPr>
      <xdr:spPr>
        <a:xfrm flipV="1">
          <a:off x="7609417"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1724" name="Straight Arrow Connector 1723">
          <a:extLst>
            <a:ext uri="{FF2B5EF4-FFF2-40B4-BE49-F238E27FC236}">
              <a16:creationId xmlns:a16="http://schemas.microsoft.com/office/drawing/2014/main" id="{00000000-0008-0000-1200-0000BC060000}"/>
            </a:ext>
          </a:extLst>
        </xdr:cNvPr>
        <xdr:cNvCxnSpPr/>
      </xdr:nvCxnSpPr>
      <xdr:spPr>
        <a:xfrm>
          <a:off x="7598834"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1725" name="Straight Arrow Connector 1724">
          <a:extLst>
            <a:ext uri="{FF2B5EF4-FFF2-40B4-BE49-F238E27FC236}">
              <a16:creationId xmlns:a16="http://schemas.microsoft.com/office/drawing/2014/main" id="{00000000-0008-0000-1200-0000BD060000}"/>
            </a:ext>
          </a:extLst>
        </xdr:cNvPr>
        <xdr:cNvCxnSpPr/>
      </xdr:nvCxnSpPr>
      <xdr:spPr>
        <a:xfrm flipV="1">
          <a:off x="8794750" y="112416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1726" name="Straight Arrow Connector 1725">
          <a:extLst>
            <a:ext uri="{FF2B5EF4-FFF2-40B4-BE49-F238E27FC236}">
              <a16:creationId xmlns:a16="http://schemas.microsoft.com/office/drawing/2014/main" id="{00000000-0008-0000-1200-0000BE060000}"/>
            </a:ext>
          </a:extLst>
        </xdr:cNvPr>
        <xdr:cNvCxnSpPr/>
      </xdr:nvCxnSpPr>
      <xdr:spPr>
        <a:xfrm>
          <a:off x="8784166" y="113368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1727" name="Straight Arrow Connector 1726">
          <a:extLst>
            <a:ext uri="{FF2B5EF4-FFF2-40B4-BE49-F238E27FC236}">
              <a16:creationId xmlns:a16="http://schemas.microsoft.com/office/drawing/2014/main" id="{00000000-0008-0000-1200-0000BF060000}"/>
            </a:ext>
          </a:extLst>
        </xdr:cNvPr>
        <xdr:cNvCxnSpPr/>
      </xdr:nvCxnSpPr>
      <xdr:spPr>
        <a:xfrm flipV="1">
          <a:off x="879475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1728" name="Straight Arrow Connector 1727">
          <a:extLst>
            <a:ext uri="{FF2B5EF4-FFF2-40B4-BE49-F238E27FC236}">
              <a16:creationId xmlns:a16="http://schemas.microsoft.com/office/drawing/2014/main" id="{00000000-0008-0000-1200-0000C0060000}"/>
            </a:ext>
          </a:extLst>
        </xdr:cNvPr>
        <xdr:cNvCxnSpPr/>
      </xdr:nvCxnSpPr>
      <xdr:spPr>
        <a:xfrm>
          <a:off x="8805333" y="117348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1028</xdr:row>
      <xdr:rowOff>0</xdr:rowOff>
    </xdr:from>
    <xdr:to>
      <xdr:col>15</xdr:col>
      <xdr:colOff>603250</xdr:colOff>
      <xdr:row>1033</xdr:row>
      <xdr:rowOff>31750</xdr:rowOff>
    </xdr:to>
    <xdr:cxnSp macro="">
      <xdr:nvCxnSpPr>
        <xdr:cNvPr id="1729" name="Straight Arrow Connector 1728">
          <a:extLst>
            <a:ext uri="{FF2B5EF4-FFF2-40B4-BE49-F238E27FC236}">
              <a16:creationId xmlns:a16="http://schemas.microsoft.com/office/drawing/2014/main" id="{00000000-0008-0000-1200-0000C1060000}"/>
            </a:ext>
          </a:extLst>
        </xdr:cNvPr>
        <xdr:cNvCxnSpPr/>
      </xdr:nvCxnSpPr>
      <xdr:spPr>
        <a:xfrm flipV="1">
          <a:off x="10541000"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1730" name="Straight Arrow Connector 1729">
          <a:extLst>
            <a:ext uri="{FF2B5EF4-FFF2-40B4-BE49-F238E27FC236}">
              <a16:creationId xmlns:a16="http://schemas.microsoft.com/office/drawing/2014/main" id="{00000000-0008-0000-1200-0000C2060000}"/>
            </a:ext>
          </a:extLst>
        </xdr:cNvPr>
        <xdr:cNvCxnSpPr/>
      </xdr:nvCxnSpPr>
      <xdr:spPr>
        <a:xfrm flipV="1">
          <a:off x="10583333"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1731" name="Straight Arrow Connector 1730">
          <a:extLst>
            <a:ext uri="{FF2B5EF4-FFF2-40B4-BE49-F238E27FC236}">
              <a16:creationId xmlns:a16="http://schemas.microsoft.com/office/drawing/2014/main" id="{00000000-0008-0000-1200-0000C3060000}"/>
            </a:ext>
          </a:extLst>
        </xdr:cNvPr>
        <xdr:cNvCxnSpPr/>
      </xdr:nvCxnSpPr>
      <xdr:spPr>
        <a:xfrm>
          <a:off x="10604500"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1732" name="Straight Arrow Connector 1731">
          <a:extLst>
            <a:ext uri="{FF2B5EF4-FFF2-40B4-BE49-F238E27FC236}">
              <a16:creationId xmlns:a16="http://schemas.microsoft.com/office/drawing/2014/main" id="{00000000-0008-0000-1200-0000C4060000}"/>
            </a:ext>
          </a:extLst>
        </xdr:cNvPr>
        <xdr:cNvCxnSpPr/>
      </xdr:nvCxnSpPr>
      <xdr:spPr>
        <a:xfrm>
          <a:off x="10519834" y="111929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1041</xdr:row>
      <xdr:rowOff>52916</xdr:rowOff>
    </xdr:from>
    <xdr:to>
      <xdr:col>16</xdr:col>
      <xdr:colOff>0</xdr:colOff>
      <xdr:row>1043</xdr:row>
      <xdr:rowOff>0</xdr:rowOff>
    </xdr:to>
    <xdr:cxnSp macro="">
      <xdr:nvCxnSpPr>
        <xdr:cNvPr id="1733" name="Straight Arrow Connector 1732">
          <a:extLst>
            <a:ext uri="{FF2B5EF4-FFF2-40B4-BE49-F238E27FC236}">
              <a16:creationId xmlns:a16="http://schemas.microsoft.com/office/drawing/2014/main" id="{00000000-0008-0000-1200-0000C5060000}"/>
            </a:ext>
          </a:extLst>
        </xdr:cNvPr>
        <xdr:cNvCxnSpPr/>
      </xdr:nvCxnSpPr>
      <xdr:spPr>
        <a:xfrm flipV="1">
          <a:off x="10541000" y="113400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1734" name="Straight Arrow Connector 1733">
          <a:extLst>
            <a:ext uri="{FF2B5EF4-FFF2-40B4-BE49-F238E27FC236}">
              <a16:creationId xmlns:a16="http://schemas.microsoft.com/office/drawing/2014/main" id="{00000000-0008-0000-1200-0000C6060000}"/>
            </a:ext>
          </a:extLst>
        </xdr:cNvPr>
        <xdr:cNvCxnSpPr/>
      </xdr:nvCxnSpPr>
      <xdr:spPr>
        <a:xfrm>
          <a:off x="10551583"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1735" name="Straight Arrow Connector 1734">
          <a:extLst>
            <a:ext uri="{FF2B5EF4-FFF2-40B4-BE49-F238E27FC236}">
              <a16:creationId xmlns:a16="http://schemas.microsoft.com/office/drawing/2014/main" id="{00000000-0008-0000-1200-0000C7060000}"/>
            </a:ext>
          </a:extLst>
        </xdr:cNvPr>
        <xdr:cNvCxnSpPr/>
      </xdr:nvCxnSpPr>
      <xdr:spPr>
        <a:xfrm>
          <a:off x="10530417" y="113749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1736" name="Straight Arrow Connector 1735">
          <a:extLst>
            <a:ext uri="{FF2B5EF4-FFF2-40B4-BE49-F238E27FC236}">
              <a16:creationId xmlns:a16="http://schemas.microsoft.com/office/drawing/2014/main" id="{00000000-0008-0000-1200-0000C8060000}"/>
            </a:ext>
          </a:extLst>
        </xdr:cNvPr>
        <xdr:cNvCxnSpPr/>
      </xdr:nvCxnSpPr>
      <xdr:spPr>
        <a:xfrm>
          <a:off x="10541000" y="113760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1080</xdr:row>
      <xdr:rowOff>42333</xdr:rowOff>
    </xdr:from>
    <xdr:to>
      <xdr:col>9</xdr:col>
      <xdr:colOff>592666</xdr:colOff>
      <xdr:row>1088</xdr:row>
      <xdr:rowOff>42333</xdr:rowOff>
    </xdr:to>
    <xdr:cxnSp macro="">
      <xdr:nvCxnSpPr>
        <xdr:cNvPr id="1737" name="Straight Arrow Connector 1736">
          <a:extLst>
            <a:ext uri="{FF2B5EF4-FFF2-40B4-BE49-F238E27FC236}">
              <a16:creationId xmlns:a16="http://schemas.microsoft.com/office/drawing/2014/main" id="{00000000-0008-0000-1200-0000C9060000}"/>
            </a:ext>
          </a:extLst>
        </xdr:cNvPr>
        <xdr:cNvCxnSpPr/>
      </xdr:nvCxnSpPr>
      <xdr:spPr>
        <a:xfrm flipV="1">
          <a:off x="6392333" y="121009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1090</xdr:row>
      <xdr:rowOff>169334</xdr:rowOff>
    </xdr:from>
    <xdr:to>
      <xdr:col>9</xdr:col>
      <xdr:colOff>603250</xdr:colOff>
      <xdr:row>1099</xdr:row>
      <xdr:rowOff>31750</xdr:rowOff>
    </xdr:to>
    <xdr:cxnSp macro="">
      <xdr:nvCxnSpPr>
        <xdr:cNvPr id="1738" name="Straight Arrow Connector 1737">
          <a:extLst>
            <a:ext uri="{FF2B5EF4-FFF2-40B4-BE49-F238E27FC236}">
              <a16:creationId xmlns:a16="http://schemas.microsoft.com/office/drawing/2014/main" id="{00000000-0008-0000-1200-0000CA060000}"/>
            </a:ext>
          </a:extLst>
        </xdr:cNvPr>
        <xdr:cNvCxnSpPr/>
      </xdr:nvCxnSpPr>
      <xdr:spPr>
        <a:xfrm>
          <a:off x="6413500" y="123041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1739" name="Straight Arrow Connector 1738">
          <a:extLst>
            <a:ext uri="{FF2B5EF4-FFF2-40B4-BE49-F238E27FC236}">
              <a16:creationId xmlns:a16="http://schemas.microsoft.com/office/drawing/2014/main" id="{00000000-0008-0000-1200-0000CB060000}"/>
            </a:ext>
          </a:extLst>
        </xdr:cNvPr>
        <xdr:cNvCxnSpPr/>
      </xdr:nvCxnSpPr>
      <xdr:spPr>
        <a:xfrm flipV="1">
          <a:off x="7556500" y="124174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1740" name="Straight Arrow Connector 1739">
          <a:extLst>
            <a:ext uri="{FF2B5EF4-FFF2-40B4-BE49-F238E27FC236}">
              <a16:creationId xmlns:a16="http://schemas.microsoft.com/office/drawing/2014/main" id="{00000000-0008-0000-1200-0000CC060000}"/>
            </a:ext>
          </a:extLst>
        </xdr:cNvPr>
        <xdr:cNvCxnSpPr/>
      </xdr:nvCxnSpPr>
      <xdr:spPr>
        <a:xfrm flipV="1">
          <a:off x="10530417"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1741" name="Straight Arrow Connector 1740">
          <a:extLst>
            <a:ext uri="{FF2B5EF4-FFF2-40B4-BE49-F238E27FC236}">
              <a16:creationId xmlns:a16="http://schemas.microsoft.com/office/drawing/2014/main" id="{00000000-0008-0000-1200-0000CD060000}"/>
            </a:ext>
          </a:extLst>
        </xdr:cNvPr>
        <xdr:cNvCxnSpPr/>
      </xdr:nvCxnSpPr>
      <xdr:spPr>
        <a:xfrm>
          <a:off x="10572750"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1742" name="Straight Arrow Connector 1741">
          <a:extLst>
            <a:ext uri="{FF2B5EF4-FFF2-40B4-BE49-F238E27FC236}">
              <a16:creationId xmlns:a16="http://schemas.microsoft.com/office/drawing/2014/main" id="{00000000-0008-0000-1200-0000CE060000}"/>
            </a:ext>
          </a:extLst>
        </xdr:cNvPr>
        <xdr:cNvCxnSpPr/>
      </xdr:nvCxnSpPr>
      <xdr:spPr>
        <a:xfrm>
          <a:off x="10551583"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1743" name="Straight Arrow Connector 1742">
          <a:extLst>
            <a:ext uri="{FF2B5EF4-FFF2-40B4-BE49-F238E27FC236}">
              <a16:creationId xmlns:a16="http://schemas.microsoft.com/office/drawing/2014/main" id="{00000000-0008-0000-1200-0000CF060000}"/>
            </a:ext>
          </a:extLst>
        </xdr:cNvPr>
        <xdr:cNvCxnSpPr/>
      </xdr:nvCxnSpPr>
      <xdr:spPr>
        <a:xfrm>
          <a:off x="10583333" y="116427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1744" name="Straight Arrow Connector 1743">
          <a:extLst>
            <a:ext uri="{FF2B5EF4-FFF2-40B4-BE49-F238E27FC236}">
              <a16:creationId xmlns:a16="http://schemas.microsoft.com/office/drawing/2014/main" id="{00000000-0008-0000-1200-0000D0060000}"/>
            </a:ext>
          </a:extLst>
        </xdr:cNvPr>
        <xdr:cNvCxnSpPr/>
      </xdr:nvCxnSpPr>
      <xdr:spPr>
        <a:xfrm>
          <a:off x="10562166" y="119062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1745" name="Straight Arrow Connector 1744">
          <a:extLst>
            <a:ext uri="{FF2B5EF4-FFF2-40B4-BE49-F238E27FC236}">
              <a16:creationId xmlns:a16="http://schemas.microsoft.com/office/drawing/2014/main" id="{00000000-0008-0000-1200-0000D1060000}"/>
            </a:ext>
          </a:extLst>
        </xdr:cNvPr>
        <xdr:cNvCxnSpPr/>
      </xdr:nvCxnSpPr>
      <xdr:spPr>
        <a:xfrm>
          <a:off x="10615083"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1746" name="Straight Arrow Connector 1745">
          <a:extLst>
            <a:ext uri="{FF2B5EF4-FFF2-40B4-BE49-F238E27FC236}">
              <a16:creationId xmlns:a16="http://schemas.microsoft.com/office/drawing/2014/main" id="{00000000-0008-0000-1200-0000D2060000}"/>
            </a:ext>
          </a:extLst>
        </xdr:cNvPr>
        <xdr:cNvCxnSpPr/>
      </xdr:nvCxnSpPr>
      <xdr:spPr>
        <a:xfrm>
          <a:off x="10572750"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1747" name="Straight Arrow Connector 1746">
          <a:extLst>
            <a:ext uri="{FF2B5EF4-FFF2-40B4-BE49-F238E27FC236}">
              <a16:creationId xmlns:a16="http://schemas.microsoft.com/office/drawing/2014/main" id="{00000000-0008-0000-1200-0000D3060000}"/>
            </a:ext>
          </a:extLst>
        </xdr:cNvPr>
        <xdr:cNvCxnSpPr/>
      </xdr:nvCxnSpPr>
      <xdr:spPr>
        <a:xfrm flipV="1">
          <a:off x="10562166"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1748" name="Straight Arrow Connector 1747">
          <a:extLst>
            <a:ext uri="{FF2B5EF4-FFF2-40B4-BE49-F238E27FC236}">
              <a16:creationId xmlns:a16="http://schemas.microsoft.com/office/drawing/2014/main" id="{00000000-0008-0000-1200-0000D4060000}"/>
            </a:ext>
          </a:extLst>
        </xdr:cNvPr>
        <xdr:cNvCxnSpPr/>
      </xdr:nvCxnSpPr>
      <xdr:spPr>
        <a:xfrm flipV="1">
          <a:off x="10604500"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1749" name="Straight Arrow Connector 1748">
          <a:extLst>
            <a:ext uri="{FF2B5EF4-FFF2-40B4-BE49-F238E27FC236}">
              <a16:creationId xmlns:a16="http://schemas.microsoft.com/office/drawing/2014/main" id="{00000000-0008-0000-1200-0000D5060000}"/>
            </a:ext>
          </a:extLst>
        </xdr:cNvPr>
        <xdr:cNvCxnSpPr/>
      </xdr:nvCxnSpPr>
      <xdr:spPr>
        <a:xfrm>
          <a:off x="10593916"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1750" name="Straight Arrow Connector 1749">
          <a:extLst>
            <a:ext uri="{FF2B5EF4-FFF2-40B4-BE49-F238E27FC236}">
              <a16:creationId xmlns:a16="http://schemas.microsoft.com/office/drawing/2014/main" id="{00000000-0008-0000-1200-0000D6060000}"/>
            </a:ext>
          </a:extLst>
        </xdr:cNvPr>
        <xdr:cNvCxnSpPr/>
      </xdr:nvCxnSpPr>
      <xdr:spPr>
        <a:xfrm>
          <a:off x="10572750" y="124703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1751" name="Straight Arrow Connector 1750">
          <a:extLst>
            <a:ext uri="{FF2B5EF4-FFF2-40B4-BE49-F238E27FC236}">
              <a16:creationId xmlns:a16="http://schemas.microsoft.com/office/drawing/2014/main" id="{00000000-0008-0000-1200-0000D7060000}"/>
            </a:ext>
          </a:extLst>
        </xdr:cNvPr>
        <xdr:cNvCxnSpPr/>
      </xdr:nvCxnSpPr>
      <xdr:spPr>
        <a:xfrm flipV="1">
          <a:off x="10583333"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1752" name="Straight Arrow Connector 1751">
          <a:extLst>
            <a:ext uri="{FF2B5EF4-FFF2-40B4-BE49-F238E27FC236}">
              <a16:creationId xmlns:a16="http://schemas.microsoft.com/office/drawing/2014/main" id="{00000000-0008-0000-1200-0000D8060000}"/>
            </a:ext>
          </a:extLst>
        </xdr:cNvPr>
        <xdr:cNvCxnSpPr/>
      </xdr:nvCxnSpPr>
      <xdr:spPr>
        <a:xfrm>
          <a:off x="7598834"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1753" name="Straight Arrow Connector 1752">
          <a:extLst>
            <a:ext uri="{FF2B5EF4-FFF2-40B4-BE49-F238E27FC236}">
              <a16:creationId xmlns:a16="http://schemas.microsoft.com/office/drawing/2014/main" id="{00000000-0008-0000-1200-0000D9060000}"/>
            </a:ext>
          </a:extLst>
        </xdr:cNvPr>
        <xdr:cNvCxnSpPr/>
      </xdr:nvCxnSpPr>
      <xdr:spPr>
        <a:xfrm flipV="1">
          <a:off x="8794750" y="123274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1754" name="Straight Arrow Connector 1753">
          <a:extLst>
            <a:ext uri="{FF2B5EF4-FFF2-40B4-BE49-F238E27FC236}">
              <a16:creationId xmlns:a16="http://schemas.microsoft.com/office/drawing/2014/main" id="{00000000-0008-0000-1200-0000DA060000}"/>
            </a:ext>
          </a:extLst>
        </xdr:cNvPr>
        <xdr:cNvCxnSpPr/>
      </xdr:nvCxnSpPr>
      <xdr:spPr>
        <a:xfrm>
          <a:off x="8784166" y="124227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1755" name="Straight Arrow Connector 1754">
          <a:extLst>
            <a:ext uri="{FF2B5EF4-FFF2-40B4-BE49-F238E27FC236}">
              <a16:creationId xmlns:a16="http://schemas.microsoft.com/office/drawing/2014/main" id="{00000000-0008-0000-1200-0000DB060000}"/>
            </a:ext>
          </a:extLst>
        </xdr:cNvPr>
        <xdr:cNvCxnSpPr/>
      </xdr:nvCxnSpPr>
      <xdr:spPr>
        <a:xfrm flipV="1">
          <a:off x="879475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1756" name="Straight Arrow Connector 1755">
          <a:extLst>
            <a:ext uri="{FF2B5EF4-FFF2-40B4-BE49-F238E27FC236}">
              <a16:creationId xmlns:a16="http://schemas.microsoft.com/office/drawing/2014/main" id="{00000000-0008-0000-1200-0000DC060000}"/>
            </a:ext>
          </a:extLst>
        </xdr:cNvPr>
        <xdr:cNvCxnSpPr/>
      </xdr:nvCxnSpPr>
      <xdr:spPr>
        <a:xfrm>
          <a:off x="8805333" y="128206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1757" name="Straight Arrow Connector 1756">
          <a:extLst>
            <a:ext uri="{FF2B5EF4-FFF2-40B4-BE49-F238E27FC236}">
              <a16:creationId xmlns:a16="http://schemas.microsoft.com/office/drawing/2014/main" id="{00000000-0008-0000-1200-0000DD060000}"/>
            </a:ext>
          </a:extLst>
        </xdr:cNvPr>
        <xdr:cNvCxnSpPr/>
      </xdr:nvCxnSpPr>
      <xdr:spPr>
        <a:xfrm>
          <a:off x="10593916"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1097</xdr:row>
      <xdr:rowOff>52916</xdr:rowOff>
    </xdr:from>
    <xdr:to>
      <xdr:col>16</xdr:col>
      <xdr:colOff>0</xdr:colOff>
      <xdr:row>1099</xdr:row>
      <xdr:rowOff>0</xdr:rowOff>
    </xdr:to>
    <xdr:cxnSp macro="">
      <xdr:nvCxnSpPr>
        <xdr:cNvPr id="1758" name="Straight Arrow Connector 1757">
          <a:extLst>
            <a:ext uri="{FF2B5EF4-FFF2-40B4-BE49-F238E27FC236}">
              <a16:creationId xmlns:a16="http://schemas.microsoft.com/office/drawing/2014/main" id="{00000000-0008-0000-1200-0000DE060000}"/>
            </a:ext>
          </a:extLst>
        </xdr:cNvPr>
        <xdr:cNvCxnSpPr/>
      </xdr:nvCxnSpPr>
      <xdr:spPr>
        <a:xfrm flipV="1">
          <a:off x="10541000" y="124258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1759" name="Straight Arrow Connector 1758">
          <a:extLst>
            <a:ext uri="{FF2B5EF4-FFF2-40B4-BE49-F238E27FC236}">
              <a16:creationId xmlns:a16="http://schemas.microsoft.com/office/drawing/2014/main" id="{00000000-0008-0000-1200-0000DF060000}"/>
            </a:ext>
          </a:extLst>
        </xdr:cNvPr>
        <xdr:cNvCxnSpPr/>
      </xdr:nvCxnSpPr>
      <xdr:spPr>
        <a:xfrm>
          <a:off x="10530417"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1760" name="Straight Arrow Connector 1759">
          <a:extLst>
            <a:ext uri="{FF2B5EF4-FFF2-40B4-BE49-F238E27FC236}">
              <a16:creationId xmlns:a16="http://schemas.microsoft.com/office/drawing/2014/main" id="{00000000-0008-0000-1200-0000E0060000}"/>
            </a:ext>
          </a:extLst>
        </xdr:cNvPr>
        <xdr:cNvCxnSpPr/>
      </xdr:nvCxnSpPr>
      <xdr:spPr>
        <a:xfrm>
          <a:off x="10530417" y="124587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1761" name="Straight Arrow Connector 1760">
          <a:extLst>
            <a:ext uri="{FF2B5EF4-FFF2-40B4-BE49-F238E27FC236}">
              <a16:creationId xmlns:a16="http://schemas.microsoft.com/office/drawing/2014/main" id="{00000000-0008-0000-1200-0000E1060000}"/>
            </a:ext>
          </a:extLst>
        </xdr:cNvPr>
        <xdr:cNvCxnSpPr/>
      </xdr:nvCxnSpPr>
      <xdr:spPr>
        <a:xfrm flipV="1">
          <a:off x="10530417"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1762" name="Straight Arrow Connector 1761">
          <a:extLst>
            <a:ext uri="{FF2B5EF4-FFF2-40B4-BE49-F238E27FC236}">
              <a16:creationId xmlns:a16="http://schemas.microsoft.com/office/drawing/2014/main" id="{00000000-0008-0000-1200-0000E2060000}"/>
            </a:ext>
          </a:extLst>
        </xdr:cNvPr>
        <xdr:cNvCxnSpPr/>
      </xdr:nvCxnSpPr>
      <xdr:spPr>
        <a:xfrm>
          <a:off x="10572750"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1763" name="Straight Arrow Connector 1762">
          <a:extLst>
            <a:ext uri="{FF2B5EF4-FFF2-40B4-BE49-F238E27FC236}">
              <a16:creationId xmlns:a16="http://schemas.microsoft.com/office/drawing/2014/main" id="{00000000-0008-0000-1200-0000E3060000}"/>
            </a:ext>
          </a:extLst>
        </xdr:cNvPr>
        <xdr:cNvCxnSpPr/>
      </xdr:nvCxnSpPr>
      <xdr:spPr>
        <a:xfrm>
          <a:off x="10551583"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1764" name="Straight Arrow Connector 1763">
          <a:extLst>
            <a:ext uri="{FF2B5EF4-FFF2-40B4-BE49-F238E27FC236}">
              <a16:creationId xmlns:a16="http://schemas.microsoft.com/office/drawing/2014/main" id="{00000000-0008-0000-1200-0000E4060000}"/>
            </a:ext>
          </a:extLst>
        </xdr:cNvPr>
        <xdr:cNvCxnSpPr/>
      </xdr:nvCxnSpPr>
      <xdr:spPr>
        <a:xfrm>
          <a:off x="10583333" y="127285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1765" name="Straight Arrow Connector 1764">
          <a:extLst>
            <a:ext uri="{FF2B5EF4-FFF2-40B4-BE49-F238E27FC236}">
              <a16:creationId xmlns:a16="http://schemas.microsoft.com/office/drawing/2014/main" id="{00000000-0008-0000-1200-0000E5060000}"/>
            </a:ext>
          </a:extLst>
        </xdr:cNvPr>
        <xdr:cNvCxnSpPr/>
      </xdr:nvCxnSpPr>
      <xdr:spPr>
        <a:xfrm>
          <a:off x="10562166" y="129921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1766" name="Straight Arrow Connector 1765">
          <a:extLst>
            <a:ext uri="{FF2B5EF4-FFF2-40B4-BE49-F238E27FC236}">
              <a16:creationId xmlns:a16="http://schemas.microsoft.com/office/drawing/2014/main" id="{00000000-0008-0000-1200-0000E6060000}"/>
            </a:ext>
          </a:extLst>
        </xdr:cNvPr>
        <xdr:cNvCxnSpPr/>
      </xdr:nvCxnSpPr>
      <xdr:spPr>
        <a:xfrm>
          <a:off x="10615083"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1767" name="Straight Arrow Connector 1766">
          <a:extLst>
            <a:ext uri="{FF2B5EF4-FFF2-40B4-BE49-F238E27FC236}">
              <a16:creationId xmlns:a16="http://schemas.microsoft.com/office/drawing/2014/main" id="{00000000-0008-0000-1200-0000E7060000}"/>
            </a:ext>
          </a:extLst>
        </xdr:cNvPr>
        <xdr:cNvCxnSpPr/>
      </xdr:nvCxnSpPr>
      <xdr:spPr>
        <a:xfrm>
          <a:off x="10572750"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1768" name="Straight Arrow Connector 1767">
          <a:extLst>
            <a:ext uri="{FF2B5EF4-FFF2-40B4-BE49-F238E27FC236}">
              <a16:creationId xmlns:a16="http://schemas.microsoft.com/office/drawing/2014/main" id="{00000000-0008-0000-1200-0000E8060000}"/>
            </a:ext>
          </a:extLst>
        </xdr:cNvPr>
        <xdr:cNvCxnSpPr/>
      </xdr:nvCxnSpPr>
      <xdr:spPr>
        <a:xfrm flipV="1">
          <a:off x="10583333"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1034</xdr:row>
      <xdr:rowOff>127000</xdr:rowOff>
    </xdr:from>
    <xdr:to>
      <xdr:col>8</xdr:col>
      <xdr:colOff>63500</xdr:colOff>
      <xdr:row>1053</xdr:row>
      <xdr:rowOff>0</xdr:rowOff>
    </xdr:to>
    <xdr:cxnSp macro="">
      <xdr:nvCxnSpPr>
        <xdr:cNvPr id="1769" name="Straight Arrow Connector 1768">
          <a:extLst>
            <a:ext uri="{FF2B5EF4-FFF2-40B4-BE49-F238E27FC236}">
              <a16:creationId xmlns:a16="http://schemas.microsoft.com/office/drawing/2014/main" id="{00000000-0008-0000-1200-0000E9060000}"/>
            </a:ext>
          </a:extLst>
        </xdr:cNvPr>
        <xdr:cNvCxnSpPr/>
      </xdr:nvCxnSpPr>
      <xdr:spPr>
        <a:xfrm flipV="1">
          <a:off x="5207000" y="1121410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1171</xdr:row>
      <xdr:rowOff>1</xdr:rowOff>
    </xdr:from>
    <xdr:to>
      <xdr:col>6</xdr:col>
      <xdr:colOff>0</xdr:colOff>
      <xdr:row>1205</xdr:row>
      <xdr:rowOff>116417</xdr:rowOff>
    </xdr:to>
    <xdr:cxnSp macro="">
      <xdr:nvCxnSpPr>
        <xdr:cNvPr id="1770" name="Straight Arrow Connector 1769">
          <a:extLst>
            <a:ext uri="{FF2B5EF4-FFF2-40B4-BE49-F238E27FC236}">
              <a16:creationId xmlns:a16="http://schemas.microsoft.com/office/drawing/2014/main" id="{00000000-0008-0000-1200-0000EA060000}"/>
            </a:ext>
          </a:extLst>
        </xdr:cNvPr>
        <xdr:cNvCxnSpPr/>
      </xdr:nvCxnSpPr>
      <xdr:spPr>
        <a:xfrm flipV="1">
          <a:off x="3714750" y="1386840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1208</xdr:row>
      <xdr:rowOff>169334</xdr:rowOff>
    </xdr:from>
    <xdr:to>
      <xdr:col>5</xdr:col>
      <xdr:colOff>571500</xdr:colOff>
      <xdr:row>1277</xdr:row>
      <xdr:rowOff>0</xdr:rowOff>
    </xdr:to>
    <xdr:cxnSp macro="">
      <xdr:nvCxnSpPr>
        <xdr:cNvPr id="1771" name="Straight Arrow Connector 1770">
          <a:extLst>
            <a:ext uri="{FF2B5EF4-FFF2-40B4-BE49-F238E27FC236}">
              <a16:creationId xmlns:a16="http://schemas.microsoft.com/office/drawing/2014/main" id="{00000000-0008-0000-1200-0000EB060000}"/>
            </a:ext>
          </a:extLst>
        </xdr:cNvPr>
        <xdr:cNvCxnSpPr/>
      </xdr:nvCxnSpPr>
      <xdr:spPr>
        <a:xfrm>
          <a:off x="3799417" y="145901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1146</xdr:row>
      <xdr:rowOff>148167</xdr:rowOff>
    </xdr:from>
    <xdr:to>
      <xdr:col>7</xdr:col>
      <xdr:colOff>603250</xdr:colOff>
      <xdr:row>1168</xdr:row>
      <xdr:rowOff>31750</xdr:rowOff>
    </xdr:to>
    <xdr:cxnSp macro="">
      <xdr:nvCxnSpPr>
        <xdr:cNvPr id="1772" name="Straight Arrow Connector 1771">
          <a:extLst>
            <a:ext uri="{FF2B5EF4-FFF2-40B4-BE49-F238E27FC236}">
              <a16:creationId xmlns:a16="http://schemas.microsoft.com/office/drawing/2014/main" id="{00000000-0008-0000-1200-0000EC060000}"/>
            </a:ext>
          </a:extLst>
        </xdr:cNvPr>
        <xdr:cNvCxnSpPr/>
      </xdr:nvCxnSpPr>
      <xdr:spPr>
        <a:xfrm flipV="1">
          <a:off x="5175250" y="133879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1171</xdr:row>
      <xdr:rowOff>10584</xdr:rowOff>
    </xdr:from>
    <xdr:to>
      <xdr:col>8</xdr:col>
      <xdr:colOff>21167</xdr:colOff>
      <xdr:row>1199</xdr:row>
      <xdr:rowOff>148166</xdr:rowOff>
    </xdr:to>
    <xdr:cxnSp macro="">
      <xdr:nvCxnSpPr>
        <xdr:cNvPr id="1773" name="Straight Arrow Connector 1772">
          <a:extLst>
            <a:ext uri="{FF2B5EF4-FFF2-40B4-BE49-F238E27FC236}">
              <a16:creationId xmlns:a16="http://schemas.microsoft.com/office/drawing/2014/main" id="{00000000-0008-0000-1200-0000ED060000}"/>
            </a:ext>
          </a:extLst>
        </xdr:cNvPr>
        <xdr:cNvCxnSpPr/>
      </xdr:nvCxnSpPr>
      <xdr:spPr>
        <a:xfrm>
          <a:off x="5175250" y="1386945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1138</xdr:row>
      <xdr:rowOff>137583</xdr:rowOff>
    </xdr:from>
    <xdr:to>
      <xdr:col>9</xdr:col>
      <xdr:colOff>603250</xdr:colOff>
      <xdr:row>1144</xdr:row>
      <xdr:rowOff>21166</xdr:rowOff>
    </xdr:to>
    <xdr:cxnSp macro="">
      <xdr:nvCxnSpPr>
        <xdr:cNvPr id="1774" name="Straight Arrow Connector 1773">
          <a:extLst>
            <a:ext uri="{FF2B5EF4-FFF2-40B4-BE49-F238E27FC236}">
              <a16:creationId xmlns:a16="http://schemas.microsoft.com/office/drawing/2014/main" id="{00000000-0008-0000-1200-0000EE060000}"/>
            </a:ext>
          </a:extLst>
        </xdr:cNvPr>
        <xdr:cNvCxnSpPr/>
      </xdr:nvCxnSpPr>
      <xdr:spPr>
        <a:xfrm flipV="1">
          <a:off x="6381750" y="132344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1147</xdr:row>
      <xdr:rowOff>0</xdr:rowOff>
    </xdr:from>
    <xdr:to>
      <xdr:col>9</xdr:col>
      <xdr:colOff>582083</xdr:colOff>
      <xdr:row>1155</xdr:row>
      <xdr:rowOff>10583</xdr:rowOff>
    </xdr:to>
    <xdr:cxnSp macro="">
      <xdr:nvCxnSpPr>
        <xdr:cNvPr id="1775" name="Straight Arrow Connector 1774">
          <a:extLst>
            <a:ext uri="{FF2B5EF4-FFF2-40B4-BE49-F238E27FC236}">
              <a16:creationId xmlns:a16="http://schemas.microsoft.com/office/drawing/2014/main" id="{00000000-0008-0000-1200-0000EF060000}"/>
            </a:ext>
          </a:extLst>
        </xdr:cNvPr>
        <xdr:cNvCxnSpPr/>
      </xdr:nvCxnSpPr>
      <xdr:spPr>
        <a:xfrm>
          <a:off x="6413500" y="133921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1152</xdr:row>
      <xdr:rowOff>169333</xdr:rowOff>
    </xdr:from>
    <xdr:to>
      <xdr:col>11</xdr:col>
      <xdr:colOff>603250</xdr:colOff>
      <xdr:row>1155</xdr:row>
      <xdr:rowOff>21167</xdr:rowOff>
    </xdr:to>
    <xdr:cxnSp macro="">
      <xdr:nvCxnSpPr>
        <xdr:cNvPr id="1776" name="Straight Arrow Connector 1775">
          <a:extLst>
            <a:ext uri="{FF2B5EF4-FFF2-40B4-BE49-F238E27FC236}">
              <a16:creationId xmlns:a16="http://schemas.microsoft.com/office/drawing/2014/main" id="{00000000-0008-0000-1200-0000F0060000}"/>
            </a:ext>
          </a:extLst>
        </xdr:cNvPr>
        <xdr:cNvCxnSpPr/>
      </xdr:nvCxnSpPr>
      <xdr:spPr>
        <a:xfrm flipV="1">
          <a:off x="7609417" y="135043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1158</xdr:row>
      <xdr:rowOff>42333</xdr:rowOff>
    </xdr:from>
    <xdr:to>
      <xdr:col>11</xdr:col>
      <xdr:colOff>603250</xdr:colOff>
      <xdr:row>1170</xdr:row>
      <xdr:rowOff>10583</xdr:rowOff>
    </xdr:to>
    <xdr:cxnSp macro="">
      <xdr:nvCxnSpPr>
        <xdr:cNvPr id="1777" name="Straight Arrow Connector 1776">
          <a:extLst>
            <a:ext uri="{FF2B5EF4-FFF2-40B4-BE49-F238E27FC236}">
              <a16:creationId xmlns:a16="http://schemas.microsoft.com/office/drawing/2014/main" id="{00000000-0008-0000-1200-0000F1060000}"/>
            </a:ext>
          </a:extLst>
        </xdr:cNvPr>
        <xdr:cNvCxnSpPr/>
      </xdr:nvCxnSpPr>
      <xdr:spPr>
        <a:xfrm>
          <a:off x="7598834" y="136059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1148</xdr:row>
      <xdr:rowOff>21167</xdr:rowOff>
    </xdr:from>
    <xdr:to>
      <xdr:col>13</xdr:col>
      <xdr:colOff>592667</xdr:colOff>
      <xdr:row>1150</xdr:row>
      <xdr:rowOff>0</xdr:rowOff>
    </xdr:to>
    <xdr:cxnSp macro="">
      <xdr:nvCxnSpPr>
        <xdr:cNvPr id="1778" name="Straight Arrow Connector 1777">
          <a:extLst>
            <a:ext uri="{FF2B5EF4-FFF2-40B4-BE49-F238E27FC236}">
              <a16:creationId xmlns:a16="http://schemas.microsoft.com/office/drawing/2014/main" id="{00000000-0008-0000-1200-0000F2060000}"/>
            </a:ext>
          </a:extLst>
        </xdr:cNvPr>
        <xdr:cNvCxnSpPr/>
      </xdr:nvCxnSpPr>
      <xdr:spPr>
        <a:xfrm flipV="1">
          <a:off x="8794750" y="134133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1153</xdr:row>
      <xdr:rowOff>21166</xdr:rowOff>
    </xdr:from>
    <xdr:to>
      <xdr:col>13</xdr:col>
      <xdr:colOff>592667</xdr:colOff>
      <xdr:row>1154</xdr:row>
      <xdr:rowOff>169334</xdr:rowOff>
    </xdr:to>
    <xdr:cxnSp macro="">
      <xdr:nvCxnSpPr>
        <xdr:cNvPr id="1779" name="Straight Arrow Connector 1778">
          <a:extLst>
            <a:ext uri="{FF2B5EF4-FFF2-40B4-BE49-F238E27FC236}">
              <a16:creationId xmlns:a16="http://schemas.microsoft.com/office/drawing/2014/main" id="{00000000-0008-0000-1200-0000F3060000}"/>
            </a:ext>
          </a:extLst>
        </xdr:cNvPr>
        <xdr:cNvCxnSpPr/>
      </xdr:nvCxnSpPr>
      <xdr:spPr>
        <a:xfrm>
          <a:off x="8784166" y="135085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1168</xdr:row>
      <xdr:rowOff>21167</xdr:rowOff>
    </xdr:from>
    <xdr:to>
      <xdr:col>13</xdr:col>
      <xdr:colOff>592667</xdr:colOff>
      <xdr:row>1170</xdr:row>
      <xdr:rowOff>63500</xdr:rowOff>
    </xdr:to>
    <xdr:cxnSp macro="">
      <xdr:nvCxnSpPr>
        <xdr:cNvPr id="1780" name="Straight Arrow Connector 1779">
          <a:extLst>
            <a:ext uri="{FF2B5EF4-FFF2-40B4-BE49-F238E27FC236}">
              <a16:creationId xmlns:a16="http://schemas.microsoft.com/office/drawing/2014/main" id="{00000000-0008-0000-1200-0000F4060000}"/>
            </a:ext>
          </a:extLst>
        </xdr:cNvPr>
        <xdr:cNvCxnSpPr/>
      </xdr:nvCxnSpPr>
      <xdr:spPr>
        <a:xfrm flipV="1">
          <a:off x="8794750" y="138133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1173</xdr:row>
      <xdr:rowOff>0</xdr:rowOff>
    </xdr:from>
    <xdr:to>
      <xdr:col>14</xdr:col>
      <xdr:colOff>10584</xdr:colOff>
      <xdr:row>1181</xdr:row>
      <xdr:rowOff>148167</xdr:rowOff>
    </xdr:to>
    <xdr:cxnSp macro="">
      <xdr:nvCxnSpPr>
        <xdr:cNvPr id="1781" name="Straight Arrow Connector 1780">
          <a:extLst>
            <a:ext uri="{FF2B5EF4-FFF2-40B4-BE49-F238E27FC236}">
              <a16:creationId xmlns:a16="http://schemas.microsoft.com/office/drawing/2014/main" id="{00000000-0008-0000-1200-0000F5060000}"/>
            </a:ext>
          </a:extLst>
        </xdr:cNvPr>
        <xdr:cNvCxnSpPr/>
      </xdr:nvCxnSpPr>
      <xdr:spPr>
        <a:xfrm>
          <a:off x="8805333" y="139065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1140</xdr:row>
      <xdr:rowOff>0</xdr:rowOff>
    </xdr:from>
    <xdr:to>
      <xdr:col>15</xdr:col>
      <xdr:colOff>603250</xdr:colOff>
      <xdr:row>1145</xdr:row>
      <xdr:rowOff>31750</xdr:rowOff>
    </xdr:to>
    <xdr:cxnSp macro="">
      <xdr:nvCxnSpPr>
        <xdr:cNvPr id="1782" name="Straight Arrow Connector 1781">
          <a:extLst>
            <a:ext uri="{FF2B5EF4-FFF2-40B4-BE49-F238E27FC236}">
              <a16:creationId xmlns:a16="http://schemas.microsoft.com/office/drawing/2014/main" id="{00000000-0008-0000-1200-0000F6060000}"/>
            </a:ext>
          </a:extLst>
        </xdr:cNvPr>
        <xdr:cNvCxnSpPr/>
      </xdr:nvCxnSpPr>
      <xdr:spPr>
        <a:xfrm flipV="1">
          <a:off x="10541000" y="132588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1143</xdr:row>
      <xdr:rowOff>52917</xdr:rowOff>
    </xdr:from>
    <xdr:to>
      <xdr:col>15</xdr:col>
      <xdr:colOff>603250</xdr:colOff>
      <xdr:row>1145</xdr:row>
      <xdr:rowOff>95250</xdr:rowOff>
    </xdr:to>
    <xdr:cxnSp macro="">
      <xdr:nvCxnSpPr>
        <xdr:cNvPr id="1783" name="Straight Arrow Connector 1782">
          <a:extLst>
            <a:ext uri="{FF2B5EF4-FFF2-40B4-BE49-F238E27FC236}">
              <a16:creationId xmlns:a16="http://schemas.microsoft.com/office/drawing/2014/main" id="{00000000-0008-0000-1200-0000F7060000}"/>
            </a:ext>
          </a:extLst>
        </xdr:cNvPr>
        <xdr:cNvCxnSpPr/>
      </xdr:nvCxnSpPr>
      <xdr:spPr>
        <a:xfrm flipV="1">
          <a:off x="10583333" y="133212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1145</xdr:row>
      <xdr:rowOff>158750</xdr:rowOff>
    </xdr:from>
    <xdr:to>
      <xdr:col>15</xdr:col>
      <xdr:colOff>582083</xdr:colOff>
      <xdr:row>1146</xdr:row>
      <xdr:rowOff>137583</xdr:rowOff>
    </xdr:to>
    <xdr:cxnSp macro="">
      <xdr:nvCxnSpPr>
        <xdr:cNvPr id="1784" name="Straight Arrow Connector 1783">
          <a:extLst>
            <a:ext uri="{FF2B5EF4-FFF2-40B4-BE49-F238E27FC236}">
              <a16:creationId xmlns:a16="http://schemas.microsoft.com/office/drawing/2014/main" id="{00000000-0008-0000-1200-0000F8060000}"/>
            </a:ext>
          </a:extLst>
        </xdr:cNvPr>
        <xdr:cNvCxnSpPr/>
      </xdr:nvCxnSpPr>
      <xdr:spPr>
        <a:xfrm>
          <a:off x="10604500" y="133699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1145</xdr:row>
      <xdr:rowOff>105834</xdr:rowOff>
    </xdr:from>
    <xdr:to>
      <xdr:col>16</xdr:col>
      <xdr:colOff>0</xdr:colOff>
      <xdr:row>1149</xdr:row>
      <xdr:rowOff>84667</xdr:rowOff>
    </xdr:to>
    <xdr:cxnSp macro="">
      <xdr:nvCxnSpPr>
        <xdr:cNvPr id="1785" name="Straight Arrow Connector 1784">
          <a:extLst>
            <a:ext uri="{FF2B5EF4-FFF2-40B4-BE49-F238E27FC236}">
              <a16:creationId xmlns:a16="http://schemas.microsoft.com/office/drawing/2014/main" id="{00000000-0008-0000-1200-0000F9060000}"/>
            </a:ext>
          </a:extLst>
        </xdr:cNvPr>
        <xdr:cNvCxnSpPr/>
      </xdr:nvCxnSpPr>
      <xdr:spPr>
        <a:xfrm>
          <a:off x="10519834" y="133646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1153</xdr:row>
      <xdr:rowOff>52916</xdr:rowOff>
    </xdr:from>
    <xdr:to>
      <xdr:col>16</xdr:col>
      <xdr:colOff>0</xdr:colOff>
      <xdr:row>1155</xdr:row>
      <xdr:rowOff>0</xdr:rowOff>
    </xdr:to>
    <xdr:cxnSp macro="">
      <xdr:nvCxnSpPr>
        <xdr:cNvPr id="1786" name="Straight Arrow Connector 1785">
          <a:extLst>
            <a:ext uri="{FF2B5EF4-FFF2-40B4-BE49-F238E27FC236}">
              <a16:creationId xmlns:a16="http://schemas.microsoft.com/office/drawing/2014/main" id="{00000000-0008-0000-1200-0000FA060000}"/>
            </a:ext>
          </a:extLst>
        </xdr:cNvPr>
        <xdr:cNvCxnSpPr/>
      </xdr:nvCxnSpPr>
      <xdr:spPr>
        <a:xfrm flipV="1">
          <a:off x="10541000" y="135117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1155</xdr:row>
      <xdr:rowOff>21167</xdr:rowOff>
    </xdr:from>
    <xdr:to>
      <xdr:col>15</xdr:col>
      <xdr:colOff>582083</xdr:colOff>
      <xdr:row>1156</xdr:row>
      <xdr:rowOff>42333</xdr:rowOff>
    </xdr:to>
    <xdr:cxnSp macro="">
      <xdr:nvCxnSpPr>
        <xdr:cNvPr id="1787" name="Straight Arrow Connector 1786">
          <a:extLst>
            <a:ext uri="{FF2B5EF4-FFF2-40B4-BE49-F238E27FC236}">
              <a16:creationId xmlns:a16="http://schemas.microsoft.com/office/drawing/2014/main" id="{00000000-0008-0000-1200-0000FB060000}"/>
            </a:ext>
          </a:extLst>
        </xdr:cNvPr>
        <xdr:cNvCxnSpPr/>
      </xdr:nvCxnSpPr>
      <xdr:spPr>
        <a:xfrm>
          <a:off x="10551583" y="135466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1155</xdr:row>
      <xdr:rowOff>21167</xdr:rowOff>
    </xdr:from>
    <xdr:to>
      <xdr:col>16</xdr:col>
      <xdr:colOff>42333</xdr:colOff>
      <xdr:row>1160</xdr:row>
      <xdr:rowOff>21168</xdr:rowOff>
    </xdr:to>
    <xdr:cxnSp macro="">
      <xdr:nvCxnSpPr>
        <xdr:cNvPr id="1788" name="Straight Arrow Connector 1787">
          <a:extLst>
            <a:ext uri="{FF2B5EF4-FFF2-40B4-BE49-F238E27FC236}">
              <a16:creationId xmlns:a16="http://schemas.microsoft.com/office/drawing/2014/main" id="{00000000-0008-0000-1200-0000FC060000}"/>
            </a:ext>
          </a:extLst>
        </xdr:cNvPr>
        <xdr:cNvCxnSpPr/>
      </xdr:nvCxnSpPr>
      <xdr:spPr>
        <a:xfrm>
          <a:off x="10530417" y="135466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1789" name="Straight Arrow Connector 1788">
          <a:extLst>
            <a:ext uri="{FF2B5EF4-FFF2-40B4-BE49-F238E27FC236}">
              <a16:creationId xmlns:a16="http://schemas.microsoft.com/office/drawing/2014/main" id="{00000000-0008-0000-1200-0000FD060000}"/>
            </a:ext>
          </a:extLst>
        </xdr:cNvPr>
        <xdr:cNvCxnSpPr/>
      </xdr:nvCxnSpPr>
      <xdr:spPr>
        <a:xfrm>
          <a:off x="10541000" y="135477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1192</xdr:row>
      <xdr:rowOff>42333</xdr:rowOff>
    </xdr:from>
    <xdr:to>
      <xdr:col>9</xdr:col>
      <xdr:colOff>592666</xdr:colOff>
      <xdr:row>1200</xdr:row>
      <xdr:rowOff>42333</xdr:rowOff>
    </xdr:to>
    <xdr:cxnSp macro="">
      <xdr:nvCxnSpPr>
        <xdr:cNvPr id="1790" name="Straight Arrow Connector 1789">
          <a:extLst>
            <a:ext uri="{FF2B5EF4-FFF2-40B4-BE49-F238E27FC236}">
              <a16:creationId xmlns:a16="http://schemas.microsoft.com/office/drawing/2014/main" id="{00000000-0008-0000-1200-0000FE060000}"/>
            </a:ext>
          </a:extLst>
        </xdr:cNvPr>
        <xdr:cNvCxnSpPr/>
      </xdr:nvCxnSpPr>
      <xdr:spPr>
        <a:xfrm flipV="1">
          <a:off x="6392333" y="142726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1202</xdr:row>
      <xdr:rowOff>169334</xdr:rowOff>
    </xdr:from>
    <xdr:to>
      <xdr:col>9</xdr:col>
      <xdr:colOff>603250</xdr:colOff>
      <xdr:row>1211</xdr:row>
      <xdr:rowOff>31750</xdr:rowOff>
    </xdr:to>
    <xdr:cxnSp macro="">
      <xdr:nvCxnSpPr>
        <xdr:cNvPr id="1791" name="Straight Arrow Connector 1790">
          <a:extLst>
            <a:ext uri="{FF2B5EF4-FFF2-40B4-BE49-F238E27FC236}">
              <a16:creationId xmlns:a16="http://schemas.microsoft.com/office/drawing/2014/main" id="{00000000-0008-0000-1200-0000FF060000}"/>
            </a:ext>
          </a:extLst>
        </xdr:cNvPr>
        <xdr:cNvCxnSpPr/>
      </xdr:nvCxnSpPr>
      <xdr:spPr>
        <a:xfrm>
          <a:off x="6413500" y="144758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1208</xdr:row>
      <xdr:rowOff>158750</xdr:rowOff>
    </xdr:from>
    <xdr:to>
      <xdr:col>11</xdr:col>
      <xdr:colOff>571500</xdr:colOff>
      <xdr:row>1211</xdr:row>
      <xdr:rowOff>0</xdr:rowOff>
    </xdr:to>
    <xdr:cxnSp macro="">
      <xdr:nvCxnSpPr>
        <xdr:cNvPr id="1792" name="Straight Arrow Connector 1791">
          <a:extLst>
            <a:ext uri="{FF2B5EF4-FFF2-40B4-BE49-F238E27FC236}">
              <a16:creationId xmlns:a16="http://schemas.microsoft.com/office/drawing/2014/main" id="{00000000-0008-0000-1200-000000070000}"/>
            </a:ext>
          </a:extLst>
        </xdr:cNvPr>
        <xdr:cNvCxnSpPr/>
      </xdr:nvCxnSpPr>
      <xdr:spPr>
        <a:xfrm flipV="1">
          <a:off x="7556500" y="145891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1166</xdr:row>
      <xdr:rowOff>0</xdr:rowOff>
    </xdr:from>
    <xdr:to>
      <xdr:col>15</xdr:col>
      <xdr:colOff>603250</xdr:colOff>
      <xdr:row>1168</xdr:row>
      <xdr:rowOff>1</xdr:rowOff>
    </xdr:to>
    <xdr:cxnSp macro="">
      <xdr:nvCxnSpPr>
        <xdr:cNvPr id="1793" name="Straight Arrow Connector 1792">
          <a:extLst>
            <a:ext uri="{FF2B5EF4-FFF2-40B4-BE49-F238E27FC236}">
              <a16:creationId xmlns:a16="http://schemas.microsoft.com/office/drawing/2014/main" id="{00000000-0008-0000-1200-000001070000}"/>
            </a:ext>
          </a:extLst>
        </xdr:cNvPr>
        <xdr:cNvCxnSpPr/>
      </xdr:nvCxnSpPr>
      <xdr:spPr>
        <a:xfrm flipV="1">
          <a:off x="10530417" y="137731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1168</xdr:row>
      <xdr:rowOff>10584</xdr:rowOff>
    </xdr:from>
    <xdr:to>
      <xdr:col>15</xdr:col>
      <xdr:colOff>592666</xdr:colOff>
      <xdr:row>1169</xdr:row>
      <xdr:rowOff>95250</xdr:rowOff>
    </xdr:to>
    <xdr:cxnSp macro="">
      <xdr:nvCxnSpPr>
        <xdr:cNvPr id="1794" name="Straight Arrow Connector 1793">
          <a:extLst>
            <a:ext uri="{FF2B5EF4-FFF2-40B4-BE49-F238E27FC236}">
              <a16:creationId xmlns:a16="http://schemas.microsoft.com/office/drawing/2014/main" id="{00000000-0008-0000-1200-000002070000}"/>
            </a:ext>
          </a:extLst>
        </xdr:cNvPr>
        <xdr:cNvCxnSpPr/>
      </xdr:nvCxnSpPr>
      <xdr:spPr>
        <a:xfrm>
          <a:off x="10572750" y="138123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1168</xdr:row>
      <xdr:rowOff>10584</xdr:rowOff>
    </xdr:from>
    <xdr:to>
      <xdr:col>15</xdr:col>
      <xdr:colOff>560916</xdr:colOff>
      <xdr:row>1172</xdr:row>
      <xdr:rowOff>52917</xdr:rowOff>
    </xdr:to>
    <xdr:cxnSp macro="">
      <xdr:nvCxnSpPr>
        <xdr:cNvPr id="1795" name="Straight Arrow Connector 1794">
          <a:extLst>
            <a:ext uri="{FF2B5EF4-FFF2-40B4-BE49-F238E27FC236}">
              <a16:creationId xmlns:a16="http://schemas.microsoft.com/office/drawing/2014/main" id="{00000000-0008-0000-1200-000003070000}"/>
            </a:ext>
          </a:extLst>
        </xdr:cNvPr>
        <xdr:cNvCxnSpPr/>
      </xdr:nvCxnSpPr>
      <xdr:spPr>
        <a:xfrm>
          <a:off x="10551583" y="138123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1796" name="Straight Arrow Connector 1795">
          <a:extLst>
            <a:ext uri="{FF2B5EF4-FFF2-40B4-BE49-F238E27FC236}">
              <a16:creationId xmlns:a16="http://schemas.microsoft.com/office/drawing/2014/main" id="{00000000-0008-0000-1200-000004070000}"/>
            </a:ext>
          </a:extLst>
        </xdr:cNvPr>
        <xdr:cNvCxnSpPr/>
      </xdr:nvCxnSpPr>
      <xdr:spPr>
        <a:xfrm>
          <a:off x="10583333" y="138144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1182</xdr:row>
      <xdr:rowOff>0</xdr:rowOff>
    </xdr:from>
    <xdr:to>
      <xdr:col>16</xdr:col>
      <xdr:colOff>0</xdr:colOff>
      <xdr:row>1182</xdr:row>
      <xdr:rowOff>42334</xdr:rowOff>
    </xdr:to>
    <xdr:cxnSp macro="">
      <xdr:nvCxnSpPr>
        <xdr:cNvPr id="1797" name="Straight Arrow Connector 1796">
          <a:extLst>
            <a:ext uri="{FF2B5EF4-FFF2-40B4-BE49-F238E27FC236}">
              <a16:creationId xmlns:a16="http://schemas.microsoft.com/office/drawing/2014/main" id="{00000000-0008-0000-1200-000005070000}"/>
            </a:ext>
          </a:extLst>
        </xdr:cNvPr>
        <xdr:cNvCxnSpPr/>
      </xdr:nvCxnSpPr>
      <xdr:spPr>
        <a:xfrm>
          <a:off x="10562166" y="140779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1182</xdr:row>
      <xdr:rowOff>21166</xdr:rowOff>
    </xdr:from>
    <xdr:to>
      <xdr:col>15</xdr:col>
      <xdr:colOff>560916</xdr:colOff>
      <xdr:row>1185</xdr:row>
      <xdr:rowOff>84667</xdr:rowOff>
    </xdr:to>
    <xdr:cxnSp macro="">
      <xdr:nvCxnSpPr>
        <xdr:cNvPr id="1798" name="Straight Arrow Connector 1797">
          <a:extLst>
            <a:ext uri="{FF2B5EF4-FFF2-40B4-BE49-F238E27FC236}">
              <a16:creationId xmlns:a16="http://schemas.microsoft.com/office/drawing/2014/main" id="{00000000-0008-0000-1200-000006070000}"/>
            </a:ext>
          </a:extLst>
        </xdr:cNvPr>
        <xdr:cNvCxnSpPr/>
      </xdr:nvCxnSpPr>
      <xdr:spPr>
        <a:xfrm>
          <a:off x="10615083" y="140800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1182</xdr:row>
      <xdr:rowOff>52916</xdr:rowOff>
    </xdr:from>
    <xdr:to>
      <xdr:col>15</xdr:col>
      <xdr:colOff>592666</xdr:colOff>
      <xdr:row>1188</xdr:row>
      <xdr:rowOff>63501</xdr:rowOff>
    </xdr:to>
    <xdr:cxnSp macro="">
      <xdr:nvCxnSpPr>
        <xdr:cNvPr id="1799" name="Straight Arrow Connector 1798">
          <a:extLst>
            <a:ext uri="{FF2B5EF4-FFF2-40B4-BE49-F238E27FC236}">
              <a16:creationId xmlns:a16="http://schemas.microsoft.com/office/drawing/2014/main" id="{00000000-0008-0000-1200-000007070000}"/>
            </a:ext>
          </a:extLst>
        </xdr:cNvPr>
        <xdr:cNvCxnSpPr/>
      </xdr:nvCxnSpPr>
      <xdr:spPr>
        <a:xfrm>
          <a:off x="10572750" y="140832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1196</xdr:row>
      <xdr:rowOff>116416</xdr:rowOff>
    </xdr:from>
    <xdr:to>
      <xdr:col>15</xdr:col>
      <xdr:colOff>592666</xdr:colOff>
      <xdr:row>1199</xdr:row>
      <xdr:rowOff>158750</xdr:rowOff>
    </xdr:to>
    <xdr:cxnSp macro="">
      <xdr:nvCxnSpPr>
        <xdr:cNvPr id="1800" name="Straight Arrow Connector 1799">
          <a:extLst>
            <a:ext uri="{FF2B5EF4-FFF2-40B4-BE49-F238E27FC236}">
              <a16:creationId xmlns:a16="http://schemas.microsoft.com/office/drawing/2014/main" id="{00000000-0008-0000-1200-000008070000}"/>
            </a:ext>
          </a:extLst>
        </xdr:cNvPr>
        <xdr:cNvCxnSpPr/>
      </xdr:nvCxnSpPr>
      <xdr:spPr>
        <a:xfrm flipV="1">
          <a:off x="10562166" y="143562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1198</xdr:row>
      <xdr:rowOff>95250</xdr:rowOff>
    </xdr:from>
    <xdr:to>
      <xdr:col>15</xdr:col>
      <xdr:colOff>582083</xdr:colOff>
      <xdr:row>1200</xdr:row>
      <xdr:rowOff>52917</xdr:rowOff>
    </xdr:to>
    <xdr:cxnSp macro="">
      <xdr:nvCxnSpPr>
        <xdr:cNvPr id="1801" name="Straight Arrow Connector 1800">
          <a:extLst>
            <a:ext uri="{FF2B5EF4-FFF2-40B4-BE49-F238E27FC236}">
              <a16:creationId xmlns:a16="http://schemas.microsoft.com/office/drawing/2014/main" id="{00000000-0008-0000-1200-000009070000}"/>
            </a:ext>
          </a:extLst>
        </xdr:cNvPr>
        <xdr:cNvCxnSpPr/>
      </xdr:nvCxnSpPr>
      <xdr:spPr>
        <a:xfrm flipV="1">
          <a:off x="10604500" y="143922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116417</xdr:rowOff>
    </xdr:from>
    <xdr:to>
      <xdr:col>15</xdr:col>
      <xdr:colOff>592666</xdr:colOff>
      <xdr:row>1204</xdr:row>
      <xdr:rowOff>95250</xdr:rowOff>
    </xdr:to>
    <xdr:cxnSp macro="">
      <xdr:nvCxnSpPr>
        <xdr:cNvPr id="1802" name="Straight Arrow Connector 1801">
          <a:extLst>
            <a:ext uri="{FF2B5EF4-FFF2-40B4-BE49-F238E27FC236}">
              <a16:creationId xmlns:a16="http://schemas.microsoft.com/office/drawing/2014/main" id="{00000000-0008-0000-1200-00000A070000}"/>
            </a:ext>
          </a:extLst>
        </xdr:cNvPr>
        <xdr:cNvCxnSpPr/>
      </xdr:nvCxnSpPr>
      <xdr:spPr>
        <a:xfrm>
          <a:off x="10593916" y="144324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1211</xdr:row>
      <xdr:rowOff>116416</xdr:rowOff>
    </xdr:from>
    <xdr:to>
      <xdr:col>16</xdr:col>
      <xdr:colOff>0</xdr:colOff>
      <xdr:row>1218</xdr:row>
      <xdr:rowOff>74084</xdr:rowOff>
    </xdr:to>
    <xdr:cxnSp macro="">
      <xdr:nvCxnSpPr>
        <xdr:cNvPr id="1803" name="Straight Arrow Connector 1802">
          <a:extLst>
            <a:ext uri="{FF2B5EF4-FFF2-40B4-BE49-F238E27FC236}">
              <a16:creationId xmlns:a16="http://schemas.microsoft.com/office/drawing/2014/main" id="{00000000-0008-0000-1200-00000B070000}"/>
            </a:ext>
          </a:extLst>
        </xdr:cNvPr>
        <xdr:cNvCxnSpPr/>
      </xdr:nvCxnSpPr>
      <xdr:spPr>
        <a:xfrm>
          <a:off x="10572750" y="146420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1179</xdr:row>
      <xdr:rowOff>52917</xdr:rowOff>
    </xdr:from>
    <xdr:to>
      <xdr:col>15</xdr:col>
      <xdr:colOff>603250</xdr:colOff>
      <xdr:row>1181</xdr:row>
      <xdr:rowOff>148167</xdr:rowOff>
    </xdr:to>
    <xdr:cxnSp macro="">
      <xdr:nvCxnSpPr>
        <xdr:cNvPr id="1804" name="Straight Arrow Connector 1803">
          <a:extLst>
            <a:ext uri="{FF2B5EF4-FFF2-40B4-BE49-F238E27FC236}">
              <a16:creationId xmlns:a16="http://schemas.microsoft.com/office/drawing/2014/main" id="{00000000-0008-0000-1200-00000C070000}"/>
            </a:ext>
          </a:extLst>
        </xdr:cNvPr>
        <xdr:cNvCxnSpPr/>
      </xdr:nvCxnSpPr>
      <xdr:spPr>
        <a:xfrm flipV="1">
          <a:off x="10583333" y="140260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1214</xdr:row>
      <xdr:rowOff>42333</xdr:rowOff>
    </xdr:from>
    <xdr:to>
      <xdr:col>11</xdr:col>
      <xdr:colOff>603250</xdr:colOff>
      <xdr:row>1226</xdr:row>
      <xdr:rowOff>10583</xdr:rowOff>
    </xdr:to>
    <xdr:cxnSp macro="">
      <xdr:nvCxnSpPr>
        <xdr:cNvPr id="1805" name="Straight Arrow Connector 1804">
          <a:extLst>
            <a:ext uri="{FF2B5EF4-FFF2-40B4-BE49-F238E27FC236}">
              <a16:creationId xmlns:a16="http://schemas.microsoft.com/office/drawing/2014/main" id="{00000000-0008-0000-1200-00000D070000}"/>
            </a:ext>
          </a:extLst>
        </xdr:cNvPr>
        <xdr:cNvCxnSpPr/>
      </xdr:nvCxnSpPr>
      <xdr:spPr>
        <a:xfrm>
          <a:off x="7598834" y="146917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1204</xdr:row>
      <xdr:rowOff>21167</xdr:rowOff>
    </xdr:from>
    <xdr:to>
      <xdr:col>13</xdr:col>
      <xdr:colOff>592667</xdr:colOff>
      <xdr:row>1206</xdr:row>
      <xdr:rowOff>0</xdr:rowOff>
    </xdr:to>
    <xdr:cxnSp macro="">
      <xdr:nvCxnSpPr>
        <xdr:cNvPr id="1806" name="Straight Arrow Connector 1805">
          <a:extLst>
            <a:ext uri="{FF2B5EF4-FFF2-40B4-BE49-F238E27FC236}">
              <a16:creationId xmlns:a16="http://schemas.microsoft.com/office/drawing/2014/main" id="{00000000-0008-0000-1200-00000E070000}"/>
            </a:ext>
          </a:extLst>
        </xdr:cNvPr>
        <xdr:cNvCxnSpPr/>
      </xdr:nvCxnSpPr>
      <xdr:spPr>
        <a:xfrm flipV="1">
          <a:off x="8794750" y="144991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1209</xdr:row>
      <xdr:rowOff>21166</xdr:rowOff>
    </xdr:from>
    <xdr:to>
      <xdr:col>13</xdr:col>
      <xdr:colOff>592667</xdr:colOff>
      <xdr:row>1210</xdr:row>
      <xdr:rowOff>169334</xdr:rowOff>
    </xdr:to>
    <xdr:cxnSp macro="">
      <xdr:nvCxnSpPr>
        <xdr:cNvPr id="1807" name="Straight Arrow Connector 1806">
          <a:extLst>
            <a:ext uri="{FF2B5EF4-FFF2-40B4-BE49-F238E27FC236}">
              <a16:creationId xmlns:a16="http://schemas.microsoft.com/office/drawing/2014/main" id="{00000000-0008-0000-1200-00000F070000}"/>
            </a:ext>
          </a:extLst>
        </xdr:cNvPr>
        <xdr:cNvCxnSpPr/>
      </xdr:nvCxnSpPr>
      <xdr:spPr>
        <a:xfrm>
          <a:off x="8784166" y="145944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1224</xdr:row>
      <xdr:rowOff>21167</xdr:rowOff>
    </xdr:from>
    <xdr:to>
      <xdr:col>13</xdr:col>
      <xdr:colOff>592667</xdr:colOff>
      <xdr:row>1226</xdr:row>
      <xdr:rowOff>63500</xdr:rowOff>
    </xdr:to>
    <xdr:cxnSp macro="">
      <xdr:nvCxnSpPr>
        <xdr:cNvPr id="1808" name="Straight Arrow Connector 1807">
          <a:extLst>
            <a:ext uri="{FF2B5EF4-FFF2-40B4-BE49-F238E27FC236}">
              <a16:creationId xmlns:a16="http://schemas.microsoft.com/office/drawing/2014/main" id="{00000000-0008-0000-1200-000010070000}"/>
            </a:ext>
          </a:extLst>
        </xdr:cNvPr>
        <xdr:cNvCxnSpPr/>
      </xdr:nvCxnSpPr>
      <xdr:spPr>
        <a:xfrm flipV="1">
          <a:off x="8794750" y="148992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1229</xdr:row>
      <xdr:rowOff>0</xdr:rowOff>
    </xdr:from>
    <xdr:to>
      <xdr:col>14</xdr:col>
      <xdr:colOff>10584</xdr:colOff>
      <xdr:row>1237</xdr:row>
      <xdr:rowOff>148167</xdr:rowOff>
    </xdr:to>
    <xdr:cxnSp macro="">
      <xdr:nvCxnSpPr>
        <xdr:cNvPr id="1809" name="Straight Arrow Connector 1808">
          <a:extLst>
            <a:ext uri="{FF2B5EF4-FFF2-40B4-BE49-F238E27FC236}">
              <a16:creationId xmlns:a16="http://schemas.microsoft.com/office/drawing/2014/main" id="{00000000-0008-0000-1200-000011070000}"/>
            </a:ext>
          </a:extLst>
        </xdr:cNvPr>
        <xdr:cNvCxnSpPr/>
      </xdr:nvCxnSpPr>
      <xdr:spPr>
        <a:xfrm>
          <a:off x="8805333" y="149923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95250</xdr:rowOff>
    </xdr:from>
    <xdr:to>
      <xdr:col>15</xdr:col>
      <xdr:colOff>582083</xdr:colOff>
      <xdr:row>1202</xdr:row>
      <xdr:rowOff>137583</xdr:rowOff>
    </xdr:to>
    <xdr:cxnSp macro="">
      <xdr:nvCxnSpPr>
        <xdr:cNvPr id="1810" name="Straight Arrow Connector 1809">
          <a:extLst>
            <a:ext uri="{FF2B5EF4-FFF2-40B4-BE49-F238E27FC236}">
              <a16:creationId xmlns:a16="http://schemas.microsoft.com/office/drawing/2014/main" id="{00000000-0008-0000-1200-000012070000}"/>
            </a:ext>
          </a:extLst>
        </xdr:cNvPr>
        <xdr:cNvCxnSpPr/>
      </xdr:nvCxnSpPr>
      <xdr:spPr>
        <a:xfrm>
          <a:off x="10593916" y="144303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1209</xdr:row>
      <xdr:rowOff>52916</xdr:rowOff>
    </xdr:from>
    <xdr:to>
      <xdr:col>16</xdr:col>
      <xdr:colOff>0</xdr:colOff>
      <xdr:row>1211</xdr:row>
      <xdr:rowOff>0</xdr:rowOff>
    </xdr:to>
    <xdr:cxnSp macro="">
      <xdr:nvCxnSpPr>
        <xdr:cNvPr id="1811" name="Straight Arrow Connector 1810">
          <a:extLst>
            <a:ext uri="{FF2B5EF4-FFF2-40B4-BE49-F238E27FC236}">
              <a16:creationId xmlns:a16="http://schemas.microsoft.com/office/drawing/2014/main" id="{00000000-0008-0000-1200-000013070000}"/>
            </a:ext>
          </a:extLst>
        </xdr:cNvPr>
        <xdr:cNvCxnSpPr/>
      </xdr:nvCxnSpPr>
      <xdr:spPr>
        <a:xfrm flipV="1">
          <a:off x="10541000" y="145975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21167</xdr:rowOff>
    </xdr:from>
    <xdr:to>
      <xdr:col>15</xdr:col>
      <xdr:colOff>592666</xdr:colOff>
      <xdr:row>1212</xdr:row>
      <xdr:rowOff>84667</xdr:rowOff>
    </xdr:to>
    <xdr:cxnSp macro="">
      <xdr:nvCxnSpPr>
        <xdr:cNvPr id="1812" name="Straight Arrow Connector 1811">
          <a:extLst>
            <a:ext uri="{FF2B5EF4-FFF2-40B4-BE49-F238E27FC236}">
              <a16:creationId xmlns:a16="http://schemas.microsoft.com/office/drawing/2014/main" id="{00000000-0008-0000-1200-000014070000}"/>
            </a:ext>
          </a:extLst>
        </xdr:cNvPr>
        <xdr:cNvCxnSpPr/>
      </xdr:nvCxnSpPr>
      <xdr:spPr>
        <a:xfrm>
          <a:off x="10530417" y="146325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0</xdr:rowOff>
    </xdr:from>
    <xdr:to>
      <xdr:col>16</xdr:col>
      <xdr:colOff>0</xdr:colOff>
      <xdr:row>1215</xdr:row>
      <xdr:rowOff>42334</xdr:rowOff>
    </xdr:to>
    <xdr:cxnSp macro="">
      <xdr:nvCxnSpPr>
        <xdr:cNvPr id="1813" name="Straight Arrow Connector 1812">
          <a:extLst>
            <a:ext uri="{FF2B5EF4-FFF2-40B4-BE49-F238E27FC236}">
              <a16:creationId xmlns:a16="http://schemas.microsoft.com/office/drawing/2014/main" id="{00000000-0008-0000-1200-000015070000}"/>
            </a:ext>
          </a:extLst>
        </xdr:cNvPr>
        <xdr:cNvCxnSpPr/>
      </xdr:nvCxnSpPr>
      <xdr:spPr>
        <a:xfrm>
          <a:off x="10530417" y="146304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1222</xdr:row>
      <xdr:rowOff>0</xdr:rowOff>
    </xdr:from>
    <xdr:to>
      <xdr:col>15</xdr:col>
      <xdr:colOff>603250</xdr:colOff>
      <xdr:row>1224</xdr:row>
      <xdr:rowOff>1</xdr:rowOff>
    </xdr:to>
    <xdr:cxnSp macro="">
      <xdr:nvCxnSpPr>
        <xdr:cNvPr id="1814" name="Straight Arrow Connector 1813">
          <a:extLst>
            <a:ext uri="{FF2B5EF4-FFF2-40B4-BE49-F238E27FC236}">
              <a16:creationId xmlns:a16="http://schemas.microsoft.com/office/drawing/2014/main" id="{00000000-0008-0000-1200-000016070000}"/>
            </a:ext>
          </a:extLst>
        </xdr:cNvPr>
        <xdr:cNvCxnSpPr/>
      </xdr:nvCxnSpPr>
      <xdr:spPr>
        <a:xfrm flipV="1">
          <a:off x="10530417" y="148590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1224</xdr:row>
      <xdr:rowOff>10584</xdr:rowOff>
    </xdr:from>
    <xdr:to>
      <xdr:col>15</xdr:col>
      <xdr:colOff>592666</xdr:colOff>
      <xdr:row>1225</xdr:row>
      <xdr:rowOff>95250</xdr:rowOff>
    </xdr:to>
    <xdr:cxnSp macro="">
      <xdr:nvCxnSpPr>
        <xdr:cNvPr id="1815" name="Straight Arrow Connector 1814">
          <a:extLst>
            <a:ext uri="{FF2B5EF4-FFF2-40B4-BE49-F238E27FC236}">
              <a16:creationId xmlns:a16="http://schemas.microsoft.com/office/drawing/2014/main" id="{00000000-0008-0000-1200-000017070000}"/>
            </a:ext>
          </a:extLst>
        </xdr:cNvPr>
        <xdr:cNvCxnSpPr/>
      </xdr:nvCxnSpPr>
      <xdr:spPr>
        <a:xfrm>
          <a:off x="10572750" y="148981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1224</xdr:row>
      <xdr:rowOff>10584</xdr:rowOff>
    </xdr:from>
    <xdr:to>
      <xdr:col>15</xdr:col>
      <xdr:colOff>560916</xdr:colOff>
      <xdr:row>1228</xdr:row>
      <xdr:rowOff>52917</xdr:rowOff>
    </xdr:to>
    <xdr:cxnSp macro="">
      <xdr:nvCxnSpPr>
        <xdr:cNvPr id="1816" name="Straight Arrow Connector 1815">
          <a:extLst>
            <a:ext uri="{FF2B5EF4-FFF2-40B4-BE49-F238E27FC236}">
              <a16:creationId xmlns:a16="http://schemas.microsoft.com/office/drawing/2014/main" id="{00000000-0008-0000-1200-000018070000}"/>
            </a:ext>
          </a:extLst>
        </xdr:cNvPr>
        <xdr:cNvCxnSpPr/>
      </xdr:nvCxnSpPr>
      <xdr:spPr>
        <a:xfrm>
          <a:off x="10551583" y="148981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1817" name="Straight Arrow Connector 1816">
          <a:extLst>
            <a:ext uri="{FF2B5EF4-FFF2-40B4-BE49-F238E27FC236}">
              <a16:creationId xmlns:a16="http://schemas.microsoft.com/office/drawing/2014/main" id="{00000000-0008-0000-1200-000019070000}"/>
            </a:ext>
          </a:extLst>
        </xdr:cNvPr>
        <xdr:cNvCxnSpPr/>
      </xdr:nvCxnSpPr>
      <xdr:spPr>
        <a:xfrm>
          <a:off x="10583333" y="149002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1238</xdr:row>
      <xdr:rowOff>0</xdr:rowOff>
    </xdr:from>
    <xdr:to>
      <xdr:col>16</xdr:col>
      <xdr:colOff>0</xdr:colOff>
      <xdr:row>1238</xdr:row>
      <xdr:rowOff>42334</xdr:rowOff>
    </xdr:to>
    <xdr:cxnSp macro="">
      <xdr:nvCxnSpPr>
        <xdr:cNvPr id="1818" name="Straight Arrow Connector 1817">
          <a:extLst>
            <a:ext uri="{FF2B5EF4-FFF2-40B4-BE49-F238E27FC236}">
              <a16:creationId xmlns:a16="http://schemas.microsoft.com/office/drawing/2014/main" id="{00000000-0008-0000-1200-00001A070000}"/>
            </a:ext>
          </a:extLst>
        </xdr:cNvPr>
        <xdr:cNvCxnSpPr/>
      </xdr:nvCxnSpPr>
      <xdr:spPr>
        <a:xfrm>
          <a:off x="10562166" y="151638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1238</xdr:row>
      <xdr:rowOff>21166</xdr:rowOff>
    </xdr:from>
    <xdr:to>
      <xdr:col>15</xdr:col>
      <xdr:colOff>560916</xdr:colOff>
      <xdr:row>1241</xdr:row>
      <xdr:rowOff>84667</xdr:rowOff>
    </xdr:to>
    <xdr:cxnSp macro="">
      <xdr:nvCxnSpPr>
        <xdr:cNvPr id="1819" name="Straight Arrow Connector 1818">
          <a:extLst>
            <a:ext uri="{FF2B5EF4-FFF2-40B4-BE49-F238E27FC236}">
              <a16:creationId xmlns:a16="http://schemas.microsoft.com/office/drawing/2014/main" id="{00000000-0008-0000-1200-00001B070000}"/>
            </a:ext>
          </a:extLst>
        </xdr:cNvPr>
        <xdr:cNvCxnSpPr/>
      </xdr:nvCxnSpPr>
      <xdr:spPr>
        <a:xfrm>
          <a:off x="10615083" y="151659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1238</xdr:row>
      <xdr:rowOff>52916</xdr:rowOff>
    </xdr:from>
    <xdr:to>
      <xdr:col>15</xdr:col>
      <xdr:colOff>592666</xdr:colOff>
      <xdr:row>1244</xdr:row>
      <xdr:rowOff>63501</xdr:rowOff>
    </xdr:to>
    <xdr:cxnSp macro="">
      <xdr:nvCxnSpPr>
        <xdr:cNvPr id="1820" name="Straight Arrow Connector 1819">
          <a:extLst>
            <a:ext uri="{FF2B5EF4-FFF2-40B4-BE49-F238E27FC236}">
              <a16:creationId xmlns:a16="http://schemas.microsoft.com/office/drawing/2014/main" id="{00000000-0008-0000-1200-00001C070000}"/>
            </a:ext>
          </a:extLst>
        </xdr:cNvPr>
        <xdr:cNvCxnSpPr/>
      </xdr:nvCxnSpPr>
      <xdr:spPr>
        <a:xfrm>
          <a:off x="10572750" y="151690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1235</xdr:row>
      <xdr:rowOff>52917</xdr:rowOff>
    </xdr:from>
    <xdr:to>
      <xdr:col>15</xdr:col>
      <xdr:colOff>603250</xdr:colOff>
      <xdr:row>1237</xdr:row>
      <xdr:rowOff>148167</xdr:rowOff>
    </xdr:to>
    <xdr:cxnSp macro="">
      <xdr:nvCxnSpPr>
        <xdr:cNvPr id="1821" name="Straight Arrow Connector 1820">
          <a:extLst>
            <a:ext uri="{FF2B5EF4-FFF2-40B4-BE49-F238E27FC236}">
              <a16:creationId xmlns:a16="http://schemas.microsoft.com/office/drawing/2014/main" id="{00000000-0008-0000-1200-00001D070000}"/>
            </a:ext>
          </a:extLst>
        </xdr:cNvPr>
        <xdr:cNvCxnSpPr/>
      </xdr:nvCxnSpPr>
      <xdr:spPr>
        <a:xfrm flipV="1">
          <a:off x="10583333" y="151119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1279</xdr:row>
      <xdr:rowOff>95250</xdr:rowOff>
    </xdr:from>
    <xdr:to>
      <xdr:col>8</xdr:col>
      <xdr:colOff>21167</xdr:colOff>
      <xdr:row>1311</xdr:row>
      <xdr:rowOff>148166</xdr:rowOff>
    </xdr:to>
    <xdr:cxnSp macro="">
      <xdr:nvCxnSpPr>
        <xdr:cNvPr id="1822" name="Straight Arrow Connector 1821">
          <a:extLst>
            <a:ext uri="{FF2B5EF4-FFF2-40B4-BE49-F238E27FC236}">
              <a16:creationId xmlns:a16="http://schemas.microsoft.com/office/drawing/2014/main" id="{00000000-0008-0000-1200-00001E070000}"/>
            </a:ext>
          </a:extLst>
        </xdr:cNvPr>
        <xdr:cNvCxnSpPr/>
      </xdr:nvCxnSpPr>
      <xdr:spPr>
        <a:xfrm>
          <a:off x="5080000" y="1597342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1250</xdr:row>
      <xdr:rowOff>137583</xdr:rowOff>
    </xdr:from>
    <xdr:to>
      <xdr:col>9</xdr:col>
      <xdr:colOff>603250</xdr:colOff>
      <xdr:row>1256</xdr:row>
      <xdr:rowOff>21166</xdr:rowOff>
    </xdr:to>
    <xdr:cxnSp macro="">
      <xdr:nvCxnSpPr>
        <xdr:cNvPr id="1823" name="Straight Arrow Connector 1822">
          <a:extLst>
            <a:ext uri="{FF2B5EF4-FFF2-40B4-BE49-F238E27FC236}">
              <a16:creationId xmlns:a16="http://schemas.microsoft.com/office/drawing/2014/main" id="{00000000-0008-0000-1200-00001F070000}"/>
            </a:ext>
          </a:extLst>
        </xdr:cNvPr>
        <xdr:cNvCxnSpPr/>
      </xdr:nvCxnSpPr>
      <xdr:spPr>
        <a:xfrm flipV="1">
          <a:off x="6381750" y="154061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1259</xdr:row>
      <xdr:rowOff>0</xdr:rowOff>
    </xdr:from>
    <xdr:to>
      <xdr:col>9</xdr:col>
      <xdr:colOff>582083</xdr:colOff>
      <xdr:row>1267</xdr:row>
      <xdr:rowOff>10583</xdr:rowOff>
    </xdr:to>
    <xdr:cxnSp macro="">
      <xdr:nvCxnSpPr>
        <xdr:cNvPr id="1824" name="Straight Arrow Connector 1823">
          <a:extLst>
            <a:ext uri="{FF2B5EF4-FFF2-40B4-BE49-F238E27FC236}">
              <a16:creationId xmlns:a16="http://schemas.microsoft.com/office/drawing/2014/main" id="{00000000-0008-0000-1200-000020070000}"/>
            </a:ext>
          </a:extLst>
        </xdr:cNvPr>
        <xdr:cNvCxnSpPr/>
      </xdr:nvCxnSpPr>
      <xdr:spPr>
        <a:xfrm>
          <a:off x="6413500" y="155638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1825" name="Straight Arrow Connector 1824">
          <a:extLst>
            <a:ext uri="{FF2B5EF4-FFF2-40B4-BE49-F238E27FC236}">
              <a16:creationId xmlns:a16="http://schemas.microsoft.com/office/drawing/2014/main" id="{00000000-0008-0000-1200-000021070000}"/>
            </a:ext>
          </a:extLst>
        </xdr:cNvPr>
        <xdr:cNvCxnSpPr/>
      </xdr:nvCxnSpPr>
      <xdr:spPr>
        <a:xfrm flipV="1">
          <a:off x="7609417"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1826" name="Straight Arrow Connector 1825">
          <a:extLst>
            <a:ext uri="{FF2B5EF4-FFF2-40B4-BE49-F238E27FC236}">
              <a16:creationId xmlns:a16="http://schemas.microsoft.com/office/drawing/2014/main" id="{00000000-0008-0000-1200-000022070000}"/>
            </a:ext>
          </a:extLst>
        </xdr:cNvPr>
        <xdr:cNvCxnSpPr/>
      </xdr:nvCxnSpPr>
      <xdr:spPr>
        <a:xfrm>
          <a:off x="7598834"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1827" name="Straight Arrow Connector 1826">
          <a:extLst>
            <a:ext uri="{FF2B5EF4-FFF2-40B4-BE49-F238E27FC236}">
              <a16:creationId xmlns:a16="http://schemas.microsoft.com/office/drawing/2014/main" id="{00000000-0008-0000-1200-000023070000}"/>
            </a:ext>
          </a:extLst>
        </xdr:cNvPr>
        <xdr:cNvCxnSpPr/>
      </xdr:nvCxnSpPr>
      <xdr:spPr>
        <a:xfrm flipV="1">
          <a:off x="8794750" y="155850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1828" name="Straight Arrow Connector 1827">
          <a:extLst>
            <a:ext uri="{FF2B5EF4-FFF2-40B4-BE49-F238E27FC236}">
              <a16:creationId xmlns:a16="http://schemas.microsoft.com/office/drawing/2014/main" id="{00000000-0008-0000-1200-000024070000}"/>
            </a:ext>
          </a:extLst>
        </xdr:cNvPr>
        <xdr:cNvCxnSpPr/>
      </xdr:nvCxnSpPr>
      <xdr:spPr>
        <a:xfrm>
          <a:off x="8784166" y="156802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1829" name="Straight Arrow Connector 1828">
          <a:extLst>
            <a:ext uri="{FF2B5EF4-FFF2-40B4-BE49-F238E27FC236}">
              <a16:creationId xmlns:a16="http://schemas.microsoft.com/office/drawing/2014/main" id="{00000000-0008-0000-1200-000025070000}"/>
            </a:ext>
          </a:extLst>
        </xdr:cNvPr>
        <xdr:cNvCxnSpPr/>
      </xdr:nvCxnSpPr>
      <xdr:spPr>
        <a:xfrm flipV="1">
          <a:off x="879475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1830" name="Straight Arrow Connector 1829">
          <a:extLst>
            <a:ext uri="{FF2B5EF4-FFF2-40B4-BE49-F238E27FC236}">
              <a16:creationId xmlns:a16="http://schemas.microsoft.com/office/drawing/2014/main" id="{00000000-0008-0000-1200-000026070000}"/>
            </a:ext>
          </a:extLst>
        </xdr:cNvPr>
        <xdr:cNvCxnSpPr/>
      </xdr:nvCxnSpPr>
      <xdr:spPr>
        <a:xfrm>
          <a:off x="8805333" y="160782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1252</xdr:row>
      <xdr:rowOff>0</xdr:rowOff>
    </xdr:from>
    <xdr:to>
      <xdr:col>15</xdr:col>
      <xdr:colOff>603250</xdr:colOff>
      <xdr:row>1257</xdr:row>
      <xdr:rowOff>31750</xdr:rowOff>
    </xdr:to>
    <xdr:cxnSp macro="">
      <xdr:nvCxnSpPr>
        <xdr:cNvPr id="1831" name="Straight Arrow Connector 1830">
          <a:extLst>
            <a:ext uri="{FF2B5EF4-FFF2-40B4-BE49-F238E27FC236}">
              <a16:creationId xmlns:a16="http://schemas.microsoft.com/office/drawing/2014/main" id="{00000000-0008-0000-1200-000027070000}"/>
            </a:ext>
          </a:extLst>
        </xdr:cNvPr>
        <xdr:cNvCxnSpPr/>
      </xdr:nvCxnSpPr>
      <xdr:spPr>
        <a:xfrm flipV="1">
          <a:off x="10541000"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1832" name="Straight Arrow Connector 1831">
          <a:extLst>
            <a:ext uri="{FF2B5EF4-FFF2-40B4-BE49-F238E27FC236}">
              <a16:creationId xmlns:a16="http://schemas.microsoft.com/office/drawing/2014/main" id="{00000000-0008-0000-1200-000028070000}"/>
            </a:ext>
          </a:extLst>
        </xdr:cNvPr>
        <xdr:cNvCxnSpPr/>
      </xdr:nvCxnSpPr>
      <xdr:spPr>
        <a:xfrm flipV="1">
          <a:off x="10583333"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1833" name="Straight Arrow Connector 1832">
          <a:extLst>
            <a:ext uri="{FF2B5EF4-FFF2-40B4-BE49-F238E27FC236}">
              <a16:creationId xmlns:a16="http://schemas.microsoft.com/office/drawing/2014/main" id="{00000000-0008-0000-1200-000029070000}"/>
            </a:ext>
          </a:extLst>
        </xdr:cNvPr>
        <xdr:cNvCxnSpPr/>
      </xdr:nvCxnSpPr>
      <xdr:spPr>
        <a:xfrm>
          <a:off x="10604500"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1834" name="Straight Arrow Connector 1833">
          <a:extLst>
            <a:ext uri="{FF2B5EF4-FFF2-40B4-BE49-F238E27FC236}">
              <a16:creationId xmlns:a16="http://schemas.microsoft.com/office/drawing/2014/main" id="{00000000-0008-0000-1200-00002A070000}"/>
            </a:ext>
          </a:extLst>
        </xdr:cNvPr>
        <xdr:cNvCxnSpPr/>
      </xdr:nvCxnSpPr>
      <xdr:spPr>
        <a:xfrm>
          <a:off x="10519834" y="1553633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1265</xdr:row>
      <xdr:rowOff>52916</xdr:rowOff>
    </xdr:from>
    <xdr:to>
      <xdr:col>16</xdr:col>
      <xdr:colOff>0</xdr:colOff>
      <xdr:row>1267</xdr:row>
      <xdr:rowOff>0</xdr:rowOff>
    </xdr:to>
    <xdr:cxnSp macro="">
      <xdr:nvCxnSpPr>
        <xdr:cNvPr id="1835" name="Straight Arrow Connector 1834">
          <a:extLst>
            <a:ext uri="{FF2B5EF4-FFF2-40B4-BE49-F238E27FC236}">
              <a16:creationId xmlns:a16="http://schemas.microsoft.com/office/drawing/2014/main" id="{00000000-0008-0000-1200-00002B070000}"/>
            </a:ext>
          </a:extLst>
        </xdr:cNvPr>
        <xdr:cNvCxnSpPr/>
      </xdr:nvCxnSpPr>
      <xdr:spPr>
        <a:xfrm flipV="1">
          <a:off x="10541000" y="156834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1836" name="Straight Arrow Connector 1835">
          <a:extLst>
            <a:ext uri="{FF2B5EF4-FFF2-40B4-BE49-F238E27FC236}">
              <a16:creationId xmlns:a16="http://schemas.microsoft.com/office/drawing/2014/main" id="{00000000-0008-0000-1200-00002C070000}"/>
            </a:ext>
          </a:extLst>
        </xdr:cNvPr>
        <xdr:cNvCxnSpPr/>
      </xdr:nvCxnSpPr>
      <xdr:spPr>
        <a:xfrm>
          <a:off x="10551583"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1837" name="Straight Arrow Connector 1836">
          <a:extLst>
            <a:ext uri="{FF2B5EF4-FFF2-40B4-BE49-F238E27FC236}">
              <a16:creationId xmlns:a16="http://schemas.microsoft.com/office/drawing/2014/main" id="{00000000-0008-0000-1200-00002D070000}"/>
            </a:ext>
          </a:extLst>
        </xdr:cNvPr>
        <xdr:cNvCxnSpPr/>
      </xdr:nvCxnSpPr>
      <xdr:spPr>
        <a:xfrm>
          <a:off x="10530417" y="1571836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1838" name="Straight Arrow Connector 1837">
          <a:extLst>
            <a:ext uri="{FF2B5EF4-FFF2-40B4-BE49-F238E27FC236}">
              <a16:creationId xmlns:a16="http://schemas.microsoft.com/office/drawing/2014/main" id="{00000000-0008-0000-1200-00002E070000}"/>
            </a:ext>
          </a:extLst>
        </xdr:cNvPr>
        <xdr:cNvCxnSpPr/>
      </xdr:nvCxnSpPr>
      <xdr:spPr>
        <a:xfrm>
          <a:off x="10541000" y="1571942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1304</xdr:row>
      <xdr:rowOff>42333</xdr:rowOff>
    </xdr:from>
    <xdr:to>
      <xdr:col>9</xdr:col>
      <xdr:colOff>592666</xdr:colOff>
      <xdr:row>1312</xdr:row>
      <xdr:rowOff>42333</xdr:rowOff>
    </xdr:to>
    <xdr:cxnSp macro="">
      <xdr:nvCxnSpPr>
        <xdr:cNvPr id="1839" name="Straight Arrow Connector 1838">
          <a:extLst>
            <a:ext uri="{FF2B5EF4-FFF2-40B4-BE49-F238E27FC236}">
              <a16:creationId xmlns:a16="http://schemas.microsoft.com/office/drawing/2014/main" id="{00000000-0008-0000-1200-00002F070000}"/>
            </a:ext>
          </a:extLst>
        </xdr:cNvPr>
        <xdr:cNvCxnSpPr/>
      </xdr:nvCxnSpPr>
      <xdr:spPr>
        <a:xfrm flipV="1">
          <a:off x="6392333" y="164443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1314</xdr:row>
      <xdr:rowOff>169334</xdr:rowOff>
    </xdr:from>
    <xdr:to>
      <xdr:col>9</xdr:col>
      <xdr:colOff>603250</xdr:colOff>
      <xdr:row>1323</xdr:row>
      <xdr:rowOff>31750</xdr:rowOff>
    </xdr:to>
    <xdr:cxnSp macro="">
      <xdr:nvCxnSpPr>
        <xdr:cNvPr id="1840" name="Straight Arrow Connector 1839">
          <a:extLst>
            <a:ext uri="{FF2B5EF4-FFF2-40B4-BE49-F238E27FC236}">
              <a16:creationId xmlns:a16="http://schemas.microsoft.com/office/drawing/2014/main" id="{00000000-0008-0000-1200-000030070000}"/>
            </a:ext>
          </a:extLst>
        </xdr:cNvPr>
        <xdr:cNvCxnSpPr/>
      </xdr:nvCxnSpPr>
      <xdr:spPr>
        <a:xfrm>
          <a:off x="6413500" y="166475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1841" name="Straight Arrow Connector 1840">
          <a:extLst>
            <a:ext uri="{FF2B5EF4-FFF2-40B4-BE49-F238E27FC236}">
              <a16:creationId xmlns:a16="http://schemas.microsoft.com/office/drawing/2014/main" id="{00000000-0008-0000-1200-000031070000}"/>
            </a:ext>
          </a:extLst>
        </xdr:cNvPr>
        <xdr:cNvCxnSpPr/>
      </xdr:nvCxnSpPr>
      <xdr:spPr>
        <a:xfrm flipV="1">
          <a:off x="7556500" y="1676082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1842" name="Straight Arrow Connector 1841">
          <a:extLst>
            <a:ext uri="{FF2B5EF4-FFF2-40B4-BE49-F238E27FC236}">
              <a16:creationId xmlns:a16="http://schemas.microsoft.com/office/drawing/2014/main" id="{00000000-0008-0000-1200-000032070000}"/>
            </a:ext>
          </a:extLst>
        </xdr:cNvPr>
        <xdr:cNvCxnSpPr/>
      </xdr:nvCxnSpPr>
      <xdr:spPr>
        <a:xfrm flipV="1">
          <a:off x="10530417"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1843" name="Straight Arrow Connector 1842">
          <a:extLst>
            <a:ext uri="{FF2B5EF4-FFF2-40B4-BE49-F238E27FC236}">
              <a16:creationId xmlns:a16="http://schemas.microsoft.com/office/drawing/2014/main" id="{00000000-0008-0000-1200-000033070000}"/>
            </a:ext>
          </a:extLst>
        </xdr:cNvPr>
        <xdr:cNvCxnSpPr/>
      </xdr:nvCxnSpPr>
      <xdr:spPr>
        <a:xfrm>
          <a:off x="10572750"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1844" name="Straight Arrow Connector 1843">
          <a:extLst>
            <a:ext uri="{FF2B5EF4-FFF2-40B4-BE49-F238E27FC236}">
              <a16:creationId xmlns:a16="http://schemas.microsoft.com/office/drawing/2014/main" id="{00000000-0008-0000-1200-000034070000}"/>
            </a:ext>
          </a:extLst>
        </xdr:cNvPr>
        <xdr:cNvCxnSpPr/>
      </xdr:nvCxnSpPr>
      <xdr:spPr>
        <a:xfrm>
          <a:off x="10551583"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1845" name="Straight Arrow Connector 1844">
          <a:extLst>
            <a:ext uri="{FF2B5EF4-FFF2-40B4-BE49-F238E27FC236}">
              <a16:creationId xmlns:a16="http://schemas.microsoft.com/office/drawing/2014/main" id="{00000000-0008-0000-1200-000035070000}"/>
            </a:ext>
          </a:extLst>
        </xdr:cNvPr>
        <xdr:cNvCxnSpPr/>
      </xdr:nvCxnSpPr>
      <xdr:spPr>
        <a:xfrm>
          <a:off x="10583333" y="159861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1846" name="Straight Arrow Connector 1845">
          <a:extLst>
            <a:ext uri="{FF2B5EF4-FFF2-40B4-BE49-F238E27FC236}">
              <a16:creationId xmlns:a16="http://schemas.microsoft.com/office/drawing/2014/main" id="{00000000-0008-0000-1200-000036070000}"/>
            </a:ext>
          </a:extLst>
        </xdr:cNvPr>
        <xdr:cNvCxnSpPr/>
      </xdr:nvCxnSpPr>
      <xdr:spPr>
        <a:xfrm>
          <a:off x="10562166" y="162496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1847" name="Straight Arrow Connector 1846">
          <a:extLst>
            <a:ext uri="{FF2B5EF4-FFF2-40B4-BE49-F238E27FC236}">
              <a16:creationId xmlns:a16="http://schemas.microsoft.com/office/drawing/2014/main" id="{00000000-0008-0000-1200-000037070000}"/>
            </a:ext>
          </a:extLst>
        </xdr:cNvPr>
        <xdr:cNvCxnSpPr/>
      </xdr:nvCxnSpPr>
      <xdr:spPr>
        <a:xfrm>
          <a:off x="10615083"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1848" name="Straight Arrow Connector 1847">
          <a:extLst>
            <a:ext uri="{FF2B5EF4-FFF2-40B4-BE49-F238E27FC236}">
              <a16:creationId xmlns:a16="http://schemas.microsoft.com/office/drawing/2014/main" id="{00000000-0008-0000-1200-000038070000}"/>
            </a:ext>
          </a:extLst>
        </xdr:cNvPr>
        <xdr:cNvCxnSpPr/>
      </xdr:nvCxnSpPr>
      <xdr:spPr>
        <a:xfrm>
          <a:off x="10572750"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1849" name="Straight Arrow Connector 1848">
          <a:extLst>
            <a:ext uri="{FF2B5EF4-FFF2-40B4-BE49-F238E27FC236}">
              <a16:creationId xmlns:a16="http://schemas.microsoft.com/office/drawing/2014/main" id="{00000000-0008-0000-1200-000039070000}"/>
            </a:ext>
          </a:extLst>
        </xdr:cNvPr>
        <xdr:cNvCxnSpPr/>
      </xdr:nvCxnSpPr>
      <xdr:spPr>
        <a:xfrm flipV="1">
          <a:off x="10562166"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1850" name="Straight Arrow Connector 1849">
          <a:extLst>
            <a:ext uri="{FF2B5EF4-FFF2-40B4-BE49-F238E27FC236}">
              <a16:creationId xmlns:a16="http://schemas.microsoft.com/office/drawing/2014/main" id="{00000000-0008-0000-1200-00003A070000}"/>
            </a:ext>
          </a:extLst>
        </xdr:cNvPr>
        <xdr:cNvCxnSpPr/>
      </xdr:nvCxnSpPr>
      <xdr:spPr>
        <a:xfrm flipV="1">
          <a:off x="10604500"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1851" name="Straight Arrow Connector 1850">
          <a:extLst>
            <a:ext uri="{FF2B5EF4-FFF2-40B4-BE49-F238E27FC236}">
              <a16:creationId xmlns:a16="http://schemas.microsoft.com/office/drawing/2014/main" id="{00000000-0008-0000-1200-00003B070000}"/>
            </a:ext>
          </a:extLst>
        </xdr:cNvPr>
        <xdr:cNvCxnSpPr/>
      </xdr:nvCxnSpPr>
      <xdr:spPr>
        <a:xfrm>
          <a:off x="10593916"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1852" name="Straight Arrow Connector 1851">
          <a:extLst>
            <a:ext uri="{FF2B5EF4-FFF2-40B4-BE49-F238E27FC236}">
              <a16:creationId xmlns:a16="http://schemas.microsoft.com/office/drawing/2014/main" id="{00000000-0008-0000-1200-00003C070000}"/>
            </a:ext>
          </a:extLst>
        </xdr:cNvPr>
        <xdr:cNvCxnSpPr/>
      </xdr:nvCxnSpPr>
      <xdr:spPr>
        <a:xfrm>
          <a:off x="10572750" y="1681374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1853" name="Straight Arrow Connector 1852">
          <a:extLst>
            <a:ext uri="{FF2B5EF4-FFF2-40B4-BE49-F238E27FC236}">
              <a16:creationId xmlns:a16="http://schemas.microsoft.com/office/drawing/2014/main" id="{00000000-0008-0000-1200-00003D070000}"/>
            </a:ext>
          </a:extLst>
        </xdr:cNvPr>
        <xdr:cNvCxnSpPr/>
      </xdr:nvCxnSpPr>
      <xdr:spPr>
        <a:xfrm flipV="1">
          <a:off x="10583333"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1854" name="Straight Arrow Connector 1853">
          <a:extLst>
            <a:ext uri="{FF2B5EF4-FFF2-40B4-BE49-F238E27FC236}">
              <a16:creationId xmlns:a16="http://schemas.microsoft.com/office/drawing/2014/main" id="{00000000-0008-0000-1200-00003E070000}"/>
            </a:ext>
          </a:extLst>
        </xdr:cNvPr>
        <xdr:cNvCxnSpPr/>
      </xdr:nvCxnSpPr>
      <xdr:spPr>
        <a:xfrm>
          <a:off x="7598834"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1855" name="Straight Arrow Connector 1854">
          <a:extLst>
            <a:ext uri="{FF2B5EF4-FFF2-40B4-BE49-F238E27FC236}">
              <a16:creationId xmlns:a16="http://schemas.microsoft.com/office/drawing/2014/main" id="{00000000-0008-0000-1200-00003F070000}"/>
            </a:ext>
          </a:extLst>
        </xdr:cNvPr>
        <xdr:cNvCxnSpPr/>
      </xdr:nvCxnSpPr>
      <xdr:spPr>
        <a:xfrm flipV="1">
          <a:off x="8794750" y="16670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1856" name="Straight Arrow Connector 1855">
          <a:extLst>
            <a:ext uri="{FF2B5EF4-FFF2-40B4-BE49-F238E27FC236}">
              <a16:creationId xmlns:a16="http://schemas.microsoft.com/office/drawing/2014/main" id="{00000000-0008-0000-1200-000040070000}"/>
            </a:ext>
          </a:extLst>
        </xdr:cNvPr>
        <xdr:cNvCxnSpPr/>
      </xdr:nvCxnSpPr>
      <xdr:spPr>
        <a:xfrm>
          <a:off x="8784166" y="16766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1857" name="Straight Arrow Connector 1856">
          <a:extLst>
            <a:ext uri="{FF2B5EF4-FFF2-40B4-BE49-F238E27FC236}">
              <a16:creationId xmlns:a16="http://schemas.microsoft.com/office/drawing/2014/main" id="{00000000-0008-0000-1200-000041070000}"/>
            </a:ext>
          </a:extLst>
        </xdr:cNvPr>
        <xdr:cNvCxnSpPr/>
      </xdr:nvCxnSpPr>
      <xdr:spPr>
        <a:xfrm flipV="1">
          <a:off x="879475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1858" name="Straight Arrow Connector 1857">
          <a:extLst>
            <a:ext uri="{FF2B5EF4-FFF2-40B4-BE49-F238E27FC236}">
              <a16:creationId xmlns:a16="http://schemas.microsoft.com/office/drawing/2014/main" id="{00000000-0008-0000-1200-000042070000}"/>
            </a:ext>
          </a:extLst>
        </xdr:cNvPr>
        <xdr:cNvCxnSpPr/>
      </xdr:nvCxnSpPr>
      <xdr:spPr>
        <a:xfrm>
          <a:off x="8805333" y="17164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1859" name="Straight Arrow Connector 1858">
          <a:extLst>
            <a:ext uri="{FF2B5EF4-FFF2-40B4-BE49-F238E27FC236}">
              <a16:creationId xmlns:a16="http://schemas.microsoft.com/office/drawing/2014/main" id="{00000000-0008-0000-1200-000043070000}"/>
            </a:ext>
          </a:extLst>
        </xdr:cNvPr>
        <xdr:cNvCxnSpPr/>
      </xdr:nvCxnSpPr>
      <xdr:spPr>
        <a:xfrm>
          <a:off x="10593916"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1321</xdr:row>
      <xdr:rowOff>52916</xdr:rowOff>
    </xdr:from>
    <xdr:to>
      <xdr:col>16</xdr:col>
      <xdr:colOff>0</xdr:colOff>
      <xdr:row>1323</xdr:row>
      <xdr:rowOff>0</xdr:rowOff>
    </xdr:to>
    <xdr:cxnSp macro="">
      <xdr:nvCxnSpPr>
        <xdr:cNvPr id="1860" name="Straight Arrow Connector 1859">
          <a:extLst>
            <a:ext uri="{FF2B5EF4-FFF2-40B4-BE49-F238E27FC236}">
              <a16:creationId xmlns:a16="http://schemas.microsoft.com/office/drawing/2014/main" id="{00000000-0008-0000-1200-000044070000}"/>
            </a:ext>
          </a:extLst>
        </xdr:cNvPr>
        <xdr:cNvCxnSpPr/>
      </xdr:nvCxnSpPr>
      <xdr:spPr>
        <a:xfrm flipV="1">
          <a:off x="10541000" y="16769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1861" name="Straight Arrow Connector 1860">
          <a:extLst>
            <a:ext uri="{FF2B5EF4-FFF2-40B4-BE49-F238E27FC236}">
              <a16:creationId xmlns:a16="http://schemas.microsoft.com/office/drawing/2014/main" id="{00000000-0008-0000-1200-000045070000}"/>
            </a:ext>
          </a:extLst>
        </xdr:cNvPr>
        <xdr:cNvCxnSpPr/>
      </xdr:nvCxnSpPr>
      <xdr:spPr>
        <a:xfrm>
          <a:off x="10530417"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1862" name="Straight Arrow Connector 1861">
          <a:extLst>
            <a:ext uri="{FF2B5EF4-FFF2-40B4-BE49-F238E27FC236}">
              <a16:creationId xmlns:a16="http://schemas.microsoft.com/office/drawing/2014/main" id="{00000000-0008-0000-1200-000046070000}"/>
            </a:ext>
          </a:extLst>
        </xdr:cNvPr>
        <xdr:cNvCxnSpPr/>
      </xdr:nvCxnSpPr>
      <xdr:spPr>
        <a:xfrm>
          <a:off x="10530417" y="1680210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1863" name="Straight Arrow Connector 1862">
          <a:extLst>
            <a:ext uri="{FF2B5EF4-FFF2-40B4-BE49-F238E27FC236}">
              <a16:creationId xmlns:a16="http://schemas.microsoft.com/office/drawing/2014/main" id="{00000000-0008-0000-1200-000047070000}"/>
            </a:ext>
          </a:extLst>
        </xdr:cNvPr>
        <xdr:cNvCxnSpPr/>
      </xdr:nvCxnSpPr>
      <xdr:spPr>
        <a:xfrm flipV="1">
          <a:off x="10530417"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1864" name="Straight Arrow Connector 1863">
          <a:extLst>
            <a:ext uri="{FF2B5EF4-FFF2-40B4-BE49-F238E27FC236}">
              <a16:creationId xmlns:a16="http://schemas.microsoft.com/office/drawing/2014/main" id="{00000000-0008-0000-1200-000048070000}"/>
            </a:ext>
          </a:extLst>
        </xdr:cNvPr>
        <xdr:cNvCxnSpPr/>
      </xdr:nvCxnSpPr>
      <xdr:spPr>
        <a:xfrm>
          <a:off x="10572750"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1865" name="Straight Arrow Connector 1864">
          <a:extLst>
            <a:ext uri="{FF2B5EF4-FFF2-40B4-BE49-F238E27FC236}">
              <a16:creationId xmlns:a16="http://schemas.microsoft.com/office/drawing/2014/main" id="{00000000-0008-0000-1200-000049070000}"/>
            </a:ext>
          </a:extLst>
        </xdr:cNvPr>
        <xdr:cNvCxnSpPr/>
      </xdr:nvCxnSpPr>
      <xdr:spPr>
        <a:xfrm>
          <a:off x="10551583"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1866" name="Straight Arrow Connector 1865">
          <a:extLst>
            <a:ext uri="{FF2B5EF4-FFF2-40B4-BE49-F238E27FC236}">
              <a16:creationId xmlns:a16="http://schemas.microsoft.com/office/drawing/2014/main" id="{00000000-0008-0000-1200-00004A070000}"/>
            </a:ext>
          </a:extLst>
        </xdr:cNvPr>
        <xdr:cNvCxnSpPr/>
      </xdr:nvCxnSpPr>
      <xdr:spPr>
        <a:xfrm>
          <a:off x="10583333" y="17071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1867" name="Straight Arrow Connector 1866">
          <a:extLst>
            <a:ext uri="{FF2B5EF4-FFF2-40B4-BE49-F238E27FC236}">
              <a16:creationId xmlns:a16="http://schemas.microsoft.com/office/drawing/2014/main" id="{00000000-0008-0000-1200-00004B070000}"/>
            </a:ext>
          </a:extLst>
        </xdr:cNvPr>
        <xdr:cNvCxnSpPr/>
      </xdr:nvCxnSpPr>
      <xdr:spPr>
        <a:xfrm>
          <a:off x="10562166" y="17335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1868" name="Straight Arrow Connector 1867">
          <a:extLst>
            <a:ext uri="{FF2B5EF4-FFF2-40B4-BE49-F238E27FC236}">
              <a16:creationId xmlns:a16="http://schemas.microsoft.com/office/drawing/2014/main" id="{00000000-0008-0000-1200-00004C070000}"/>
            </a:ext>
          </a:extLst>
        </xdr:cNvPr>
        <xdr:cNvCxnSpPr/>
      </xdr:nvCxnSpPr>
      <xdr:spPr>
        <a:xfrm>
          <a:off x="10615083"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1869" name="Straight Arrow Connector 1868">
          <a:extLst>
            <a:ext uri="{FF2B5EF4-FFF2-40B4-BE49-F238E27FC236}">
              <a16:creationId xmlns:a16="http://schemas.microsoft.com/office/drawing/2014/main" id="{00000000-0008-0000-1200-00004D070000}"/>
            </a:ext>
          </a:extLst>
        </xdr:cNvPr>
        <xdr:cNvCxnSpPr/>
      </xdr:nvCxnSpPr>
      <xdr:spPr>
        <a:xfrm>
          <a:off x="10572750"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1870" name="Straight Arrow Connector 1869">
          <a:extLst>
            <a:ext uri="{FF2B5EF4-FFF2-40B4-BE49-F238E27FC236}">
              <a16:creationId xmlns:a16="http://schemas.microsoft.com/office/drawing/2014/main" id="{00000000-0008-0000-1200-00004E070000}"/>
            </a:ext>
          </a:extLst>
        </xdr:cNvPr>
        <xdr:cNvCxnSpPr/>
      </xdr:nvCxnSpPr>
      <xdr:spPr>
        <a:xfrm flipV="1">
          <a:off x="10583333"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1258</xdr:row>
      <xdr:rowOff>127000</xdr:rowOff>
    </xdr:from>
    <xdr:to>
      <xdr:col>8</xdr:col>
      <xdr:colOff>63500</xdr:colOff>
      <xdr:row>1277</xdr:row>
      <xdr:rowOff>0</xdr:rowOff>
    </xdr:to>
    <xdr:cxnSp macro="">
      <xdr:nvCxnSpPr>
        <xdr:cNvPr id="1871" name="Straight Arrow Connector 1870">
          <a:extLst>
            <a:ext uri="{FF2B5EF4-FFF2-40B4-BE49-F238E27FC236}">
              <a16:creationId xmlns:a16="http://schemas.microsoft.com/office/drawing/2014/main" id="{00000000-0008-0000-1200-00004F070000}"/>
            </a:ext>
          </a:extLst>
        </xdr:cNvPr>
        <xdr:cNvCxnSpPr/>
      </xdr:nvCxnSpPr>
      <xdr:spPr>
        <a:xfrm flipV="1">
          <a:off x="5207000" y="1555750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1872" name="Straight Arrow Connector 1871">
          <a:extLst>
            <a:ext uri="{FF2B5EF4-FFF2-40B4-BE49-F238E27FC236}">
              <a16:creationId xmlns:a16="http://schemas.microsoft.com/office/drawing/2014/main" id="{00000000-0008-0000-1200-000050070000}"/>
            </a:ext>
          </a:extLst>
        </xdr:cNvPr>
        <xdr:cNvCxnSpPr/>
      </xdr:nvCxnSpPr>
      <xdr:spPr>
        <a:xfrm flipV="1">
          <a:off x="603250" y="175842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1873" name="Straight Arrow Connector 1872">
          <a:extLst>
            <a:ext uri="{FF2B5EF4-FFF2-40B4-BE49-F238E27FC236}">
              <a16:creationId xmlns:a16="http://schemas.microsoft.com/office/drawing/2014/main" id="{00000000-0008-0000-1200-000051070000}"/>
            </a:ext>
          </a:extLst>
        </xdr:cNvPr>
        <xdr:cNvCxnSpPr/>
      </xdr:nvCxnSpPr>
      <xdr:spPr>
        <a:xfrm>
          <a:off x="603250" y="194669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1874" name="Straight Arrow Connector 1873">
          <a:extLst>
            <a:ext uri="{FF2B5EF4-FFF2-40B4-BE49-F238E27FC236}">
              <a16:creationId xmlns:a16="http://schemas.microsoft.com/office/drawing/2014/main" id="{00000000-0008-0000-1200-000052070000}"/>
            </a:ext>
          </a:extLst>
        </xdr:cNvPr>
        <xdr:cNvCxnSpPr/>
      </xdr:nvCxnSpPr>
      <xdr:spPr>
        <a:xfrm flipV="1">
          <a:off x="2296584" y="189896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1875" name="Straight Arrow Connector 1874">
          <a:extLst>
            <a:ext uri="{FF2B5EF4-FFF2-40B4-BE49-F238E27FC236}">
              <a16:creationId xmlns:a16="http://schemas.microsoft.com/office/drawing/2014/main" id="{00000000-0008-0000-1200-000053070000}"/>
            </a:ext>
          </a:extLst>
        </xdr:cNvPr>
        <xdr:cNvCxnSpPr/>
      </xdr:nvCxnSpPr>
      <xdr:spPr>
        <a:xfrm>
          <a:off x="2307167" y="203274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1876" name="Straight Arrow Connector 1875">
          <a:extLst>
            <a:ext uri="{FF2B5EF4-FFF2-40B4-BE49-F238E27FC236}">
              <a16:creationId xmlns:a16="http://schemas.microsoft.com/office/drawing/2014/main" id="{00000000-0008-0000-1200-000054070000}"/>
            </a:ext>
          </a:extLst>
        </xdr:cNvPr>
        <xdr:cNvCxnSpPr/>
      </xdr:nvCxnSpPr>
      <xdr:spPr>
        <a:xfrm flipV="1">
          <a:off x="3714750" y="182689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1877" name="Straight Arrow Connector 1876">
          <a:extLst>
            <a:ext uri="{FF2B5EF4-FFF2-40B4-BE49-F238E27FC236}">
              <a16:creationId xmlns:a16="http://schemas.microsoft.com/office/drawing/2014/main" id="{00000000-0008-0000-1200-000055070000}"/>
            </a:ext>
          </a:extLst>
        </xdr:cNvPr>
        <xdr:cNvCxnSpPr/>
      </xdr:nvCxnSpPr>
      <xdr:spPr>
        <a:xfrm>
          <a:off x="3799417" y="189907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1878" name="Straight Arrow Connector 1877">
          <a:extLst>
            <a:ext uri="{FF2B5EF4-FFF2-40B4-BE49-F238E27FC236}">
              <a16:creationId xmlns:a16="http://schemas.microsoft.com/office/drawing/2014/main" id="{00000000-0008-0000-1200-000056070000}"/>
            </a:ext>
          </a:extLst>
        </xdr:cNvPr>
        <xdr:cNvCxnSpPr/>
      </xdr:nvCxnSpPr>
      <xdr:spPr>
        <a:xfrm flipV="1">
          <a:off x="5175250" y="177884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1879" name="Straight Arrow Connector 1878">
          <a:extLst>
            <a:ext uri="{FF2B5EF4-FFF2-40B4-BE49-F238E27FC236}">
              <a16:creationId xmlns:a16="http://schemas.microsoft.com/office/drawing/2014/main" id="{00000000-0008-0000-1200-000057070000}"/>
            </a:ext>
          </a:extLst>
        </xdr:cNvPr>
        <xdr:cNvCxnSpPr/>
      </xdr:nvCxnSpPr>
      <xdr:spPr>
        <a:xfrm>
          <a:off x="5175250" y="182700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1880" name="Straight Arrow Connector 1879">
          <a:extLst>
            <a:ext uri="{FF2B5EF4-FFF2-40B4-BE49-F238E27FC236}">
              <a16:creationId xmlns:a16="http://schemas.microsoft.com/office/drawing/2014/main" id="{00000000-0008-0000-1200-000058070000}"/>
            </a:ext>
          </a:extLst>
        </xdr:cNvPr>
        <xdr:cNvCxnSpPr/>
      </xdr:nvCxnSpPr>
      <xdr:spPr>
        <a:xfrm flipV="1">
          <a:off x="6381750" y="176350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1881" name="Straight Arrow Connector 1880">
          <a:extLst>
            <a:ext uri="{FF2B5EF4-FFF2-40B4-BE49-F238E27FC236}">
              <a16:creationId xmlns:a16="http://schemas.microsoft.com/office/drawing/2014/main" id="{00000000-0008-0000-1200-000059070000}"/>
            </a:ext>
          </a:extLst>
        </xdr:cNvPr>
        <xdr:cNvCxnSpPr/>
      </xdr:nvCxnSpPr>
      <xdr:spPr>
        <a:xfrm>
          <a:off x="6413500" y="177927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1882" name="Straight Arrow Connector 1881">
          <a:extLst>
            <a:ext uri="{FF2B5EF4-FFF2-40B4-BE49-F238E27FC236}">
              <a16:creationId xmlns:a16="http://schemas.microsoft.com/office/drawing/2014/main" id="{00000000-0008-0000-1200-00005A070000}"/>
            </a:ext>
          </a:extLst>
        </xdr:cNvPr>
        <xdr:cNvCxnSpPr/>
      </xdr:nvCxnSpPr>
      <xdr:spPr>
        <a:xfrm flipV="1">
          <a:off x="7609417" y="179048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1883" name="Straight Arrow Connector 1882">
          <a:extLst>
            <a:ext uri="{FF2B5EF4-FFF2-40B4-BE49-F238E27FC236}">
              <a16:creationId xmlns:a16="http://schemas.microsoft.com/office/drawing/2014/main" id="{00000000-0008-0000-1200-00005B070000}"/>
            </a:ext>
          </a:extLst>
        </xdr:cNvPr>
        <xdr:cNvCxnSpPr/>
      </xdr:nvCxnSpPr>
      <xdr:spPr>
        <a:xfrm>
          <a:off x="7598834" y="18006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1884" name="Straight Arrow Connector 1883">
          <a:extLst>
            <a:ext uri="{FF2B5EF4-FFF2-40B4-BE49-F238E27FC236}">
              <a16:creationId xmlns:a16="http://schemas.microsoft.com/office/drawing/2014/main" id="{00000000-0008-0000-1200-00005C070000}"/>
            </a:ext>
          </a:extLst>
        </xdr:cNvPr>
        <xdr:cNvCxnSpPr/>
      </xdr:nvCxnSpPr>
      <xdr:spPr>
        <a:xfrm flipV="1">
          <a:off x="8794750" y="17813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1885" name="Straight Arrow Connector 1884">
          <a:extLst>
            <a:ext uri="{FF2B5EF4-FFF2-40B4-BE49-F238E27FC236}">
              <a16:creationId xmlns:a16="http://schemas.microsoft.com/office/drawing/2014/main" id="{00000000-0008-0000-1200-00005D070000}"/>
            </a:ext>
          </a:extLst>
        </xdr:cNvPr>
        <xdr:cNvCxnSpPr/>
      </xdr:nvCxnSpPr>
      <xdr:spPr>
        <a:xfrm>
          <a:off x="8784166" y="17909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1886" name="Straight Arrow Connector 1885">
          <a:extLst>
            <a:ext uri="{FF2B5EF4-FFF2-40B4-BE49-F238E27FC236}">
              <a16:creationId xmlns:a16="http://schemas.microsoft.com/office/drawing/2014/main" id="{00000000-0008-0000-1200-00005E070000}"/>
            </a:ext>
          </a:extLst>
        </xdr:cNvPr>
        <xdr:cNvCxnSpPr/>
      </xdr:nvCxnSpPr>
      <xdr:spPr>
        <a:xfrm flipV="1">
          <a:off x="8794750" y="18213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1887" name="Straight Arrow Connector 1886">
          <a:extLst>
            <a:ext uri="{FF2B5EF4-FFF2-40B4-BE49-F238E27FC236}">
              <a16:creationId xmlns:a16="http://schemas.microsoft.com/office/drawing/2014/main" id="{00000000-0008-0000-1200-00005F070000}"/>
            </a:ext>
          </a:extLst>
        </xdr:cNvPr>
        <xdr:cNvCxnSpPr/>
      </xdr:nvCxnSpPr>
      <xdr:spPr>
        <a:xfrm>
          <a:off x="8805333" y="18307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1888" name="Straight Arrow Connector 1887">
          <a:extLst>
            <a:ext uri="{FF2B5EF4-FFF2-40B4-BE49-F238E27FC236}">
              <a16:creationId xmlns:a16="http://schemas.microsoft.com/office/drawing/2014/main" id="{00000000-0008-0000-1200-000060070000}"/>
            </a:ext>
          </a:extLst>
        </xdr:cNvPr>
        <xdr:cNvCxnSpPr/>
      </xdr:nvCxnSpPr>
      <xdr:spPr>
        <a:xfrm flipV="1">
          <a:off x="10541000" y="176593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1889" name="Straight Arrow Connector 1888">
          <a:extLst>
            <a:ext uri="{FF2B5EF4-FFF2-40B4-BE49-F238E27FC236}">
              <a16:creationId xmlns:a16="http://schemas.microsoft.com/office/drawing/2014/main" id="{00000000-0008-0000-1200-000061070000}"/>
            </a:ext>
          </a:extLst>
        </xdr:cNvPr>
        <xdr:cNvCxnSpPr/>
      </xdr:nvCxnSpPr>
      <xdr:spPr>
        <a:xfrm flipV="1">
          <a:off x="10583333" y="177217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1890" name="Straight Arrow Connector 1889">
          <a:extLst>
            <a:ext uri="{FF2B5EF4-FFF2-40B4-BE49-F238E27FC236}">
              <a16:creationId xmlns:a16="http://schemas.microsoft.com/office/drawing/2014/main" id="{00000000-0008-0000-1200-000062070000}"/>
            </a:ext>
          </a:extLst>
        </xdr:cNvPr>
        <xdr:cNvCxnSpPr/>
      </xdr:nvCxnSpPr>
      <xdr:spPr>
        <a:xfrm>
          <a:off x="10604500" y="177704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1891" name="Straight Arrow Connector 1890">
          <a:extLst>
            <a:ext uri="{FF2B5EF4-FFF2-40B4-BE49-F238E27FC236}">
              <a16:creationId xmlns:a16="http://schemas.microsoft.com/office/drawing/2014/main" id="{00000000-0008-0000-1200-000063070000}"/>
            </a:ext>
          </a:extLst>
        </xdr:cNvPr>
        <xdr:cNvCxnSpPr/>
      </xdr:nvCxnSpPr>
      <xdr:spPr>
        <a:xfrm>
          <a:off x="10519834" y="177651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1892" name="Straight Arrow Connector 1891">
          <a:extLst>
            <a:ext uri="{FF2B5EF4-FFF2-40B4-BE49-F238E27FC236}">
              <a16:creationId xmlns:a16="http://schemas.microsoft.com/office/drawing/2014/main" id="{00000000-0008-0000-1200-000064070000}"/>
            </a:ext>
          </a:extLst>
        </xdr:cNvPr>
        <xdr:cNvCxnSpPr/>
      </xdr:nvCxnSpPr>
      <xdr:spPr>
        <a:xfrm flipV="1">
          <a:off x="10541000" y="17912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1893" name="Straight Arrow Connector 1892">
          <a:extLst>
            <a:ext uri="{FF2B5EF4-FFF2-40B4-BE49-F238E27FC236}">
              <a16:creationId xmlns:a16="http://schemas.microsoft.com/office/drawing/2014/main" id="{00000000-0008-0000-1200-000065070000}"/>
            </a:ext>
          </a:extLst>
        </xdr:cNvPr>
        <xdr:cNvCxnSpPr/>
      </xdr:nvCxnSpPr>
      <xdr:spPr>
        <a:xfrm>
          <a:off x="10551583" y="179472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1894" name="Straight Arrow Connector 1893">
          <a:extLst>
            <a:ext uri="{FF2B5EF4-FFF2-40B4-BE49-F238E27FC236}">
              <a16:creationId xmlns:a16="http://schemas.microsoft.com/office/drawing/2014/main" id="{00000000-0008-0000-1200-000066070000}"/>
            </a:ext>
          </a:extLst>
        </xdr:cNvPr>
        <xdr:cNvCxnSpPr/>
      </xdr:nvCxnSpPr>
      <xdr:spPr>
        <a:xfrm>
          <a:off x="10530417" y="179472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1895" name="Straight Arrow Connector 1894">
          <a:extLst>
            <a:ext uri="{FF2B5EF4-FFF2-40B4-BE49-F238E27FC236}">
              <a16:creationId xmlns:a16="http://schemas.microsoft.com/office/drawing/2014/main" id="{00000000-0008-0000-1200-000067070000}"/>
            </a:ext>
          </a:extLst>
        </xdr:cNvPr>
        <xdr:cNvCxnSpPr/>
      </xdr:nvCxnSpPr>
      <xdr:spPr>
        <a:xfrm>
          <a:off x="10541000" y="179482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1896" name="Straight Arrow Connector 1895">
          <a:extLst>
            <a:ext uri="{FF2B5EF4-FFF2-40B4-BE49-F238E27FC236}">
              <a16:creationId xmlns:a16="http://schemas.microsoft.com/office/drawing/2014/main" id="{00000000-0008-0000-1200-000068070000}"/>
            </a:ext>
          </a:extLst>
        </xdr:cNvPr>
        <xdr:cNvCxnSpPr/>
      </xdr:nvCxnSpPr>
      <xdr:spPr>
        <a:xfrm flipV="1">
          <a:off x="6392333" y="186732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1897" name="Straight Arrow Connector 1896">
          <a:extLst>
            <a:ext uri="{FF2B5EF4-FFF2-40B4-BE49-F238E27FC236}">
              <a16:creationId xmlns:a16="http://schemas.microsoft.com/office/drawing/2014/main" id="{00000000-0008-0000-1200-000069070000}"/>
            </a:ext>
          </a:extLst>
        </xdr:cNvPr>
        <xdr:cNvCxnSpPr/>
      </xdr:nvCxnSpPr>
      <xdr:spPr>
        <a:xfrm>
          <a:off x="6413500" y="188764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1898" name="Straight Arrow Connector 1897">
          <a:extLst>
            <a:ext uri="{FF2B5EF4-FFF2-40B4-BE49-F238E27FC236}">
              <a16:creationId xmlns:a16="http://schemas.microsoft.com/office/drawing/2014/main" id="{00000000-0008-0000-1200-00006A070000}"/>
            </a:ext>
          </a:extLst>
        </xdr:cNvPr>
        <xdr:cNvCxnSpPr/>
      </xdr:nvCxnSpPr>
      <xdr:spPr>
        <a:xfrm flipV="1">
          <a:off x="7556500" y="189896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1899" name="Straight Arrow Connector 1898">
          <a:extLst>
            <a:ext uri="{FF2B5EF4-FFF2-40B4-BE49-F238E27FC236}">
              <a16:creationId xmlns:a16="http://schemas.microsoft.com/office/drawing/2014/main" id="{00000000-0008-0000-1200-00006B070000}"/>
            </a:ext>
          </a:extLst>
        </xdr:cNvPr>
        <xdr:cNvCxnSpPr/>
      </xdr:nvCxnSpPr>
      <xdr:spPr>
        <a:xfrm flipV="1">
          <a:off x="10530417" y="18173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1900" name="Straight Arrow Connector 1899">
          <a:extLst>
            <a:ext uri="{FF2B5EF4-FFF2-40B4-BE49-F238E27FC236}">
              <a16:creationId xmlns:a16="http://schemas.microsoft.com/office/drawing/2014/main" id="{00000000-0008-0000-1200-00006C070000}"/>
            </a:ext>
          </a:extLst>
        </xdr:cNvPr>
        <xdr:cNvCxnSpPr/>
      </xdr:nvCxnSpPr>
      <xdr:spPr>
        <a:xfrm>
          <a:off x="10572750" y="18212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1901" name="Straight Arrow Connector 1900">
          <a:extLst>
            <a:ext uri="{FF2B5EF4-FFF2-40B4-BE49-F238E27FC236}">
              <a16:creationId xmlns:a16="http://schemas.microsoft.com/office/drawing/2014/main" id="{00000000-0008-0000-1200-00006D070000}"/>
            </a:ext>
          </a:extLst>
        </xdr:cNvPr>
        <xdr:cNvCxnSpPr/>
      </xdr:nvCxnSpPr>
      <xdr:spPr>
        <a:xfrm>
          <a:off x="10551583" y="18212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1902" name="Straight Arrow Connector 1901">
          <a:extLst>
            <a:ext uri="{FF2B5EF4-FFF2-40B4-BE49-F238E27FC236}">
              <a16:creationId xmlns:a16="http://schemas.microsoft.com/office/drawing/2014/main" id="{00000000-0008-0000-1200-00006E070000}"/>
            </a:ext>
          </a:extLst>
        </xdr:cNvPr>
        <xdr:cNvCxnSpPr/>
      </xdr:nvCxnSpPr>
      <xdr:spPr>
        <a:xfrm>
          <a:off x="10583333" y="18214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1903" name="Straight Arrow Connector 1902">
          <a:extLst>
            <a:ext uri="{FF2B5EF4-FFF2-40B4-BE49-F238E27FC236}">
              <a16:creationId xmlns:a16="http://schemas.microsoft.com/office/drawing/2014/main" id="{00000000-0008-0000-1200-00006F070000}"/>
            </a:ext>
          </a:extLst>
        </xdr:cNvPr>
        <xdr:cNvCxnSpPr/>
      </xdr:nvCxnSpPr>
      <xdr:spPr>
        <a:xfrm>
          <a:off x="10562166" y="18478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1904" name="Straight Arrow Connector 1903">
          <a:extLst>
            <a:ext uri="{FF2B5EF4-FFF2-40B4-BE49-F238E27FC236}">
              <a16:creationId xmlns:a16="http://schemas.microsoft.com/office/drawing/2014/main" id="{00000000-0008-0000-1200-000070070000}"/>
            </a:ext>
          </a:extLst>
        </xdr:cNvPr>
        <xdr:cNvCxnSpPr/>
      </xdr:nvCxnSpPr>
      <xdr:spPr>
        <a:xfrm>
          <a:off x="10615083" y="18480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1905" name="Straight Arrow Connector 1904">
          <a:extLst>
            <a:ext uri="{FF2B5EF4-FFF2-40B4-BE49-F238E27FC236}">
              <a16:creationId xmlns:a16="http://schemas.microsoft.com/office/drawing/2014/main" id="{00000000-0008-0000-1200-000071070000}"/>
            </a:ext>
          </a:extLst>
        </xdr:cNvPr>
        <xdr:cNvCxnSpPr/>
      </xdr:nvCxnSpPr>
      <xdr:spPr>
        <a:xfrm>
          <a:off x="10572750" y="18483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1906" name="Straight Arrow Connector 1905">
          <a:extLst>
            <a:ext uri="{FF2B5EF4-FFF2-40B4-BE49-F238E27FC236}">
              <a16:creationId xmlns:a16="http://schemas.microsoft.com/office/drawing/2014/main" id="{00000000-0008-0000-1200-000072070000}"/>
            </a:ext>
          </a:extLst>
        </xdr:cNvPr>
        <xdr:cNvCxnSpPr/>
      </xdr:nvCxnSpPr>
      <xdr:spPr>
        <a:xfrm flipV="1">
          <a:off x="10562166" y="187568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1907" name="Straight Arrow Connector 1906">
          <a:extLst>
            <a:ext uri="{FF2B5EF4-FFF2-40B4-BE49-F238E27FC236}">
              <a16:creationId xmlns:a16="http://schemas.microsoft.com/office/drawing/2014/main" id="{00000000-0008-0000-1200-000073070000}"/>
            </a:ext>
          </a:extLst>
        </xdr:cNvPr>
        <xdr:cNvCxnSpPr/>
      </xdr:nvCxnSpPr>
      <xdr:spPr>
        <a:xfrm flipV="1">
          <a:off x="10604500" y="187928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1908" name="Straight Arrow Connector 1907">
          <a:extLst>
            <a:ext uri="{FF2B5EF4-FFF2-40B4-BE49-F238E27FC236}">
              <a16:creationId xmlns:a16="http://schemas.microsoft.com/office/drawing/2014/main" id="{00000000-0008-0000-1200-000074070000}"/>
            </a:ext>
          </a:extLst>
        </xdr:cNvPr>
        <xdr:cNvCxnSpPr/>
      </xdr:nvCxnSpPr>
      <xdr:spPr>
        <a:xfrm>
          <a:off x="10593916" y="188330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1909" name="Straight Arrow Connector 1908">
          <a:extLst>
            <a:ext uri="{FF2B5EF4-FFF2-40B4-BE49-F238E27FC236}">
              <a16:creationId xmlns:a16="http://schemas.microsoft.com/office/drawing/2014/main" id="{00000000-0008-0000-1200-000075070000}"/>
            </a:ext>
          </a:extLst>
        </xdr:cNvPr>
        <xdr:cNvCxnSpPr/>
      </xdr:nvCxnSpPr>
      <xdr:spPr>
        <a:xfrm>
          <a:off x="10572750" y="190425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1910" name="Straight Arrow Connector 1909">
          <a:extLst>
            <a:ext uri="{FF2B5EF4-FFF2-40B4-BE49-F238E27FC236}">
              <a16:creationId xmlns:a16="http://schemas.microsoft.com/office/drawing/2014/main" id="{00000000-0008-0000-1200-000076070000}"/>
            </a:ext>
          </a:extLst>
        </xdr:cNvPr>
        <xdr:cNvCxnSpPr/>
      </xdr:nvCxnSpPr>
      <xdr:spPr>
        <a:xfrm flipV="1">
          <a:off x="10583333" y="18426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1911" name="Straight Arrow Connector 1910">
          <a:extLst>
            <a:ext uri="{FF2B5EF4-FFF2-40B4-BE49-F238E27FC236}">
              <a16:creationId xmlns:a16="http://schemas.microsoft.com/office/drawing/2014/main" id="{00000000-0008-0000-1200-000077070000}"/>
            </a:ext>
          </a:extLst>
        </xdr:cNvPr>
        <xdr:cNvCxnSpPr/>
      </xdr:nvCxnSpPr>
      <xdr:spPr>
        <a:xfrm>
          <a:off x="7598834" y="190923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1912" name="Straight Arrow Connector 1911">
          <a:extLst>
            <a:ext uri="{FF2B5EF4-FFF2-40B4-BE49-F238E27FC236}">
              <a16:creationId xmlns:a16="http://schemas.microsoft.com/office/drawing/2014/main" id="{00000000-0008-0000-1200-000078070000}"/>
            </a:ext>
          </a:extLst>
        </xdr:cNvPr>
        <xdr:cNvCxnSpPr/>
      </xdr:nvCxnSpPr>
      <xdr:spPr>
        <a:xfrm flipV="1">
          <a:off x="8794750" y="188997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1913" name="Straight Arrow Connector 1912">
          <a:extLst>
            <a:ext uri="{FF2B5EF4-FFF2-40B4-BE49-F238E27FC236}">
              <a16:creationId xmlns:a16="http://schemas.microsoft.com/office/drawing/2014/main" id="{00000000-0008-0000-1200-000079070000}"/>
            </a:ext>
          </a:extLst>
        </xdr:cNvPr>
        <xdr:cNvCxnSpPr/>
      </xdr:nvCxnSpPr>
      <xdr:spPr>
        <a:xfrm>
          <a:off x="8784166" y="189949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1914" name="Straight Arrow Connector 1913">
          <a:extLst>
            <a:ext uri="{FF2B5EF4-FFF2-40B4-BE49-F238E27FC236}">
              <a16:creationId xmlns:a16="http://schemas.microsoft.com/office/drawing/2014/main" id="{00000000-0008-0000-1200-00007A070000}"/>
            </a:ext>
          </a:extLst>
        </xdr:cNvPr>
        <xdr:cNvCxnSpPr/>
      </xdr:nvCxnSpPr>
      <xdr:spPr>
        <a:xfrm flipV="1">
          <a:off x="8794750" y="192997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1915" name="Straight Arrow Connector 1914">
          <a:extLst>
            <a:ext uri="{FF2B5EF4-FFF2-40B4-BE49-F238E27FC236}">
              <a16:creationId xmlns:a16="http://schemas.microsoft.com/office/drawing/2014/main" id="{00000000-0008-0000-1200-00007B070000}"/>
            </a:ext>
          </a:extLst>
        </xdr:cNvPr>
        <xdr:cNvCxnSpPr/>
      </xdr:nvCxnSpPr>
      <xdr:spPr>
        <a:xfrm>
          <a:off x="8805333" y="193929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1916" name="Straight Arrow Connector 1915">
          <a:extLst>
            <a:ext uri="{FF2B5EF4-FFF2-40B4-BE49-F238E27FC236}">
              <a16:creationId xmlns:a16="http://schemas.microsoft.com/office/drawing/2014/main" id="{00000000-0008-0000-1200-00007C070000}"/>
            </a:ext>
          </a:extLst>
        </xdr:cNvPr>
        <xdr:cNvCxnSpPr/>
      </xdr:nvCxnSpPr>
      <xdr:spPr>
        <a:xfrm>
          <a:off x="10593916" y="188309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1917" name="Straight Arrow Connector 1916">
          <a:extLst>
            <a:ext uri="{FF2B5EF4-FFF2-40B4-BE49-F238E27FC236}">
              <a16:creationId xmlns:a16="http://schemas.microsoft.com/office/drawing/2014/main" id="{00000000-0008-0000-1200-00007D070000}"/>
            </a:ext>
          </a:extLst>
        </xdr:cNvPr>
        <xdr:cNvCxnSpPr/>
      </xdr:nvCxnSpPr>
      <xdr:spPr>
        <a:xfrm flipV="1">
          <a:off x="10541000" y="189981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1918" name="Straight Arrow Connector 1917">
          <a:extLst>
            <a:ext uri="{FF2B5EF4-FFF2-40B4-BE49-F238E27FC236}">
              <a16:creationId xmlns:a16="http://schemas.microsoft.com/office/drawing/2014/main" id="{00000000-0008-0000-1200-00007E070000}"/>
            </a:ext>
          </a:extLst>
        </xdr:cNvPr>
        <xdr:cNvCxnSpPr/>
      </xdr:nvCxnSpPr>
      <xdr:spPr>
        <a:xfrm>
          <a:off x="10530417" y="190330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1919" name="Straight Arrow Connector 1918">
          <a:extLst>
            <a:ext uri="{FF2B5EF4-FFF2-40B4-BE49-F238E27FC236}">
              <a16:creationId xmlns:a16="http://schemas.microsoft.com/office/drawing/2014/main" id="{00000000-0008-0000-1200-00007F070000}"/>
            </a:ext>
          </a:extLst>
        </xdr:cNvPr>
        <xdr:cNvCxnSpPr/>
      </xdr:nvCxnSpPr>
      <xdr:spPr>
        <a:xfrm>
          <a:off x="10530417" y="190309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1920" name="Straight Arrow Connector 1919">
          <a:extLst>
            <a:ext uri="{FF2B5EF4-FFF2-40B4-BE49-F238E27FC236}">
              <a16:creationId xmlns:a16="http://schemas.microsoft.com/office/drawing/2014/main" id="{00000000-0008-0000-1200-000080070000}"/>
            </a:ext>
          </a:extLst>
        </xdr:cNvPr>
        <xdr:cNvCxnSpPr/>
      </xdr:nvCxnSpPr>
      <xdr:spPr>
        <a:xfrm flipV="1">
          <a:off x="10530417" y="192595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1921" name="Straight Arrow Connector 1920">
          <a:extLst>
            <a:ext uri="{FF2B5EF4-FFF2-40B4-BE49-F238E27FC236}">
              <a16:creationId xmlns:a16="http://schemas.microsoft.com/office/drawing/2014/main" id="{00000000-0008-0000-1200-000081070000}"/>
            </a:ext>
          </a:extLst>
        </xdr:cNvPr>
        <xdr:cNvCxnSpPr/>
      </xdr:nvCxnSpPr>
      <xdr:spPr>
        <a:xfrm>
          <a:off x="10572750" y="192987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1922" name="Straight Arrow Connector 1921">
          <a:extLst>
            <a:ext uri="{FF2B5EF4-FFF2-40B4-BE49-F238E27FC236}">
              <a16:creationId xmlns:a16="http://schemas.microsoft.com/office/drawing/2014/main" id="{00000000-0008-0000-1200-000082070000}"/>
            </a:ext>
          </a:extLst>
        </xdr:cNvPr>
        <xdr:cNvCxnSpPr/>
      </xdr:nvCxnSpPr>
      <xdr:spPr>
        <a:xfrm>
          <a:off x="10551583" y="192987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1923" name="Straight Arrow Connector 1922">
          <a:extLst>
            <a:ext uri="{FF2B5EF4-FFF2-40B4-BE49-F238E27FC236}">
              <a16:creationId xmlns:a16="http://schemas.microsoft.com/office/drawing/2014/main" id="{00000000-0008-0000-1200-000083070000}"/>
            </a:ext>
          </a:extLst>
        </xdr:cNvPr>
        <xdr:cNvCxnSpPr/>
      </xdr:nvCxnSpPr>
      <xdr:spPr>
        <a:xfrm>
          <a:off x="10583333" y="193008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1928" name="Straight Arrow Connector 1927">
          <a:extLst>
            <a:ext uri="{FF2B5EF4-FFF2-40B4-BE49-F238E27FC236}">
              <a16:creationId xmlns:a16="http://schemas.microsoft.com/office/drawing/2014/main" id="{00000000-0008-0000-1200-000088070000}"/>
            </a:ext>
          </a:extLst>
        </xdr:cNvPr>
        <xdr:cNvCxnSpPr/>
      </xdr:nvCxnSpPr>
      <xdr:spPr>
        <a:xfrm>
          <a:off x="5080000" y="203739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1929" name="Straight Arrow Connector 1928">
          <a:extLst>
            <a:ext uri="{FF2B5EF4-FFF2-40B4-BE49-F238E27FC236}">
              <a16:creationId xmlns:a16="http://schemas.microsoft.com/office/drawing/2014/main" id="{00000000-0008-0000-1200-000089070000}"/>
            </a:ext>
          </a:extLst>
        </xdr:cNvPr>
        <xdr:cNvCxnSpPr/>
      </xdr:nvCxnSpPr>
      <xdr:spPr>
        <a:xfrm flipV="1">
          <a:off x="6381750" y="198067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1930" name="Straight Arrow Connector 1929">
          <a:extLst>
            <a:ext uri="{FF2B5EF4-FFF2-40B4-BE49-F238E27FC236}">
              <a16:creationId xmlns:a16="http://schemas.microsoft.com/office/drawing/2014/main" id="{00000000-0008-0000-1200-00008A070000}"/>
            </a:ext>
          </a:extLst>
        </xdr:cNvPr>
        <xdr:cNvCxnSpPr/>
      </xdr:nvCxnSpPr>
      <xdr:spPr>
        <a:xfrm>
          <a:off x="6413500" y="199644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1931" name="Straight Arrow Connector 1930">
          <a:extLst>
            <a:ext uri="{FF2B5EF4-FFF2-40B4-BE49-F238E27FC236}">
              <a16:creationId xmlns:a16="http://schemas.microsoft.com/office/drawing/2014/main" id="{00000000-0008-0000-1200-00008B070000}"/>
            </a:ext>
          </a:extLst>
        </xdr:cNvPr>
        <xdr:cNvCxnSpPr/>
      </xdr:nvCxnSpPr>
      <xdr:spPr>
        <a:xfrm flipV="1">
          <a:off x="7609417" y="200765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1932" name="Straight Arrow Connector 1931">
          <a:extLst>
            <a:ext uri="{FF2B5EF4-FFF2-40B4-BE49-F238E27FC236}">
              <a16:creationId xmlns:a16="http://schemas.microsoft.com/office/drawing/2014/main" id="{00000000-0008-0000-1200-00008C070000}"/>
            </a:ext>
          </a:extLst>
        </xdr:cNvPr>
        <xdr:cNvCxnSpPr/>
      </xdr:nvCxnSpPr>
      <xdr:spPr>
        <a:xfrm>
          <a:off x="7598834" y="201781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1933" name="Straight Arrow Connector 1932">
          <a:extLst>
            <a:ext uri="{FF2B5EF4-FFF2-40B4-BE49-F238E27FC236}">
              <a16:creationId xmlns:a16="http://schemas.microsoft.com/office/drawing/2014/main" id="{00000000-0008-0000-1200-00008D070000}"/>
            </a:ext>
          </a:extLst>
        </xdr:cNvPr>
        <xdr:cNvCxnSpPr/>
      </xdr:nvCxnSpPr>
      <xdr:spPr>
        <a:xfrm flipV="1">
          <a:off x="8794750" y="199855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1934" name="Straight Arrow Connector 1933">
          <a:extLst>
            <a:ext uri="{FF2B5EF4-FFF2-40B4-BE49-F238E27FC236}">
              <a16:creationId xmlns:a16="http://schemas.microsoft.com/office/drawing/2014/main" id="{00000000-0008-0000-1200-00008E070000}"/>
            </a:ext>
          </a:extLst>
        </xdr:cNvPr>
        <xdr:cNvCxnSpPr/>
      </xdr:nvCxnSpPr>
      <xdr:spPr>
        <a:xfrm>
          <a:off x="8784166" y="200808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1935" name="Straight Arrow Connector 1934">
          <a:extLst>
            <a:ext uri="{FF2B5EF4-FFF2-40B4-BE49-F238E27FC236}">
              <a16:creationId xmlns:a16="http://schemas.microsoft.com/office/drawing/2014/main" id="{00000000-0008-0000-1200-00008F070000}"/>
            </a:ext>
          </a:extLst>
        </xdr:cNvPr>
        <xdr:cNvCxnSpPr/>
      </xdr:nvCxnSpPr>
      <xdr:spPr>
        <a:xfrm flipV="1">
          <a:off x="8794750" y="203856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1936" name="Straight Arrow Connector 1935">
          <a:extLst>
            <a:ext uri="{FF2B5EF4-FFF2-40B4-BE49-F238E27FC236}">
              <a16:creationId xmlns:a16="http://schemas.microsoft.com/office/drawing/2014/main" id="{00000000-0008-0000-1200-000090070000}"/>
            </a:ext>
          </a:extLst>
        </xdr:cNvPr>
        <xdr:cNvCxnSpPr/>
      </xdr:nvCxnSpPr>
      <xdr:spPr>
        <a:xfrm>
          <a:off x="8805333" y="204787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1937" name="Straight Arrow Connector 1936">
          <a:extLst>
            <a:ext uri="{FF2B5EF4-FFF2-40B4-BE49-F238E27FC236}">
              <a16:creationId xmlns:a16="http://schemas.microsoft.com/office/drawing/2014/main" id="{00000000-0008-0000-1200-000091070000}"/>
            </a:ext>
          </a:extLst>
        </xdr:cNvPr>
        <xdr:cNvCxnSpPr/>
      </xdr:nvCxnSpPr>
      <xdr:spPr>
        <a:xfrm flipV="1">
          <a:off x="10541000" y="198310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1938" name="Straight Arrow Connector 1937">
          <a:extLst>
            <a:ext uri="{FF2B5EF4-FFF2-40B4-BE49-F238E27FC236}">
              <a16:creationId xmlns:a16="http://schemas.microsoft.com/office/drawing/2014/main" id="{00000000-0008-0000-1200-000092070000}"/>
            </a:ext>
          </a:extLst>
        </xdr:cNvPr>
        <xdr:cNvCxnSpPr/>
      </xdr:nvCxnSpPr>
      <xdr:spPr>
        <a:xfrm flipV="1">
          <a:off x="10583333" y="198934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1939" name="Straight Arrow Connector 1938">
          <a:extLst>
            <a:ext uri="{FF2B5EF4-FFF2-40B4-BE49-F238E27FC236}">
              <a16:creationId xmlns:a16="http://schemas.microsoft.com/office/drawing/2014/main" id="{00000000-0008-0000-1200-000093070000}"/>
            </a:ext>
          </a:extLst>
        </xdr:cNvPr>
        <xdr:cNvCxnSpPr/>
      </xdr:nvCxnSpPr>
      <xdr:spPr>
        <a:xfrm>
          <a:off x="10604500" y="199421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1940" name="Straight Arrow Connector 1939">
          <a:extLst>
            <a:ext uri="{FF2B5EF4-FFF2-40B4-BE49-F238E27FC236}">
              <a16:creationId xmlns:a16="http://schemas.microsoft.com/office/drawing/2014/main" id="{00000000-0008-0000-1200-000094070000}"/>
            </a:ext>
          </a:extLst>
        </xdr:cNvPr>
        <xdr:cNvCxnSpPr/>
      </xdr:nvCxnSpPr>
      <xdr:spPr>
        <a:xfrm>
          <a:off x="10519834" y="199368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1941" name="Straight Arrow Connector 1940">
          <a:extLst>
            <a:ext uri="{FF2B5EF4-FFF2-40B4-BE49-F238E27FC236}">
              <a16:creationId xmlns:a16="http://schemas.microsoft.com/office/drawing/2014/main" id="{00000000-0008-0000-1200-000095070000}"/>
            </a:ext>
          </a:extLst>
        </xdr:cNvPr>
        <xdr:cNvCxnSpPr/>
      </xdr:nvCxnSpPr>
      <xdr:spPr>
        <a:xfrm flipV="1">
          <a:off x="10541000" y="200839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1942" name="Straight Arrow Connector 1941">
          <a:extLst>
            <a:ext uri="{FF2B5EF4-FFF2-40B4-BE49-F238E27FC236}">
              <a16:creationId xmlns:a16="http://schemas.microsoft.com/office/drawing/2014/main" id="{00000000-0008-0000-1200-000096070000}"/>
            </a:ext>
          </a:extLst>
        </xdr:cNvPr>
        <xdr:cNvCxnSpPr/>
      </xdr:nvCxnSpPr>
      <xdr:spPr>
        <a:xfrm>
          <a:off x="10551583" y="201189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1943" name="Straight Arrow Connector 1942">
          <a:extLst>
            <a:ext uri="{FF2B5EF4-FFF2-40B4-BE49-F238E27FC236}">
              <a16:creationId xmlns:a16="http://schemas.microsoft.com/office/drawing/2014/main" id="{00000000-0008-0000-1200-000097070000}"/>
            </a:ext>
          </a:extLst>
        </xdr:cNvPr>
        <xdr:cNvCxnSpPr/>
      </xdr:nvCxnSpPr>
      <xdr:spPr>
        <a:xfrm>
          <a:off x="10530417" y="201189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1944" name="Straight Arrow Connector 1943">
          <a:extLst>
            <a:ext uri="{FF2B5EF4-FFF2-40B4-BE49-F238E27FC236}">
              <a16:creationId xmlns:a16="http://schemas.microsoft.com/office/drawing/2014/main" id="{00000000-0008-0000-1200-000098070000}"/>
            </a:ext>
          </a:extLst>
        </xdr:cNvPr>
        <xdr:cNvCxnSpPr/>
      </xdr:nvCxnSpPr>
      <xdr:spPr>
        <a:xfrm>
          <a:off x="10541000" y="201199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1945" name="Straight Arrow Connector 1944">
          <a:extLst>
            <a:ext uri="{FF2B5EF4-FFF2-40B4-BE49-F238E27FC236}">
              <a16:creationId xmlns:a16="http://schemas.microsoft.com/office/drawing/2014/main" id="{00000000-0008-0000-1200-000099070000}"/>
            </a:ext>
          </a:extLst>
        </xdr:cNvPr>
        <xdr:cNvCxnSpPr/>
      </xdr:nvCxnSpPr>
      <xdr:spPr>
        <a:xfrm flipV="1">
          <a:off x="6392333" y="208449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1946" name="Straight Arrow Connector 1945">
          <a:extLst>
            <a:ext uri="{FF2B5EF4-FFF2-40B4-BE49-F238E27FC236}">
              <a16:creationId xmlns:a16="http://schemas.microsoft.com/office/drawing/2014/main" id="{00000000-0008-0000-1200-00009A070000}"/>
            </a:ext>
          </a:extLst>
        </xdr:cNvPr>
        <xdr:cNvCxnSpPr/>
      </xdr:nvCxnSpPr>
      <xdr:spPr>
        <a:xfrm>
          <a:off x="6413500" y="210481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1947" name="Straight Arrow Connector 1946">
          <a:extLst>
            <a:ext uri="{FF2B5EF4-FFF2-40B4-BE49-F238E27FC236}">
              <a16:creationId xmlns:a16="http://schemas.microsoft.com/office/drawing/2014/main" id="{00000000-0008-0000-1200-00009B070000}"/>
            </a:ext>
          </a:extLst>
        </xdr:cNvPr>
        <xdr:cNvCxnSpPr/>
      </xdr:nvCxnSpPr>
      <xdr:spPr>
        <a:xfrm flipV="1">
          <a:off x="7556500" y="211613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1948" name="Straight Arrow Connector 1947">
          <a:extLst>
            <a:ext uri="{FF2B5EF4-FFF2-40B4-BE49-F238E27FC236}">
              <a16:creationId xmlns:a16="http://schemas.microsoft.com/office/drawing/2014/main" id="{00000000-0008-0000-1200-00009C070000}"/>
            </a:ext>
          </a:extLst>
        </xdr:cNvPr>
        <xdr:cNvCxnSpPr/>
      </xdr:nvCxnSpPr>
      <xdr:spPr>
        <a:xfrm flipV="1">
          <a:off x="10530417" y="203454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1949" name="Straight Arrow Connector 1948">
          <a:extLst>
            <a:ext uri="{FF2B5EF4-FFF2-40B4-BE49-F238E27FC236}">
              <a16:creationId xmlns:a16="http://schemas.microsoft.com/office/drawing/2014/main" id="{00000000-0008-0000-1200-00009D070000}"/>
            </a:ext>
          </a:extLst>
        </xdr:cNvPr>
        <xdr:cNvCxnSpPr/>
      </xdr:nvCxnSpPr>
      <xdr:spPr>
        <a:xfrm>
          <a:off x="10572750" y="203845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1950" name="Straight Arrow Connector 1949">
          <a:extLst>
            <a:ext uri="{FF2B5EF4-FFF2-40B4-BE49-F238E27FC236}">
              <a16:creationId xmlns:a16="http://schemas.microsoft.com/office/drawing/2014/main" id="{00000000-0008-0000-1200-00009E070000}"/>
            </a:ext>
          </a:extLst>
        </xdr:cNvPr>
        <xdr:cNvCxnSpPr/>
      </xdr:nvCxnSpPr>
      <xdr:spPr>
        <a:xfrm>
          <a:off x="10551583" y="203845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1951" name="Straight Arrow Connector 1950">
          <a:extLst>
            <a:ext uri="{FF2B5EF4-FFF2-40B4-BE49-F238E27FC236}">
              <a16:creationId xmlns:a16="http://schemas.microsoft.com/office/drawing/2014/main" id="{00000000-0008-0000-1200-00009F070000}"/>
            </a:ext>
          </a:extLst>
        </xdr:cNvPr>
        <xdr:cNvCxnSpPr/>
      </xdr:nvCxnSpPr>
      <xdr:spPr>
        <a:xfrm>
          <a:off x="10583333" y="203866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1952" name="Straight Arrow Connector 1951">
          <a:extLst>
            <a:ext uri="{FF2B5EF4-FFF2-40B4-BE49-F238E27FC236}">
              <a16:creationId xmlns:a16="http://schemas.microsoft.com/office/drawing/2014/main" id="{00000000-0008-0000-1200-0000A0070000}"/>
            </a:ext>
          </a:extLst>
        </xdr:cNvPr>
        <xdr:cNvCxnSpPr/>
      </xdr:nvCxnSpPr>
      <xdr:spPr>
        <a:xfrm>
          <a:off x="10562166" y="206502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1953" name="Straight Arrow Connector 1952">
          <a:extLst>
            <a:ext uri="{FF2B5EF4-FFF2-40B4-BE49-F238E27FC236}">
              <a16:creationId xmlns:a16="http://schemas.microsoft.com/office/drawing/2014/main" id="{00000000-0008-0000-1200-0000A1070000}"/>
            </a:ext>
          </a:extLst>
        </xdr:cNvPr>
        <xdr:cNvCxnSpPr/>
      </xdr:nvCxnSpPr>
      <xdr:spPr>
        <a:xfrm>
          <a:off x="10615083" y="206523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1954" name="Straight Arrow Connector 1953">
          <a:extLst>
            <a:ext uri="{FF2B5EF4-FFF2-40B4-BE49-F238E27FC236}">
              <a16:creationId xmlns:a16="http://schemas.microsoft.com/office/drawing/2014/main" id="{00000000-0008-0000-1200-0000A2070000}"/>
            </a:ext>
          </a:extLst>
        </xdr:cNvPr>
        <xdr:cNvCxnSpPr/>
      </xdr:nvCxnSpPr>
      <xdr:spPr>
        <a:xfrm>
          <a:off x="10572750" y="206554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1955" name="Straight Arrow Connector 1954">
          <a:extLst>
            <a:ext uri="{FF2B5EF4-FFF2-40B4-BE49-F238E27FC236}">
              <a16:creationId xmlns:a16="http://schemas.microsoft.com/office/drawing/2014/main" id="{00000000-0008-0000-1200-0000A3070000}"/>
            </a:ext>
          </a:extLst>
        </xdr:cNvPr>
        <xdr:cNvCxnSpPr/>
      </xdr:nvCxnSpPr>
      <xdr:spPr>
        <a:xfrm flipV="1">
          <a:off x="10562166" y="209285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1956" name="Straight Arrow Connector 1955">
          <a:extLst>
            <a:ext uri="{FF2B5EF4-FFF2-40B4-BE49-F238E27FC236}">
              <a16:creationId xmlns:a16="http://schemas.microsoft.com/office/drawing/2014/main" id="{00000000-0008-0000-1200-0000A4070000}"/>
            </a:ext>
          </a:extLst>
        </xdr:cNvPr>
        <xdr:cNvCxnSpPr/>
      </xdr:nvCxnSpPr>
      <xdr:spPr>
        <a:xfrm flipV="1">
          <a:off x="10604500" y="209645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1957" name="Straight Arrow Connector 1956">
          <a:extLst>
            <a:ext uri="{FF2B5EF4-FFF2-40B4-BE49-F238E27FC236}">
              <a16:creationId xmlns:a16="http://schemas.microsoft.com/office/drawing/2014/main" id="{00000000-0008-0000-1200-0000A5070000}"/>
            </a:ext>
          </a:extLst>
        </xdr:cNvPr>
        <xdr:cNvCxnSpPr/>
      </xdr:nvCxnSpPr>
      <xdr:spPr>
        <a:xfrm>
          <a:off x="10593916" y="210047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1958" name="Straight Arrow Connector 1957">
          <a:extLst>
            <a:ext uri="{FF2B5EF4-FFF2-40B4-BE49-F238E27FC236}">
              <a16:creationId xmlns:a16="http://schemas.microsoft.com/office/drawing/2014/main" id="{00000000-0008-0000-1200-0000A6070000}"/>
            </a:ext>
          </a:extLst>
        </xdr:cNvPr>
        <xdr:cNvCxnSpPr/>
      </xdr:nvCxnSpPr>
      <xdr:spPr>
        <a:xfrm>
          <a:off x="10572750" y="212142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1959" name="Straight Arrow Connector 1958">
          <a:extLst>
            <a:ext uri="{FF2B5EF4-FFF2-40B4-BE49-F238E27FC236}">
              <a16:creationId xmlns:a16="http://schemas.microsoft.com/office/drawing/2014/main" id="{00000000-0008-0000-1200-0000A7070000}"/>
            </a:ext>
          </a:extLst>
        </xdr:cNvPr>
        <xdr:cNvCxnSpPr/>
      </xdr:nvCxnSpPr>
      <xdr:spPr>
        <a:xfrm flipV="1">
          <a:off x="10583333" y="205983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1960" name="Straight Arrow Connector 1959">
          <a:extLst>
            <a:ext uri="{FF2B5EF4-FFF2-40B4-BE49-F238E27FC236}">
              <a16:creationId xmlns:a16="http://schemas.microsoft.com/office/drawing/2014/main" id="{00000000-0008-0000-1200-0000A8070000}"/>
            </a:ext>
          </a:extLst>
        </xdr:cNvPr>
        <xdr:cNvCxnSpPr/>
      </xdr:nvCxnSpPr>
      <xdr:spPr>
        <a:xfrm>
          <a:off x="7598834" y="212640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1961" name="Straight Arrow Connector 1960">
          <a:extLst>
            <a:ext uri="{FF2B5EF4-FFF2-40B4-BE49-F238E27FC236}">
              <a16:creationId xmlns:a16="http://schemas.microsoft.com/office/drawing/2014/main" id="{00000000-0008-0000-1200-0000A9070000}"/>
            </a:ext>
          </a:extLst>
        </xdr:cNvPr>
        <xdr:cNvCxnSpPr/>
      </xdr:nvCxnSpPr>
      <xdr:spPr>
        <a:xfrm flipV="1">
          <a:off x="8794750" y="210714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1962" name="Straight Arrow Connector 1961">
          <a:extLst>
            <a:ext uri="{FF2B5EF4-FFF2-40B4-BE49-F238E27FC236}">
              <a16:creationId xmlns:a16="http://schemas.microsoft.com/office/drawing/2014/main" id="{00000000-0008-0000-1200-0000AA070000}"/>
            </a:ext>
          </a:extLst>
        </xdr:cNvPr>
        <xdr:cNvCxnSpPr/>
      </xdr:nvCxnSpPr>
      <xdr:spPr>
        <a:xfrm>
          <a:off x="8784166" y="211666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1963" name="Straight Arrow Connector 1962">
          <a:extLst>
            <a:ext uri="{FF2B5EF4-FFF2-40B4-BE49-F238E27FC236}">
              <a16:creationId xmlns:a16="http://schemas.microsoft.com/office/drawing/2014/main" id="{00000000-0008-0000-1200-0000AB070000}"/>
            </a:ext>
          </a:extLst>
        </xdr:cNvPr>
        <xdr:cNvCxnSpPr/>
      </xdr:nvCxnSpPr>
      <xdr:spPr>
        <a:xfrm flipV="1">
          <a:off x="8794750" y="214714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1964" name="Straight Arrow Connector 1963">
          <a:extLst>
            <a:ext uri="{FF2B5EF4-FFF2-40B4-BE49-F238E27FC236}">
              <a16:creationId xmlns:a16="http://schemas.microsoft.com/office/drawing/2014/main" id="{00000000-0008-0000-1200-0000AC070000}"/>
            </a:ext>
          </a:extLst>
        </xdr:cNvPr>
        <xdr:cNvCxnSpPr/>
      </xdr:nvCxnSpPr>
      <xdr:spPr>
        <a:xfrm>
          <a:off x="8805333" y="215646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1965" name="Straight Arrow Connector 1964">
          <a:extLst>
            <a:ext uri="{FF2B5EF4-FFF2-40B4-BE49-F238E27FC236}">
              <a16:creationId xmlns:a16="http://schemas.microsoft.com/office/drawing/2014/main" id="{00000000-0008-0000-1200-0000AD070000}"/>
            </a:ext>
          </a:extLst>
        </xdr:cNvPr>
        <xdr:cNvCxnSpPr/>
      </xdr:nvCxnSpPr>
      <xdr:spPr>
        <a:xfrm>
          <a:off x="10593916" y="210026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1966" name="Straight Arrow Connector 1965">
          <a:extLst>
            <a:ext uri="{FF2B5EF4-FFF2-40B4-BE49-F238E27FC236}">
              <a16:creationId xmlns:a16="http://schemas.microsoft.com/office/drawing/2014/main" id="{00000000-0008-0000-1200-0000AE070000}"/>
            </a:ext>
          </a:extLst>
        </xdr:cNvPr>
        <xdr:cNvCxnSpPr/>
      </xdr:nvCxnSpPr>
      <xdr:spPr>
        <a:xfrm flipV="1">
          <a:off x="10541000" y="211698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1967" name="Straight Arrow Connector 1966">
          <a:extLst>
            <a:ext uri="{FF2B5EF4-FFF2-40B4-BE49-F238E27FC236}">
              <a16:creationId xmlns:a16="http://schemas.microsoft.com/office/drawing/2014/main" id="{00000000-0008-0000-1200-0000AF070000}"/>
            </a:ext>
          </a:extLst>
        </xdr:cNvPr>
        <xdr:cNvCxnSpPr/>
      </xdr:nvCxnSpPr>
      <xdr:spPr>
        <a:xfrm>
          <a:off x="10530417" y="212047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1968" name="Straight Arrow Connector 1967">
          <a:extLst>
            <a:ext uri="{FF2B5EF4-FFF2-40B4-BE49-F238E27FC236}">
              <a16:creationId xmlns:a16="http://schemas.microsoft.com/office/drawing/2014/main" id="{00000000-0008-0000-1200-0000B0070000}"/>
            </a:ext>
          </a:extLst>
        </xdr:cNvPr>
        <xdr:cNvCxnSpPr/>
      </xdr:nvCxnSpPr>
      <xdr:spPr>
        <a:xfrm>
          <a:off x="10530417" y="212026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1969" name="Straight Arrow Connector 1968">
          <a:extLst>
            <a:ext uri="{FF2B5EF4-FFF2-40B4-BE49-F238E27FC236}">
              <a16:creationId xmlns:a16="http://schemas.microsoft.com/office/drawing/2014/main" id="{00000000-0008-0000-1200-0000B1070000}"/>
            </a:ext>
          </a:extLst>
        </xdr:cNvPr>
        <xdr:cNvCxnSpPr/>
      </xdr:nvCxnSpPr>
      <xdr:spPr>
        <a:xfrm flipV="1">
          <a:off x="10530417" y="214312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1970" name="Straight Arrow Connector 1969">
          <a:extLst>
            <a:ext uri="{FF2B5EF4-FFF2-40B4-BE49-F238E27FC236}">
              <a16:creationId xmlns:a16="http://schemas.microsoft.com/office/drawing/2014/main" id="{00000000-0008-0000-1200-0000B2070000}"/>
            </a:ext>
          </a:extLst>
        </xdr:cNvPr>
        <xdr:cNvCxnSpPr/>
      </xdr:nvCxnSpPr>
      <xdr:spPr>
        <a:xfrm>
          <a:off x="10572750" y="214704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1971" name="Straight Arrow Connector 1970">
          <a:extLst>
            <a:ext uri="{FF2B5EF4-FFF2-40B4-BE49-F238E27FC236}">
              <a16:creationId xmlns:a16="http://schemas.microsoft.com/office/drawing/2014/main" id="{00000000-0008-0000-1200-0000B3070000}"/>
            </a:ext>
          </a:extLst>
        </xdr:cNvPr>
        <xdr:cNvCxnSpPr/>
      </xdr:nvCxnSpPr>
      <xdr:spPr>
        <a:xfrm>
          <a:off x="10551583" y="214704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1972" name="Straight Arrow Connector 1971">
          <a:extLst>
            <a:ext uri="{FF2B5EF4-FFF2-40B4-BE49-F238E27FC236}">
              <a16:creationId xmlns:a16="http://schemas.microsoft.com/office/drawing/2014/main" id="{00000000-0008-0000-1200-0000B4070000}"/>
            </a:ext>
          </a:extLst>
        </xdr:cNvPr>
        <xdr:cNvCxnSpPr/>
      </xdr:nvCxnSpPr>
      <xdr:spPr>
        <a:xfrm>
          <a:off x="10583333" y="214725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1973" name="Straight Arrow Connector 1972">
          <a:extLst>
            <a:ext uri="{FF2B5EF4-FFF2-40B4-BE49-F238E27FC236}">
              <a16:creationId xmlns:a16="http://schemas.microsoft.com/office/drawing/2014/main" id="{00000000-0008-0000-1200-0000B5070000}"/>
            </a:ext>
          </a:extLst>
        </xdr:cNvPr>
        <xdr:cNvCxnSpPr/>
      </xdr:nvCxnSpPr>
      <xdr:spPr>
        <a:xfrm>
          <a:off x="10562166" y="217360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1974" name="Straight Arrow Connector 1973">
          <a:extLst>
            <a:ext uri="{FF2B5EF4-FFF2-40B4-BE49-F238E27FC236}">
              <a16:creationId xmlns:a16="http://schemas.microsoft.com/office/drawing/2014/main" id="{00000000-0008-0000-1200-0000B6070000}"/>
            </a:ext>
          </a:extLst>
        </xdr:cNvPr>
        <xdr:cNvCxnSpPr/>
      </xdr:nvCxnSpPr>
      <xdr:spPr>
        <a:xfrm>
          <a:off x="10615083" y="217381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1975" name="Straight Arrow Connector 1974">
          <a:extLst>
            <a:ext uri="{FF2B5EF4-FFF2-40B4-BE49-F238E27FC236}">
              <a16:creationId xmlns:a16="http://schemas.microsoft.com/office/drawing/2014/main" id="{00000000-0008-0000-1200-0000B7070000}"/>
            </a:ext>
          </a:extLst>
        </xdr:cNvPr>
        <xdr:cNvCxnSpPr/>
      </xdr:nvCxnSpPr>
      <xdr:spPr>
        <a:xfrm>
          <a:off x="10572750" y="217413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1976" name="Straight Arrow Connector 1975">
          <a:extLst>
            <a:ext uri="{FF2B5EF4-FFF2-40B4-BE49-F238E27FC236}">
              <a16:creationId xmlns:a16="http://schemas.microsoft.com/office/drawing/2014/main" id="{00000000-0008-0000-1200-0000B8070000}"/>
            </a:ext>
          </a:extLst>
        </xdr:cNvPr>
        <xdr:cNvCxnSpPr/>
      </xdr:nvCxnSpPr>
      <xdr:spPr>
        <a:xfrm flipV="1">
          <a:off x="10583333" y="216841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1977" name="Straight Arrow Connector 1976">
          <a:extLst>
            <a:ext uri="{FF2B5EF4-FFF2-40B4-BE49-F238E27FC236}">
              <a16:creationId xmlns:a16="http://schemas.microsoft.com/office/drawing/2014/main" id="{00000000-0008-0000-1200-0000B9070000}"/>
            </a:ext>
          </a:extLst>
        </xdr:cNvPr>
        <xdr:cNvCxnSpPr/>
      </xdr:nvCxnSpPr>
      <xdr:spPr>
        <a:xfrm flipV="1">
          <a:off x="5207000" y="199580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1978" name="Straight Arrow Connector 1977">
          <a:extLst>
            <a:ext uri="{FF2B5EF4-FFF2-40B4-BE49-F238E27FC236}">
              <a16:creationId xmlns:a16="http://schemas.microsoft.com/office/drawing/2014/main" id="{00000000-0008-0000-1200-0000BA070000}"/>
            </a:ext>
          </a:extLst>
        </xdr:cNvPr>
        <xdr:cNvCxnSpPr/>
      </xdr:nvCxnSpPr>
      <xdr:spPr>
        <a:xfrm flipV="1">
          <a:off x="3714750" y="226123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1979" name="Straight Arrow Connector 1978">
          <a:extLst>
            <a:ext uri="{FF2B5EF4-FFF2-40B4-BE49-F238E27FC236}">
              <a16:creationId xmlns:a16="http://schemas.microsoft.com/office/drawing/2014/main" id="{00000000-0008-0000-1200-0000BB070000}"/>
            </a:ext>
          </a:extLst>
        </xdr:cNvPr>
        <xdr:cNvCxnSpPr/>
      </xdr:nvCxnSpPr>
      <xdr:spPr>
        <a:xfrm>
          <a:off x="3799417" y="233341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1980" name="Straight Arrow Connector 1979">
          <a:extLst>
            <a:ext uri="{FF2B5EF4-FFF2-40B4-BE49-F238E27FC236}">
              <a16:creationId xmlns:a16="http://schemas.microsoft.com/office/drawing/2014/main" id="{00000000-0008-0000-1200-0000BC070000}"/>
            </a:ext>
          </a:extLst>
        </xdr:cNvPr>
        <xdr:cNvCxnSpPr/>
      </xdr:nvCxnSpPr>
      <xdr:spPr>
        <a:xfrm flipV="1">
          <a:off x="5175250" y="221318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1981" name="Straight Arrow Connector 1980">
          <a:extLst>
            <a:ext uri="{FF2B5EF4-FFF2-40B4-BE49-F238E27FC236}">
              <a16:creationId xmlns:a16="http://schemas.microsoft.com/office/drawing/2014/main" id="{00000000-0008-0000-1200-0000BD070000}"/>
            </a:ext>
          </a:extLst>
        </xdr:cNvPr>
        <xdr:cNvCxnSpPr/>
      </xdr:nvCxnSpPr>
      <xdr:spPr>
        <a:xfrm>
          <a:off x="5175250" y="226134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1982" name="Straight Arrow Connector 1981">
          <a:extLst>
            <a:ext uri="{FF2B5EF4-FFF2-40B4-BE49-F238E27FC236}">
              <a16:creationId xmlns:a16="http://schemas.microsoft.com/office/drawing/2014/main" id="{00000000-0008-0000-1200-0000BE070000}"/>
            </a:ext>
          </a:extLst>
        </xdr:cNvPr>
        <xdr:cNvCxnSpPr/>
      </xdr:nvCxnSpPr>
      <xdr:spPr>
        <a:xfrm flipV="1">
          <a:off x="6381750" y="219784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1983" name="Straight Arrow Connector 1982">
          <a:extLst>
            <a:ext uri="{FF2B5EF4-FFF2-40B4-BE49-F238E27FC236}">
              <a16:creationId xmlns:a16="http://schemas.microsoft.com/office/drawing/2014/main" id="{00000000-0008-0000-1200-0000BF070000}"/>
            </a:ext>
          </a:extLst>
        </xdr:cNvPr>
        <xdr:cNvCxnSpPr/>
      </xdr:nvCxnSpPr>
      <xdr:spPr>
        <a:xfrm>
          <a:off x="6413500" y="221361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1984" name="Straight Arrow Connector 1983">
          <a:extLst>
            <a:ext uri="{FF2B5EF4-FFF2-40B4-BE49-F238E27FC236}">
              <a16:creationId xmlns:a16="http://schemas.microsoft.com/office/drawing/2014/main" id="{00000000-0008-0000-1200-0000C0070000}"/>
            </a:ext>
          </a:extLst>
        </xdr:cNvPr>
        <xdr:cNvCxnSpPr/>
      </xdr:nvCxnSpPr>
      <xdr:spPr>
        <a:xfrm flipV="1">
          <a:off x="7609417" y="222482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1985" name="Straight Arrow Connector 1984">
          <a:extLst>
            <a:ext uri="{FF2B5EF4-FFF2-40B4-BE49-F238E27FC236}">
              <a16:creationId xmlns:a16="http://schemas.microsoft.com/office/drawing/2014/main" id="{00000000-0008-0000-1200-0000C1070000}"/>
            </a:ext>
          </a:extLst>
        </xdr:cNvPr>
        <xdr:cNvCxnSpPr/>
      </xdr:nvCxnSpPr>
      <xdr:spPr>
        <a:xfrm>
          <a:off x="7598834" y="223498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1986" name="Straight Arrow Connector 1985">
          <a:extLst>
            <a:ext uri="{FF2B5EF4-FFF2-40B4-BE49-F238E27FC236}">
              <a16:creationId xmlns:a16="http://schemas.microsoft.com/office/drawing/2014/main" id="{00000000-0008-0000-1200-0000C2070000}"/>
            </a:ext>
          </a:extLst>
        </xdr:cNvPr>
        <xdr:cNvCxnSpPr/>
      </xdr:nvCxnSpPr>
      <xdr:spPr>
        <a:xfrm flipV="1">
          <a:off x="8794750" y="221572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1987" name="Straight Arrow Connector 1986">
          <a:extLst>
            <a:ext uri="{FF2B5EF4-FFF2-40B4-BE49-F238E27FC236}">
              <a16:creationId xmlns:a16="http://schemas.microsoft.com/office/drawing/2014/main" id="{00000000-0008-0000-1200-0000C3070000}"/>
            </a:ext>
          </a:extLst>
        </xdr:cNvPr>
        <xdr:cNvCxnSpPr/>
      </xdr:nvCxnSpPr>
      <xdr:spPr>
        <a:xfrm>
          <a:off x="8784166" y="222525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1988" name="Straight Arrow Connector 1987">
          <a:extLst>
            <a:ext uri="{FF2B5EF4-FFF2-40B4-BE49-F238E27FC236}">
              <a16:creationId xmlns:a16="http://schemas.microsoft.com/office/drawing/2014/main" id="{00000000-0008-0000-1200-0000C4070000}"/>
            </a:ext>
          </a:extLst>
        </xdr:cNvPr>
        <xdr:cNvCxnSpPr/>
      </xdr:nvCxnSpPr>
      <xdr:spPr>
        <a:xfrm flipV="1">
          <a:off x="8794750" y="225573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1989" name="Straight Arrow Connector 1988">
          <a:extLst>
            <a:ext uri="{FF2B5EF4-FFF2-40B4-BE49-F238E27FC236}">
              <a16:creationId xmlns:a16="http://schemas.microsoft.com/office/drawing/2014/main" id="{00000000-0008-0000-1200-0000C5070000}"/>
            </a:ext>
          </a:extLst>
        </xdr:cNvPr>
        <xdr:cNvCxnSpPr/>
      </xdr:nvCxnSpPr>
      <xdr:spPr>
        <a:xfrm>
          <a:off x="8805333" y="226504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1990" name="Straight Arrow Connector 1989">
          <a:extLst>
            <a:ext uri="{FF2B5EF4-FFF2-40B4-BE49-F238E27FC236}">
              <a16:creationId xmlns:a16="http://schemas.microsoft.com/office/drawing/2014/main" id="{00000000-0008-0000-1200-0000C6070000}"/>
            </a:ext>
          </a:extLst>
        </xdr:cNvPr>
        <xdr:cNvCxnSpPr/>
      </xdr:nvCxnSpPr>
      <xdr:spPr>
        <a:xfrm flipV="1">
          <a:off x="10541000" y="220027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1991" name="Straight Arrow Connector 1990">
          <a:extLst>
            <a:ext uri="{FF2B5EF4-FFF2-40B4-BE49-F238E27FC236}">
              <a16:creationId xmlns:a16="http://schemas.microsoft.com/office/drawing/2014/main" id="{00000000-0008-0000-1200-0000C7070000}"/>
            </a:ext>
          </a:extLst>
        </xdr:cNvPr>
        <xdr:cNvCxnSpPr/>
      </xdr:nvCxnSpPr>
      <xdr:spPr>
        <a:xfrm flipV="1">
          <a:off x="10583333" y="220651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1992" name="Straight Arrow Connector 1991">
          <a:extLst>
            <a:ext uri="{FF2B5EF4-FFF2-40B4-BE49-F238E27FC236}">
              <a16:creationId xmlns:a16="http://schemas.microsoft.com/office/drawing/2014/main" id="{00000000-0008-0000-1200-0000C8070000}"/>
            </a:ext>
          </a:extLst>
        </xdr:cNvPr>
        <xdr:cNvCxnSpPr/>
      </xdr:nvCxnSpPr>
      <xdr:spPr>
        <a:xfrm>
          <a:off x="10604500" y="221138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1993" name="Straight Arrow Connector 1992">
          <a:extLst>
            <a:ext uri="{FF2B5EF4-FFF2-40B4-BE49-F238E27FC236}">
              <a16:creationId xmlns:a16="http://schemas.microsoft.com/office/drawing/2014/main" id="{00000000-0008-0000-1200-0000C9070000}"/>
            </a:ext>
          </a:extLst>
        </xdr:cNvPr>
        <xdr:cNvCxnSpPr/>
      </xdr:nvCxnSpPr>
      <xdr:spPr>
        <a:xfrm>
          <a:off x="10519834" y="221085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1994" name="Straight Arrow Connector 1993">
          <a:extLst>
            <a:ext uri="{FF2B5EF4-FFF2-40B4-BE49-F238E27FC236}">
              <a16:creationId xmlns:a16="http://schemas.microsoft.com/office/drawing/2014/main" id="{00000000-0008-0000-1200-0000CA070000}"/>
            </a:ext>
          </a:extLst>
        </xdr:cNvPr>
        <xdr:cNvCxnSpPr/>
      </xdr:nvCxnSpPr>
      <xdr:spPr>
        <a:xfrm flipV="1">
          <a:off x="10541000" y="222556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1995" name="Straight Arrow Connector 1994">
          <a:extLst>
            <a:ext uri="{FF2B5EF4-FFF2-40B4-BE49-F238E27FC236}">
              <a16:creationId xmlns:a16="http://schemas.microsoft.com/office/drawing/2014/main" id="{00000000-0008-0000-1200-0000CB070000}"/>
            </a:ext>
          </a:extLst>
        </xdr:cNvPr>
        <xdr:cNvCxnSpPr/>
      </xdr:nvCxnSpPr>
      <xdr:spPr>
        <a:xfrm>
          <a:off x="10551583" y="222906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1996" name="Straight Arrow Connector 1995">
          <a:extLst>
            <a:ext uri="{FF2B5EF4-FFF2-40B4-BE49-F238E27FC236}">
              <a16:creationId xmlns:a16="http://schemas.microsoft.com/office/drawing/2014/main" id="{00000000-0008-0000-1200-0000CC070000}"/>
            </a:ext>
          </a:extLst>
        </xdr:cNvPr>
        <xdr:cNvCxnSpPr/>
      </xdr:nvCxnSpPr>
      <xdr:spPr>
        <a:xfrm>
          <a:off x="10530417" y="222906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1997" name="Straight Arrow Connector 1996">
          <a:extLst>
            <a:ext uri="{FF2B5EF4-FFF2-40B4-BE49-F238E27FC236}">
              <a16:creationId xmlns:a16="http://schemas.microsoft.com/office/drawing/2014/main" id="{00000000-0008-0000-1200-0000CD070000}"/>
            </a:ext>
          </a:extLst>
        </xdr:cNvPr>
        <xdr:cNvCxnSpPr/>
      </xdr:nvCxnSpPr>
      <xdr:spPr>
        <a:xfrm>
          <a:off x="10541000" y="222916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1998" name="Straight Arrow Connector 1997">
          <a:extLst>
            <a:ext uri="{FF2B5EF4-FFF2-40B4-BE49-F238E27FC236}">
              <a16:creationId xmlns:a16="http://schemas.microsoft.com/office/drawing/2014/main" id="{00000000-0008-0000-1200-0000CE070000}"/>
            </a:ext>
          </a:extLst>
        </xdr:cNvPr>
        <xdr:cNvCxnSpPr/>
      </xdr:nvCxnSpPr>
      <xdr:spPr>
        <a:xfrm flipV="1">
          <a:off x="6392333" y="230166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1999" name="Straight Arrow Connector 1998">
          <a:extLst>
            <a:ext uri="{FF2B5EF4-FFF2-40B4-BE49-F238E27FC236}">
              <a16:creationId xmlns:a16="http://schemas.microsoft.com/office/drawing/2014/main" id="{00000000-0008-0000-1200-0000CF070000}"/>
            </a:ext>
          </a:extLst>
        </xdr:cNvPr>
        <xdr:cNvCxnSpPr/>
      </xdr:nvCxnSpPr>
      <xdr:spPr>
        <a:xfrm>
          <a:off x="6413500" y="232198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2000" name="Straight Arrow Connector 1999">
          <a:extLst>
            <a:ext uri="{FF2B5EF4-FFF2-40B4-BE49-F238E27FC236}">
              <a16:creationId xmlns:a16="http://schemas.microsoft.com/office/drawing/2014/main" id="{00000000-0008-0000-1200-0000D0070000}"/>
            </a:ext>
          </a:extLst>
        </xdr:cNvPr>
        <xdr:cNvCxnSpPr/>
      </xdr:nvCxnSpPr>
      <xdr:spPr>
        <a:xfrm flipV="1">
          <a:off x="7556500" y="233330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2001" name="Straight Arrow Connector 2000">
          <a:extLst>
            <a:ext uri="{FF2B5EF4-FFF2-40B4-BE49-F238E27FC236}">
              <a16:creationId xmlns:a16="http://schemas.microsoft.com/office/drawing/2014/main" id="{00000000-0008-0000-1200-0000D1070000}"/>
            </a:ext>
          </a:extLst>
        </xdr:cNvPr>
        <xdr:cNvCxnSpPr/>
      </xdr:nvCxnSpPr>
      <xdr:spPr>
        <a:xfrm flipV="1">
          <a:off x="10530417" y="225171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2002" name="Straight Arrow Connector 2001">
          <a:extLst>
            <a:ext uri="{FF2B5EF4-FFF2-40B4-BE49-F238E27FC236}">
              <a16:creationId xmlns:a16="http://schemas.microsoft.com/office/drawing/2014/main" id="{00000000-0008-0000-1200-0000D2070000}"/>
            </a:ext>
          </a:extLst>
        </xdr:cNvPr>
        <xdr:cNvCxnSpPr/>
      </xdr:nvCxnSpPr>
      <xdr:spPr>
        <a:xfrm>
          <a:off x="10572750" y="225562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2003" name="Straight Arrow Connector 2002">
          <a:extLst>
            <a:ext uri="{FF2B5EF4-FFF2-40B4-BE49-F238E27FC236}">
              <a16:creationId xmlns:a16="http://schemas.microsoft.com/office/drawing/2014/main" id="{00000000-0008-0000-1200-0000D3070000}"/>
            </a:ext>
          </a:extLst>
        </xdr:cNvPr>
        <xdr:cNvCxnSpPr/>
      </xdr:nvCxnSpPr>
      <xdr:spPr>
        <a:xfrm>
          <a:off x="10551583" y="225562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2004" name="Straight Arrow Connector 2003">
          <a:extLst>
            <a:ext uri="{FF2B5EF4-FFF2-40B4-BE49-F238E27FC236}">
              <a16:creationId xmlns:a16="http://schemas.microsoft.com/office/drawing/2014/main" id="{00000000-0008-0000-1200-0000D4070000}"/>
            </a:ext>
          </a:extLst>
        </xdr:cNvPr>
        <xdr:cNvCxnSpPr/>
      </xdr:nvCxnSpPr>
      <xdr:spPr>
        <a:xfrm>
          <a:off x="10583333" y="225583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2005" name="Straight Arrow Connector 2004">
          <a:extLst>
            <a:ext uri="{FF2B5EF4-FFF2-40B4-BE49-F238E27FC236}">
              <a16:creationId xmlns:a16="http://schemas.microsoft.com/office/drawing/2014/main" id="{00000000-0008-0000-1200-0000D5070000}"/>
            </a:ext>
          </a:extLst>
        </xdr:cNvPr>
        <xdr:cNvCxnSpPr/>
      </xdr:nvCxnSpPr>
      <xdr:spPr>
        <a:xfrm>
          <a:off x="10562166" y="228219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2006" name="Straight Arrow Connector 2005">
          <a:extLst>
            <a:ext uri="{FF2B5EF4-FFF2-40B4-BE49-F238E27FC236}">
              <a16:creationId xmlns:a16="http://schemas.microsoft.com/office/drawing/2014/main" id="{00000000-0008-0000-1200-0000D6070000}"/>
            </a:ext>
          </a:extLst>
        </xdr:cNvPr>
        <xdr:cNvCxnSpPr/>
      </xdr:nvCxnSpPr>
      <xdr:spPr>
        <a:xfrm>
          <a:off x="10615083" y="228240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2007" name="Straight Arrow Connector 2006">
          <a:extLst>
            <a:ext uri="{FF2B5EF4-FFF2-40B4-BE49-F238E27FC236}">
              <a16:creationId xmlns:a16="http://schemas.microsoft.com/office/drawing/2014/main" id="{00000000-0008-0000-1200-0000D7070000}"/>
            </a:ext>
          </a:extLst>
        </xdr:cNvPr>
        <xdr:cNvCxnSpPr/>
      </xdr:nvCxnSpPr>
      <xdr:spPr>
        <a:xfrm>
          <a:off x="10572750" y="228271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2008" name="Straight Arrow Connector 2007">
          <a:extLst>
            <a:ext uri="{FF2B5EF4-FFF2-40B4-BE49-F238E27FC236}">
              <a16:creationId xmlns:a16="http://schemas.microsoft.com/office/drawing/2014/main" id="{00000000-0008-0000-1200-0000D8070000}"/>
            </a:ext>
          </a:extLst>
        </xdr:cNvPr>
        <xdr:cNvCxnSpPr/>
      </xdr:nvCxnSpPr>
      <xdr:spPr>
        <a:xfrm flipV="1">
          <a:off x="10562166" y="231002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2009" name="Straight Arrow Connector 2008">
          <a:extLst>
            <a:ext uri="{FF2B5EF4-FFF2-40B4-BE49-F238E27FC236}">
              <a16:creationId xmlns:a16="http://schemas.microsoft.com/office/drawing/2014/main" id="{00000000-0008-0000-1200-0000D9070000}"/>
            </a:ext>
          </a:extLst>
        </xdr:cNvPr>
        <xdr:cNvCxnSpPr/>
      </xdr:nvCxnSpPr>
      <xdr:spPr>
        <a:xfrm flipV="1">
          <a:off x="10604500" y="231362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2010" name="Straight Arrow Connector 2009">
          <a:extLst>
            <a:ext uri="{FF2B5EF4-FFF2-40B4-BE49-F238E27FC236}">
              <a16:creationId xmlns:a16="http://schemas.microsoft.com/office/drawing/2014/main" id="{00000000-0008-0000-1200-0000DA070000}"/>
            </a:ext>
          </a:extLst>
        </xdr:cNvPr>
        <xdr:cNvCxnSpPr/>
      </xdr:nvCxnSpPr>
      <xdr:spPr>
        <a:xfrm>
          <a:off x="10593916" y="231764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2011" name="Straight Arrow Connector 2010">
          <a:extLst>
            <a:ext uri="{FF2B5EF4-FFF2-40B4-BE49-F238E27FC236}">
              <a16:creationId xmlns:a16="http://schemas.microsoft.com/office/drawing/2014/main" id="{00000000-0008-0000-1200-0000DB070000}"/>
            </a:ext>
          </a:extLst>
        </xdr:cNvPr>
        <xdr:cNvCxnSpPr/>
      </xdr:nvCxnSpPr>
      <xdr:spPr>
        <a:xfrm>
          <a:off x="10572750" y="233859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2012" name="Straight Arrow Connector 2011">
          <a:extLst>
            <a:ext uri="{FF2B5EF4-FFF2-40B4-BE49-F238E27FC236}">
              <a16:creationId xmlns:a16="http://schemas.microsoft.com/office/drawing/2014/main" id="{00000000-0008-0000-1200-0000DC070000}"/>
            </a:ext>
          </a:extLst>
        </xdr:cNvPr>
        <xdr:cNvCxnSpPr/>
      </xdr:nvCxnSpPr>
      <xdr:spPr>
        <a:xfrm flipV="1">
          <a:off x="10583333" y="227700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2013" name="Straight Arrow Connector 2012">
          <a:extLst>
            <a:ext uri="{FF2B5EF4-FFF2-40B4-BE49-F238E27FC236}">
              <a16:creationId xmlns:a16="http://schemas.microsoft.com/office/drawing/2014/main" id="{00000000-0008-0000-1200-0000DD070000}"/>
            </a:ext>
          </a:extLst>
        </xdr:cNvPr>
        <xdr:cNvCxnSpPr/>
      </xdr:nvCxnSpPr>
      <xdr:spPr>
        <a:xfrm>
          <a:off x="7598834" y="234357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2014" name="Straight Arrow Connector 2013">
          <a:extLst>
            <a:ext uri="{FF2B5EF4-FFF2-40B4-BE49-F238E27FC236}">
              <a16:creationId xmlns:a16="http://schemas.microsoft.com/office/drawing/2014/main" id="{00000000-0008-0000-1200-0000DE070000}"/>
            </a:ext>
          </a:extLst>
        </xdr:cNvPr>
        <xdr:cNvCxnSpPr/>
      </xdr:nvCxnSpPr>
      <xdr:spPr>
        <a:xfrm flipV="1">
          <a:off x="8794750" y="232431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2015" name="Straight Arrow Connector 2014">
          <a:extLst>
            <a:ext uri="{FF2B5EF4-FFF2-40B4-BE49-F238E27FC236}">
              <a16:creationId xmlns:a16="http://schemas.microsoft.com/office/drawing/2014/main" id="{00000000-0008-0000-1200-0000DF070000}"/>
            </a:ext>
          </a:extLst>
        </xdr:cNvPr>
        <xdr:cNvCxnSpPr/>
      </xdr:nvCxnSpPr>
      <xdr:spPr>
        <a:xfrm>
          <a:off x="8784166" y="233383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2016" name="Straight Arrow Connector 2015">
          <a:extLst>
            <a:ext uri="{FF2B5EF4-FFF2-40B4-BE49-F238E27FC236}">
              <a16:creationId xmlns:a16="http://schemas.microsoft.com/office/drawing/2014/main" id="{00000000-0008-0000-1200-0000E0070000}"/>
            </a:ext>
          </a:extLst>
        </xdr:cNvPr>
        <xdr:cNvCxnSpPr/>
      </xdr:nvCxnSpPr>
      <xdr:spPr>
        <a:xfrm flipV="1">
          <a:off x="8794750" y="236431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2017" name="Straight Arrow Connector 2016">
          <a:extLst>
            <a:ext uri="{FF2B5EF4-FFF2-40B4-BE49-F238E27FC236}">
              <a16:creationId xmlns:a16="http://schemas.microsoft.com/office/drawing/2014/main" id="{00000000-0008-0000-1200-0000E1070000}"/>
            </a:ext>
          </a:extLst>
        </xdr:cNvPr>
        <xdr:cNvCxnSpPr/>
      </xdr:nvCxnSpPr>
      <xdr:spPr>
        <a:xfrm>
          <a:off x="8805333" y="237363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2018" name="Straight Arrow Connector 2017">
          <a:extLst>
            <a:ext uri="{FF2B5EF4-FFF2-40B4-BE49-F238E27FC236}">
              <a16:creationId xmlns:a16="http://schemas.microsoft.com/office/drawing/2014/main" id="{00000000-0008-0000-1200-0000E2070000}"/>
            </a:ext>
          </a:extLst>
        </xdr:cNvPr>
        <xdr:cNvCxnSpPr/>
      </xdr:nvCxnSpPr>
      <xdr:spPr>
        <a:xfrm>
          <a:off x="10593916" y="231743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2019" name="Straight Arrow Connector 2018">
          <a:extLst>
            <a:ext uri="{FF2B5EF4-FFF2-40B4-BE49-F238E27FC236}">
              <a16:creationId xmlns:a16="http://schemas.microsoft.com/office/drawing/2014/main" id="{00000000-0008-0000-1200-0000E3070000}"/>
            </a:ext>
          </a:extLst>
        </xdr:cNvPr>
        <xdr:cNvCxnSpPr/>
      </xdr:nvCxnSpPr>
      <xdr:spPr>
        <a:xfrm flipV="1">
          <a:off x="10541000" y="233415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2020" name="Straight Arrow Connector 2019">
          <a:extLst>
            <a:ext uri="{FF2B5EF4-FFF2-40B4-BE49-F238E27FC236}">
              <a16:creationId xmlns:a16="http://schemas.microsoft.com/office/drawing/2014/main" id="{00000000-0008-0000-1200-0000E4070000}"/>
            </a:ext>
          </a:extLst>
        </xdr:cNvPr>
        <xdr:cNvCxnSpPr/>
      </xdr:nvCxnSpPr>
      <xdr:spPr>
        <a:xfrm>
          <a:off x="10530417" y="233764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2021" name="Straight Arrow Connector 2020">
          <a:extLst>
            <a:ext uri="{FF2B5EF4-FFF2-40B4-BE49-F238E27FC236}">
              <a16:creationId xmlns:a16="http://schemas.microsoft.com/office/drawing/2014/main" id="{00000000-0008-0000-1200-0000E5070000}"/>
            </a:ext>
          </a:extLst>
        </xdr:cNvPr>
        <xdr:cNvCxnSpPr/>
      </xdr:nvCxnSpPr>
      <xdr:spPr>
        <a:xfrm>
          <a:off x="10530417" y="233743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2022" name="Straight Arrow Connector 2021">
          <a:extLst>
            <a:ext uri="{FF2B5EF4-FFF2-40B4-BE49-F238E27FC236}">
              <a16:creationId xmlns:a16="http://schemas.microsoft.com/office/drawing/2014/main" id="{00000000-0008-0000-1200-0000E6070000}"/>
            </a:ext>
          </a:extLst>
        </xdr:cNvPr>
        <xdr:cNvCxnSpPr/>
      </xdr:nvCxnSpPr>
      <xdr:spPr>
        <a:xfrm flipV="1">
          <a:off x="10530417" y="236029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2023" name="Straight Arrow Connector 2022">
          <a:extLst>
            <a:ext uri="{FF2B5EF4-FFF2-40B4-BE49-F238E27FC236}">
              <a16:creationId xmlns:a16="http://schemas.microsoft.com/office/drawing/2014/main" id="{00000000-0008-0000-1200-0000E7070000}"/>
            </a:ext>
          </a:extLst>
        </xdr:cNvPr>
        <xdr:cNvCxnSpPr/>
      </xdr:nvCxnSpPr>
      <xdr:spPr>
        <a:xfrm>
          <a:off x="10572750" y="236421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2024" name="Straight Arrow Connector 2023">
          <a:extLst>
            <a:ext uri="{FF2B5EF4-FFF2-40B4-BE49-F238E27FC236}">
              <a16:creationId xmlns:a16="http://schemas.microsoft.com/office/drawing/2014/main" id="{00000000-0008-0000-1200-0000E8070000}"/>
            </a:ext>
          </a:extLst>
        </xdr:cNvPr>
        <xdr:cNvCxnSpPr/>
      </xdr:nvCxnSpPr>
      <xdr:spPr>
        <a:xfrm>
          <a:off x="10551583" y="236421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2025" name="Straight Arrow Connector 2024">
          <a:extLst>
            <a:ext uri="{FF2B5EF4-FFF2-40B4-BE49-F238E27FC236}">
              <a16:creationId xmlns:a16="http://schemas.microsoft.com/office/drawing/2014/main" id="{00000000-0008-0000-1200-0000E9070000}"/>
            </a:ext>
          </a:extLst>
        </xdr:cNvPr>
        <xdr:cNvCxnSpPr/>
      </xdr:nvCxnSpPr>
      <xdr:spPr>
        <a:xfrm>
          <a:off x="10583333" y="236442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2026" name="Straight Arrow Connector 2025">
          <a:extLst>
            <a:ext uri="{FF2B5EF4-FFF2-40B4-BE49-F238E27FC236}">
              <a16:creationId xmlns:a16="http://schemas.microsoft.com/office/drawing/2014/main" id="{00000000-0008-0000-1200-0000EA070000}"/>
            </a:ext>
          </a:extLst>
        </xdr:cNvPr>
        <xdr:cNvCxnSpPr/>
      </xdr:nvCxnSpPr>
      <xdr:spPr>
        <a:xfrm>
          <a:off x="10562166" y="239077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2027" name="Straight Arrow Connector 2026">
          <a:extLst>
            <a:ext uri="{FF2B5EF4-FFF2-40B4-BE49-F238E27FC236}">
              <a16:creationId xmlns:a16="http://schemas.microsoft.com/office/drawing/2014/main" id="{00000000-0008-0000-1200-0000EB070000}"/>
            </a:ext>
          </a:extLst>
        </xdr:cNvPr>
        <xdr:cNvCxnSpPr/>
      </xdr:nvCxnSpPr>
      <xdr:spPr>
        <a:xfrm>
          <a:off x="10615083" y="239098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2028" name="Straight Arrow Connector 2027">
          <a:extLst>
            <a:ext uri="{FF2B5EF4-FFF2-40B4-BE49-F238E27FC236}">
              <a16:creationId xmlns:a16="http://schemas.microsoft.com/office/drawing/2014/main" id="{00000000-0008-0000-1200-0000EC070000}"/>
            </a:ext>
          </a:extLst>
        </xdr:cNvPr>
        <xdr:cNvCxnSpPr/>
      </xdr:nvCxnSpPr>
      <xdr:spPr>
        <a:xfrm>
          <a:off x="10572750" y="239130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2029" name="Straight Arrow Connector 2028">
          <a:extLst>
            <a:ext uri="{FF2B5EF4-FFF2-40B4-BE49-F238E27FC236}">
              <a16:creationId xmlns:a16="http://schemas.microsoft.com/office/drawing/2014/main" id="{00000000-0008-0000-1200-0000ED070000}"/>
            </a:ext>
          </a:extLst>
        </xdr:cNvPr>
        <xdr:cNvCxnSpPr/>
      </xdr:nvCxnSpPr>
      <xdr:spPr>
        <a:xfrm flipV="1">
          <a:off x="10583333" y="238558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2030" name="Straight Arrow Connector 2029">
          <a:extLst>
            <a:ext uri="{FF2B5EF4-FFF2-40B4-BE49-F238E27FC236}">
              <a16:creationId xmlns:a16="http://schemas.microsoft.com/office/drawing/2014/main" id="{00000000-0008-0000-1200-0000EE070000}"/>
            </a:ext>
          </a:extLst>
        </xdr:cNvPr>
        <xdr:cNvCxnSpPr/>
      </xdr:nvCxnSpPr>
      <xdr:spPr>
        <a:xfrm>
          <a:off x="5080000" y="247173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2031" name="Straight Arrow Connector 2030">
          <a:extLst>
            <a:ext uri="{FF2B5EF4-FFF2-40B4-BE49-F238E27FC236}">
              <a16:creationId xmlns:a16="http://schemas.microsoft.com/office/drawing/2014/main" id="{00000000-0008-0000-1200-0000EF070000}"/>
            </a:ext>
          </a:extLst>
        </xdr:cNvPr>
        <xdr:cNvCxnSpPr/>
      </xdr:nvCxnSpPr>
      <xdr:spPr>
        <a:xfrm flipV="1">
          <a:off x="6381750" y="24150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2032" name="Straight Arrow Connector 2031">
          <a:extLst>
            <a:ext uri="{FF2B5EF4-FFF2-40B4-BE49-F238E27FC236}">
              <a16:creationId xmlns:a16="http://schemas.microsoft.com/office/drawing/2014/main" id="{00000000-0008-0000-1200-0000F0070000}"/>
            </a:ext>
          </a:extLst>
        </xdr:cNvPr>
        <xdr:cNvCxnSpPr/>
      </xdr:nvCxnSpPr>
      <xdr:spPr>
        <a:xfrm>
          <a:off x="6413500" y="24307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2033" name="Straight Arrow Connector 2032">
          <a:extLst>
            <a:ext uri="{FF2B5EF4-FFF2-40B4-BE49-F238E27FC236}">
              <a16:creationId xmlns:a16="http://schemas.microsoft.com/office/drawing/2014/main" id="{00000000-0008-0000-1200-0000F1070000}"/>
            </a:ext>
          </a:extLst>
        </xdr:cNvPr>
        <xdr:cNvCxnSpPr/>
      </xdr:nvCxnSpPr>
      <xdr:spPr>
        <a:xfrm flipV="1">
          <a:off x="7609417" y="24419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2034" name="Straight Arrow Connector 2033">
          <a:extLst>
            <a:ext uri="{FF2B5EF4-FFF2-40B4-BE49-F238E27FC236}">
              <a16:creationId xmlns:a16="http://schemas.microsoft.com/office/drawing/2014/main" id="{00000000-0008-0000-1200-0000F2070000}"/>
            </a:ext>
          </a:extLst>
        </xdr:cNvPr>
        <xdr:cNvCxnSpPr/>
      </xdr:nvCxnSpPr>
      <xdr:spPr>
        <a:xfrm>
          <a:off x="7598834" y="24521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2035" name="Straight Arrow Connector 2034">
          <a:extLst>
            <a:ext uri="{FF2B5EF4-FFF2-40B4-BE49-F238E27FC236}">
              <a16:creationId xmlns:a16="http://schemas.microsoft.com/office/drawing/2014/main" id="{00000000-0008-0000-1200-0000F3070000}"/>
            </a:ext>
          </a:extLst>
        </xdr:cNvPr>
        <xdr:cNvCxnSpPr/>
      </xdr:nvCxnSpPr>
      <xdr:spPr>
        <a:xfrm flipV="1">
          <a:off x="8794750" y="24328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2036" name="Straight Arrow Connector 2035">
          <a:extLst>
            <a:ext uri="{FF2B5EF4-FFF2-40B4-BE49-F238E27FC236}">
              <a16:creationId xmlns:a16="http://schemas.microsoft.com/office/drawing/2014/main" id="{00000000-0008-0000-1200-0000F4070000}"/>
            </a:ext>
          </a:extLst>
        </xdr:cNvPr>
        <xdr:cNvCxnSpPr/>
      </xdr:nvCxnSpPr>
      <xdr:spPr>
        <a:xfrm>
          <a:off x="8784166" y="24424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2037" name="Straight Arrow Connector 2036">
          <a:extLst>
            <a:ext uri="{FF2B5EF4-FFF2-40B4-BE49-F238E27FC236}">
              <a16:creationId xmlns:a16="http://schemas.microsoft.com/office/drawing/2014/main" id="{00000000-0008-0000-1200-0000F5070000}"/>
            </a:ext>
          </a:extLst>
        </xdr:cNvPr>
        <xdr:cNvCxnSpPr/>
      </xdr:nvCxnSpPr>
      <xdr:spPr>
        <a:xfrm flipV="1">
          <a:off x="8794750" y="24729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2038" name="Straight Arrow Connector 2037">
          <a:extLst>
            <a:ext uri="{FF2B5EF4-FFF2-40B4-BE49-F238E27FC236}">
              <a16:creationId xmlns:a16="http://schemas.microsoft.com/office/drawing/2014/main" id="{00000000-0008-0000-1200-0000F6070000}"/>
            </a:ext>
          </a:extLst>
        </xdr:cNvPr>
        <xdr:cNvCxnSpPr/>
      </xdr:nvCxnSpPr>
      <xdr:spPr>
        <a:xfrm>
          <a:off x="8805333" y="24822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2039" name="Straight Arrow Connector 2038">
          <a:extLst>
            <a:ext uri="{FF2B5EF4-FFF2-40B4-BE49-F238E27FC236}">
              <a16:creationId xmlns:a16="http://schemas.microsoft.com/office/drawing/2014/main" id="{00000000-0008-0000-1200-0000F7070000}"/>
            </a:ext>
          </a:extLst>
        </xdr:cNvPr>
        <xdr:cNvCxnSpPr/>
      </xdr:nvCxnSpPr>
      <xdr:spPr>
        <a:xfrm flipV="1">
          <a:off x="10541000" y="24174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2040" name="Straight Arrow Connector 2039">
          <a:extLst>
            <a:ext uri="{FF2B5EF4-FFF2-40B4-BE49-F238E27FC236}">
              <a16:creationId xmlns:a16="http://schemas.microsoft.com/office/drawing/2014/main" id="{00000000-0008-0000-1200-0000F8070000}"/>
            </a:ext>
          </a:extLst>
        </xdr:cNvPr>
        <xdr:cNvCxnSpPr/>
      </xdr:nvCxnSpPr>
      <xdr:spPr>
        <a:xfrm flipV="1">
          <a:off x="10583333" y="24236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2041" name="Straight Arrow Connector 2040">
          <a:extLst>
            <a:ext uri="{FF2B5EF4-FFF2-40B4-BE49-F238E27FC236}">
              <a16:creationId xmlns:a16="http://schemas.microsoft.com/office/drawing/2014/main" id="{00000000-0008-0000-1200-0000F9070000}"/>
            </a:ext>
          </a:extLst>
        </xdr:cNvPr>
        <xdr:cNvCxnSpPr/>
      </xdr:nvCxnSpPr>
      <xdr:spPr>
        <a:xfrm>
          <a:off x="10604500" y="24285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2042" name="Straight Arrow Connector 2041">
          <a:extLst>
            <a:ext uri="{FF2B5EF4-FFF2-40B4-BE49-F238E27FC236}">
              <a16:creationId xmlns:a16="http://schemas.microsoft.com/office/drawing/2014/main" id="{00000000-0008-0000-1200-0000FA070000}"/>
            </a:ext>
          </a:extLst>
        </xdr:cNvPr>
        <xdr:cNvCxnSpPr/>
      </xdr:nvCxnSpPr>
      <xdr:spPr>
        <a:xfrm>
          <a:off x="10519834" y="24280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2043" name="Straight Arrow Connector 2042">
          <a:extLst>
            <a:ext uri="{FF2B5EF4-FFF2-40B4-BE49-F238E27FC236}">
              <a16:creationId xmlns:a16="http://schemas.microsoft.com/office/drawing/2014/main" id="{00000000-0008-0000-1200-0000FB070000}"/>
            </a:ext>
          </a:extLst>
        </xdr:cNvPr>
        <xdr:cNvCxnSpPr/>
      </xdr:nvCxnSpPr>
      <xdr:spPr>
        <a:xfrm flipV="1">
          <a:off x="10541000" y="24427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2044" name="Straight Arrow Connector 2043">
          <a:extLst>
            <a:ext uri="{FF2B5EF4-FFF2-40B4-BE49-F238E27FC236}">
              <a16:creationId xmlns:a16="http://schemas.microsoft.com/office/drawing/2014/main" id="{00000000-0008-0000-1200-0000FC070000}"/>
            </a:ext>
          </a:extLst>
        </xdr:cNvPr>
        <xdr:cNvCxnSpPr/>
      </xdr:nvCxnSpPr>
      <xdr:spPr>
        <a:xfrm>
          <a:off x="10551583" y="24462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2045" name="Straight Arrow Connector 2044">
          <a:extLst>
            <a:ext uri="{FF2B5EF4-FFF2-40B4-BE49-F238E27FC236}">
              <a16:creationId xmlns:a16="http://schemas.microsoft.com/office/drawing/2014/main" id="{00000000-0008-0000-1200-0000FD070000}"/>
            </a:ext>
          </a:extLst>
        </xdr:cNvPr>
        <xdr:cNvCxnSpPr/>
      </xdr:nvCxnSpPr>
      <xdr:spPr>
        <a:xfrm>
          <a:off x="10530417" y="24462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2046" name="Straight Arrow Connector 2045">
          <a:extLst>
            <a:ext uri="{FF2B5EF4-FFF2-40B4-BE49-F238E27FC236}">
              <a16:creationId xmlns:a16="http://schemas.microsoft.com/office/drawing/2014/main" id="{00000000-0008-0000-1200-0000FE070000}"/>
            </a:ext>
          </a:extLst>
        </xdr:cNvPr>
        <xdr:cNvCxnSpPr/>
      </xdr:nvCxnSpPr>
      <xdr:spPr>
        <a:xfrm>
          <a:off x="10541000" y="24463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2047" name="Straight Arrow Connector 2046">
          <a:extLst>
            <a:ext uri="{FF2B5EF4-FFF2-40B4-BE49-F238E27FC236}">
              <a16:creationId xmlns:a16="http://schemas.microsoft.com/office/drawing/2014/main" id="{00000000-0008-0000-1200-0000FF070000}"/>
            </a:ext>
          </a:extLst>
        </xdr:cNvPr>
        <xdr:cNvCxnSpPr/>
      </xdr:nvCxnSpPr>
      <xdr:spPr>
        <a:xfrm flipV="1">
          <a:off x="6392333" y="25188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2048" name="Straight Arrow Connector 2047">
          <a:extLst>
            <a:ext uri="{FF2B5EF4-FFF2-40B4-BE49-F238E27FC236}">
              <a16:creationId xmlns:a16="http://schemas.microsoft.com/office/drawing/2014/main" id="{00000000-0008-0000-1200-000000080000}"/>
            </a:ext>
          </a:extLst>
        </xdr:cNvPr>
        <xdr:cNvCxnSpPr/>
      </xdr:nvCxnSpPr>
      <xdr:spPr>
        <a:xfrm>
          <a:off x="6413500" y="25391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2049" name="Straight Arrow Connector 2048">
          <a:extLst>
            <a:ext uri="{FF2B5EF4-FFF2-40B4-BE49-F238E27FC236}">
              <a16:creationId xmlns:a16="http://schemas.microsoft.com/office/drawing/2014/main" id="{00000000-0008-0000-1200-000001080000}"/>
            </a:ext>
          </a:extLst>
        </xdr:cNvPr>
        <xdr:cNvCxnSpPr/>
      </xdr:nvCxnSpPr>
      <xdr:spPr>
        <a:xfrm flipV="1">
          <a:off x="7556500" y="25504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2050" name="Straight Arrow Connector 2049">
          <a:extLst>
            <a:ext uri="{FF2B5EF4-FFF2-40B4-BE49-F238E27FC236}">
              <a16:creationId xmlns:a16="http://schemas.microsoft.com/office/drawing/2014/main" id="{00000000-0008-0000-1200-000002080000}"/>
            </a:ext>
          </a:extLst>
        </xdr:cNvPr>
        <xdr:cNvCxnSpPr/>
      </xdr:nvCxnSpPr>
      <xdr:spPr>
        <a:xfrm flipV="1">
          <a:off x="10530417" y="24688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2051" name="Straight Arrow Connector 2050">
          <a:extLst>
            <a:ext uri="{FF2B5EF4-FFF2-40B4-BE49-F238E27FC236}">
              <a16:creationId xmlns:a16="http://schemas.microsoft.com/office/drawing/2014/main" id="{00000000-0008-0000-1200-000003080000}"/>
            </a:ext>
          </a:extLst>
        </xdr:cNvPr>
        <xdr:cNvCxnSpPr/>
      </xdr:nvCxnSpPr>
      <xdr:spPr>
        <a:xfrm>
          <a:off x="10572750" y="24727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2052" name="Straight Arrow Connector 2051">
          <a:extLst>
            <a:ext uri="{FF2B5EF4-FFF2-40B4-BE49-F238E27FC236}">
              <a16:creationId xmlns:a16="http://schemas.microsoft.com/office/drawing/2014/main" id="{00000000-0008-0000-1200-000004080000}"/>
            </a:ext>
          </a:extLst>
        </xdr:cNvPr>
        <xdr:cNvCxnSpPr/>
      </xdr:nvCxnSpPr>
      <xdr:spPr>
        <a:xfrm>
          <a:off x="10551583" y="24727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2053" name="Straight Arrow Connector 2052">
          <a:extLst>
            <a:ext uri="{FF2B5EF4-FFF2-40B4-BE49-F238E27FC236}">
              <a16:creationId xmlns:a16="http://schemas.microsoft.com/office/drawing/2014/main" id="{00000000-0008-0000-1200-000005080000}"/>
            </a:ext>
          </a:extLst>
        </xdr:cNvPr>
        <xdr:cNvCxnSpPr/>
      </xdr:nvCxnSpPr>
      <xdr:spPr>
        <a:xfrm>
          <a:off x="10583333" y="24730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2054" name="Straight Arrow Connector 2053">
          <a:extLst>
            <a:ext uri="{FF2B5EF4-FFF2-40B4-BE49-F238E27FC236}">
              <a16:creationId xmlns:a16="http://schemas.microsoft.com/office/drawing/2014/main" id="{00000000-0008-0000-1200-000006080000}"/>
            </a:ext>
          </a:extLst>
        </xdr:cNvPr>
        <xdr:cNvCxnSpPr/>
      </xdr:nvCxnSpPr>
      <xdr:spPr>
        <a:xfrm>
          <a:off x="10562166" y="24993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2055" name="Straight Arrow Connector 2054">
          <a:extLst>
            <a:ext uri="{FF2B5EF4-FFF2-40B4-BE49-F238E27FC236}">
              <a16:creationId xmlns:a16="http://schemas.microsoft.com/office/drawing/2014/main" id="{00000000-0008-0000-1200-000007080000}"/>
            </a:ext>
          </a:extLst>
        </xdr:cNvPr>
        <xdr:cNvCxnSpPr/>
      </xdr:nvCxnSpPr>
      <xdr:spPr>
        <a:xfrm>
          <a:off x="10615083" y="24995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2056" name="Straight Arrow Connector 2055">
          <a:extLst>
            <a:ext uri="{FF2B5EF4-FFF2-40B4-BE49-F238E27FC236}">
              <a16:creationId xmlns:a16="http://schemas.microsoft.com/office/drawing/2014/main" id="{00000000-0008-0000-1200-000008080000}"/>
            </a:ext>
          </a:extLst>
        </xdr:cNvPr>
        <xdr:cNvCxnSpPr/>
      </xdr:nvCxnSpPr>
      <xdr:spPr>
        <a:xfrm>
          <a:off x="10572750" y="24998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2057" name="Straight Arrow Connector 2056">
          <a:extLst>
            <a:ext uri="{FF2B5EF4-FFF2-40B4-BE49-F238E27FC236}">
              <a16:creationId xmlns:a16="http://schemas.microsoft.com/office/drawing/2014/main" id="{00000000-0008-0000-1200-000009080000}"/>
            </a:ext>
          </a:extLst>
        </xdr:cNvPr>
        <xdr:cNvCxnSpPr/>
      </xdr:nvCxnSpPr>
      <xdr:spPr>
        <a:xfrm flipV="1">
          <a:off x="10562166" y="25271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2058" name="Straight Arrow Connector 2057">
          <a:extLst>
            <a:ext uri="{FF2B5EF4-FFF2-40B4-BE49-F238E27FC236}">
              <a16:creationId xmlns:a16="http://schemas.microsoft.com/office/drawing/2014/main" id="{00000000-0008-0000-1200-00000A080000}"/>
            </a:ext>
          </a:extLst>
        </xdr:cNvPr>
        <xdr:cNvCxnSpPr/>
      </xdr:nvCxnSpPr>
      <xdr:spPr>
        <a:xfrm flipV="1">
          <a:off x="10604500" y="25307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2059" name="Straight Arrow Connector 2058">
          <a:extLst>
            <a:ext uri="{FF2B5EF4-FFF2-40B4-BE49-F238E27FC236}">
              <a16:creationId xmlns:a16="http://schemas.microsoft.com/office/drawing/2014/main" id="{00000000-0008-0000-1200-00000B080000}"/>
            </a:ext>
          </a:extLst>
        </xdr:cNvPr>
        <xdr:cNvCxnSpPr/>
      </xdr:nvCxnSpPr>
      <xdr:spPr>
        <a:xfrm>
          <a:off x="10593916" y="25348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2060" name="Straight Arrow Connector 2059">
          <a:extLst>
            <a:ext uri="{FF2B5EF4-FFF2-40B4-BE49-F238E27FC236}">
              <a16:creationId xmlns:a16="http://schemas.microsoft.com/office/drawing/2014/main" id="{00000000-0008-0000-1200-00000C080000}"/>
            </a:ext>
          </a:extLst>
        </xdr:cNvPr>
        <xdr:cNvCxnSpPr/>
      </xdr:nvCxnSpPr>
      <xdr:spPr>
        <a:xfrm>
          <a:off x="10572750" y="25557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2061" name="Straight Arrow Connector 2060">
          <a:extLst>
            <a:ext uri="{FF2B5EF4-FFF2-40B4-BE49-F238E27FC236}">
              <a16:creationId xmlns:a16="http://schemas.microsoft.com/office/drawing/2014/main" id="{00000000-0008-0000-1200-00000D080000}"/>
            </a:ext>
          </a:extLst>
        </xdr:cNvPr>
        <xdr:cNvCxnSpPr/>
      </xdr:nvCxnSpPr>
      <xdr:spPr>
        <a:xfrm flipV="1">
          <a:off x="10583333" y="24941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2062" name="Straight Arrow Connector 2061">
          <a:extLst>
            <a:ext uri="{FF2B5EF4-FFF2-40B4-BE49-F238E27FC236}">
              <a16:creationId xmlns:a16="http://schemas.microsoft.com/office/drawing/2014/main" id="{00000000-0008-0000-1200-00000E080000}"/>
            </a:ext>
          </a:extLst>
        </xdr:cNvPr>
        <xdr:cNvCxnSpPr/>
      </xdr:nvCxnSpPr>
      <xdr:spPr>
        <a:xfrm>
          <a:off x="7598834" y="25607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2063" name="Straight Arrow Connector 2062">
          <a:extLst>
            <a:ext uri="{FF2B5EF4-FFF2-40B4-BE49-F238E27FC236}">
              <a16:creationId xmlns:a16="http://schemas.microsoft.com/office/drawing/2014/main" id="{00000000-0008-0000-1200-00000F080000}"/>
            </a:ext>
          </a:extLst>
        </xdr:cNvPr>
        <xdr:cNvCxnSpPr/>
      </xdr:nvCxnSpPr>
      <xdr:spPr>
        <a:xfrm flipV="1">
          <a:off x="8794750" y="25414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2064" name="Straight Arrow Connector 2063">
          <a:extLst>
            <a:ext uri="{FF2B5EF4-FFF2-40B4-BE49-F238E27FC236}">
              <a16:creationId xmlns:a16="http://schemas.microsoft.com/office/drawing/2014/main" id="{00000000-0008-0000-1200-000010080000}"/>
            </a:ext>
          </a:extLst>
        </xdr:cNvPr>
        <xdr:cNvCxnSpPr/>
      </xdr:nvCxnSpPr>
      <xdr:spPr>
        <a:xfrm>
          <a:off x="8784166" y="25510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2065" name="Straight Arrow Connector 2064">
          <a:extLst>
            <a:ext uri="{FF2B5EF4-FFF2-40B4-BE49-F238E27FC236}">
              <a16:creationId xmlns:a16="http://schemas.microsoft.com/office/drawing/2014/main" id="{00000000-0008-0000-1200-000011080000}"/>
            </a:ext>
          </a:extLst>
        </xdr:cNvPr>
        <xdr:cNvCxnSpPr/>
      </xdr:nvCxnSpPr>
      <xdr:spPr>
        <a:xfrm flipV="1">
          <a:off x="8794750" y="25814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2066" name="Straight Arrow Connector 2065">
          <a:extLst>
            <a:ext uri="{FF2B5EF4-FFF2-40B4-BE49-F238E27FC236}">
              <a16:creationId xmlns:a16="http://schemas.microsoft.com/office/drawing/2014/main" id="{00000000-0008-0000-1200-000012080000}"/>
            </a:ext>
          </a:extLst>
        </xdr:cNvPr>
        <xdr:cNvCxnSpPr/>
      </xdr:nvCxnSpPr>
      <xdr:spPr>
        <a:xfrm>
          <a:off x="8805333" y="25908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2067" name="Straight Arrow Connector 2066">
          <a:extLst>
            <a:ext uri="{FF2B5EF4-FFF2-40B4-BE49-F238E27FC236}">
              <a16:creationId xmlns:a16="http://schemas.microsoft.com/office/drawing/2014/main" id="{00000000-0008-0000-1200-000013080000}"/>
            </a:ext>
          </a:extLst>
        </xdr:cNvPr>
        <xdr:cNvCxnSpPr/>
      </xdr:nvCxnSpPr>
      <xdr:spPr>
        <a:xfrm>
          <a:off x="10593916" y="25346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2068" name="Straight Arrow Connector 2067">
          <a:extLst>
            <a:ext uri="{FF2B5EF4-FFF2-40B4-BE49-F238E27FC236}">
              <a16:creationId xmlns:a16="http://schemas.microsoft.com/office/drawing/2014/main" id="{00000000-0008-0000-1200-000014080000}"/>
            </a:ext>
          </a:extLst>
        </xdr:cNvPr>
        <xdr:cNvCxnSpPr/>
      </xdr:nvCxnSpPr>
      <xdr:spPr>
        <a:xfrm flipV="1">
          <a:off x="10541000" y="25513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2069" name="Straight Arrow Connector 2068">
          <a:extLst>
            <a:ext uri="{FF2B5EF4-FFF2-40B4-BE49-F238E27FC236}">
              <a16:creationId xmlns:a16="http://schemas.microsoft.com/office/drawing/2014/main" id="{00000000-0008-0000-1200-000015080000}"/>
            </a:ext>
          </a:extLst>
        </xdr:cNvPr>
        <xdr:cNvCxnSpPr/>
      </xdr:nvCxnSpPr>
      <xdr:spPr>
        <a:xfrm>
          <a:off x="10530417" y="25548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2070" name="Straight Arrow Connector 2069">
          <a:extLst>
            <a:ext uri="{FF2B5EF4-FFF2-40B4-BE49-F238E27FC236}">
              <a16:creationId xmlns:a16="http://schemas.microsoft.com/office/drawing/2014/main" id="{00000000-0008-0000-1200-000016080000}"/>
            </a:ext>
          </a:extLst>
        </xdr:cNvPr>
        <xdr:cNvCxnSpPr/>
      </xdr:nvCxnSpPr>
      <xdr:spPr>
        <a:xfrm>
          <a:off x="10530417" y="25546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2071" name="Straight Arrow Connector 2070">
          <a:extLst>
            <a:ext uri="{FF2B5EF4-FFF2-40B4-BE49-F238E27FC236}">
              <a16:creationId xmlns:a16="http://schemas.microsoft.com/office/drawing/2014/main" id="{00000000-0008-0000-1200-000017080000}"/>
            </a:ext>
          </a:extLst>
        </xdr:cNvPr>
        <xdr:cNvCxnSpPr/>
      </xdr:nvCxnSpPr>
      <xdr:spPr>
        <a:xfrm flipV="1">
          <a:off x="10530417" y="25774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2072" name="Straight Arrow Connector 2071">
          <a:extLst>
            <a:ext uri="{FF2B5EF4-FFF2-40B4-BE49-F238E27FC236}">
              <a16:creationId xmlns:a16="http://schemas.microsoft.com/office/drawing/2014/main" id="{00000000-0008-0000-1200-000018080000}"/>
            </a:ext>
          </a:extLst>
        </xdr:cNvPr>
        <xdr:cNvCxnSpPr/>
      </xdr:nvCxnSpPr>
      <xdr:spPr>
        <a:xfrm>
          <a:off x="10572750" y="25813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2073" name="Straight Arrow Connector 2072">
          <a:extLst>
            <a:ext uri="{FF2B5EF4-FFF2-40B4-BE49-F238E27FC236}">
              <a16:creationId xmlns:a16="http://schemas.microsoft.com/office/drawing/2014/main" id="{00000000-0008-0000-1200-000019080000}"/>
            </a:ext>
          </a:extLst>
        </xdr:cNvPr>
        <xdr:cNvCxnSpPr/>
      </xdr:nvCxnSpPr>
      <xdr:spPr>
        <a:xfrm>
          <a:off x="10551583" y="25813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2074" name="Straight Arrow Connector 2073">
          <a:extLst>
            <a:ext uri="{FF2B5EF4-FFF2-40B4-BE49-F238E27FC236}">
              <a16:creationId xmlns:a16="http://schemas.microsoft.com/office/drawing/2014/main" id="{00000000-0008-0000-1200-00001A080000}"/>
            </a:ext>
          </a:extLst>
        </xdr:cNvPr>
        <xdr:cNvCxnSpPr/>
      </xdr:nvCxnSpPr>
      <xdr:spPr>
        <a:xfrm>
          <a:off x="10583333" y="25815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2075" name="Straight Arrow Connector 2074">
          <a:extLst>
            <a:ext uri="{FF2B5EF4-FFF2-40B4-BE49-F238E27FC236}">
              <a16:creationId xmlns:a16="http://schemas.microsoft.com/office/drawing/2014/main" id="{00000000-0008-0000-1200-00001B080000}"/>
            </a:ext>
          </a:extLst>
        </xdr:cNvPr>
        <xdr:cNvCxnSpPr/>
      </xdr:nvCxnSpPr>
      <xdr:spPr>
        <a:xfrm>
          <a:off x="10562166" y="26079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2076" name="Straight Arrow Connector 2075">
          <a:extLst>
            <a:ext uri="{FF2B5EF4-FFF2-40B4-BE49-F238E27FC236}">
              <a16:creationId xmlns:a16="http://schemas.microsoft.com/office/drawing/2014/main" id="{00000000-0008-0000-1200-00001C080000}"/>
            </a:ext>
          </a:extLst>
        </xdr:cNvPr>
        <xdr:cNvCxnSpPr/>
      </xdr:nvCxnSpPr>
      <xdr:spPr>
        <a:xfrm>
          <a:off x="10615083" y="26081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2077" name="Straight Arrow Connector 2076">
          <a:extLst>
            <a:ext uri="{FF2B5EF4-FFF2-40B4-BE49-F238E27FC236}">
              <a16:creationId xmlns:a16="http://schemas.microsoft.com/office/drawing/2014/main" id="{00000000-0008-0000-1200-00001D080000}"/>
            </a:ext>
          </a:extLst>
        </xdr:cNvPr>
        <xdr:cNvCxnSpPr/>
      </xdr:nvCxnSpPr>
      <xdr:spPr>
        <a:xfrm>
          <a:off x="10572750" y="26084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2078" name="Straight Arrow Connector 2077">
          <a:extLst>
            <a:ext uri="{FF2B5EF4-FFF2-40B4-BE49-F238E27FC236}">
              <a16:creationId xmlns:a16="http://schemas.microsoft.com/office/drawing/2014/main" id="{00000000-0008-0000-1200-00001E080000}"/>
            </a:ext>
          </a:extLst>
        </xdr:cNvPr>
        <xdr:cNvCxnSpPr/>
      </xdr:nvCxnSpPr>
      <xdr:spPr>
        <a:xfrm flipV="1">
          <a:off x="10583333" y="26027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2079" name="Straight Arrow Connector 2078">
          <a:extLst>
            <a:ext uri="{FF2B5EF4-FFF2-40B4-BE49-F238E27FC236}">
              <a16:creationId xmlns:a16="http://schemas.microsoft.com/office/drawing/2014/main" id="{00000000-0008-0000-1200-00001F080000}"/>
            </a:ext>
          </a:extLst>
        </xdr:cNvPr>
        <xdr:cNvCxnSpPr/>
      </xdr:nvCxnSpPr>
      <xdr:spPr>
        <a:xfrm flipV="1">
          <a:off x="5207000" y="243014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2080" name="Straight Arrow Connector 2079">
          <a:extLst>
            <a:ext uri="{FF2B5EF4-FFF2-40B4-BE49-F238E27FC236}">
              <a16:creationId xmlns:a16="http://schemas.microsoft.com/office/drawing/2014/main" id="{00000000-0008-0000-1200-000020080000}"/>
            </a:ext>
          </a:extLst>
        </xdr:cNvPr>
        <xdr:cNvCxnSpPr/>
      </xdr:nvCxnSpPr>
      <xdr:spPr>
        <a:xfrm flipV="1">
          <a:off x="603250" y="175842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2081" name="Straight Arrow Connector 2080">
          <a:extLst>
            <a:ext uri="{FF2B5EF4-FFF2-40B4-BE49-F238E27FC236}">
              <a16:creationId xmlns:a16="http://schemas.microsoft.com/office/drawing/2014/main" id="{00000000-0008-0000-1200-000021080000}"/>
            </a:ext>
          </a:extLst>
        </xdr:cNvPr>
        <xdr:cNvCxnSpPr/>
      </xdr:nvCxnSpPr>
      <xdr:spPr>
        <a:xfrm>
          <a:off x="603250" y="194669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2082" name="Straight Arrow Connector 2081">
          <a:extLst>
            <a:ext uri="{FF2B5EF4-FFF2-40B4-BE49-F238E27FC236}">
              <a16:creationId xmlns:a16="http://schemas.microsoft.com/office/drawing/2014/main" id="{00000000-0008-0000-1200-000022080000}"/>
            </a:ext>
          </a:extLst>
        </xdr:cNvPr>
        <xdr:cNvCxnSpPr/>
      </xdr:nvCxnSpPr>
      <xdr:spPr>
        <a:xfrm flipV="1">
          <a:off x="2296584" y="189896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2083" name="Straight Arrow Connector 2082">
          <a:extLst>
            <a:ext uri="{FF2B5EF4-FFF2-40B4-BE49-F238E27FC236}">
              <a16:creationId xmlns:a16="http://schemas.microsoft.com/office/drawing/2014/main" id="{00000000-0008-0000-1200-000023080000}"/>
            </a:ext>
          </a:extLst>
        </xdr:cNvPr>
        <xdr:cNvCxnSpPr/>
      </xdr:nvCxnSpPr>
      <xdr:spPr>
        <a:xfrm>
          <a:off x="2307167" y="203274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2084" name="Straight Arrow Connector 2083">
          <a:extLst>
            <a:ext uri="{FF2B5EF4-FFF2-40B4-BE49-F238E27FC236}">
              <a16:creationId xmlns:a16="http://schemas.microsoft.com/office/drawing/2014/main" id="{00000000-0008-0000-1200-000024080000}"/>
            </a:ext>
          </a:extLst>
        </xdr:cNvPr>
        <xdr:cNvCxnSpPr/>
      </xdr:nvCxnSpPr>
      <xdr:spPr>
        <a:xfrm flipV="1">
          <a:off x="3714750" y="182689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2085" name="Straight Arrow Connector 2084">
          <a:extLst>
            <a:ext uri="{FF2B5EF4-FFF2-40B4-BE49-F238E27FC236}">
              <a16:creationId xmlns:a16="http://schemas.microsoft.com/office/drawing/2014/main" id="{00000000-0008-0000-1200-000025080000}"/>
            </a:ext>
          </a:extLst>
        </xdr:cNvPr>
        <xdr:cNvCxnSpPr/>
      </xdr:nvCxnSpPr>
      <xdr:spPr>
        <a:xfrm>
          <a:off x="3799417" y="189907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2086" name="Straight Arrow Connector 2085">
          <a:extLst>
            <a:ext uri="{FF2B5EF4-FFF2-40B4-BE49-F238E27FC236}">
              <a16:creationId xmlns:a16="http://schemas.microsoft.com/office/drawing/2014/main" id="{00000000-0008-0000-1200-000026080000}"/>
            </a:ext>
          </a:extLst>
        </xdr:cNvPr>
        <xdr:cNvCxnSpPr/>
      </xdr:nvCxnSpPr>
      <xdr:spPr>
        <a:xfrm flipV="1">
          <a:off x="5175250" y="177884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2087" name="Straight Arrow Connector 2086">
          <a:extLst>
            <a:ext uri="{FF2B5EF4-FFF2-40B4-BE49-F238E27FC236}">
              <a16:creationId xmlns:a16="http://schemas.microsoft.com/office/drawing/2014/main" id="{00000000-0008-0000-1200-000027080000}"/>
            </a:ext>
          </a:extLst>
        </xdr:cNvPr>
        <xdr:cNvCxnSpPr/>
      </xdr:nvCxnSpPr>
      <xdr:spPr>
        <a:xfrm>
          <a:off x="5175250" y="182700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2088" name="Straight Arrow Connector 2087">
          <a:extLst>
            <a:ext uri="{FF2B5EF4-FFF2-40B4-BE49-F238E27FC236}">
              <a16:creationId xmlns:a16="http://schemas.microsoft.com/office/drawing/2014/main" id="{00000000-0008-0000-1200-000028080000}"/>
            </a:ext>
          </a:extLst>
        </xdr:cNvPr>
        <xdr:cNvCxnSpPr/>
      </xdr:nvCxnSpPr>
      <xdr:spPr>
        <a:xfrm flipV="1">
          <a:off x="6381750" y="176350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2089" name="Straight Arrow Connector 2088">
          <a:extLst>
            <a:ext uri="{FF2B5EF4-FFF2-40B4-BE49-F238E27FC236}">
              <a16:creationId xmlns:a16="http://schemas.microsoft.com/office/drawing/2014/main" id="{00000000-0008-0000-1200-000029080000}"/>
            </a:ext>
          </a:extLst>
        </xdr:cNvPr>
        <xdr:cNvCxnSpPr/>
      </xdr:nvCxnSpPr>
      <xdr:spPr>
        <a:xfrm>
          <a:off x="6413500" y="177927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2090" name="Straight Arrow Connector 2089">
          <a:extLst>
            <a:ext uri="{FF2B5EF4-FFF2-40B4-BE49-F238E27FC236}">
              <a16:creationId xmlns:a16="http://schemas.microsoft.com/office/drawing/2014/main" id="{00000000-0008-0000-1200-00002A080000}"/>
            </a:ext>
          </a:extLst>
        </xdr:cNvPr>
        <xdr:cNvCxnSpPr/>
      </xdr:nvCxnSpPr>
      <xdr:spPr>
        <a:xfrm flipV="1">
          <a:off x="7609417" y="179048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2091" name="Straight Arrow Connector 2090">
          <a:extLst>
            <a:ext uri="{FF2B5EF4-FFF2-40B4-BE49-F238E27FC236}">
              <a16:creationId xmlns:a16="http://schemas.microsoft.com/office/drawing/2014/main" id="{00000000-0008-0000-1200-00002B080000}"/>
            </a:ext>
          </a:extLst>
        </xdr:cNvPr>
        <xdr:cNvCxnSpPr/>
      </xdr:nvCxnSpPr>
      <xdr:spPr>
        <a:xfrm>
          <a:off x="7598834" y="18006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2092" name="Straight Arrow Connector 2091">
          <a:extLst>
            <a:ext uri="{FF2B5EF4-FFF2-40B4-BE49-F238E27FC236}">
              <a16:creationId xmlns:a16="http://schemas.microsoft.com/office/drawing/2014/main" id="{00000000-0008-0000-1200-00002C080000}"/>
            </a:ext>
          </a:extLst>
        </xdr:cNvPr>
        <xdr:cNvCxnSpPr/>
      </xdr:nvCxnSpPr>
      <xdr:spPr>
        <a:xfrm flipV="1">
          <a:off x="8794750" y="17813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2093" name="Straight Arrow Connector 2092">
          <a:extLst>
            <a:ext uri="{FF2B5EF4-FFF2-40B4-BE49-F238E27FC236}">
              <a16:creationId xmlns:a16="http://schemas.microsoft.com/office/drawing/2014/main" id="{00000000-0008-0000-1200-00002D080000}"/>
            </a:ext>
          </a:extLst>
        </xdr:cNvPr>
        <xdr:cNvCxnSpPr/>
      </xdr:nvCxnSpPr>
      <xdr:spPr>
        <a:xfrm>
          <a:off x="8784166" y="17909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2094" name="Straight Arrow Connector 2093">
          <a:extLst>
            <a:ext uri="{FF2B5EF4-FFF2-40B4-BE49-F238E27FC236}">
              <a16:creationId xmlns:a16="http://schemas.microsoft.com/office/drawing/2014/main" id="{00000000-0008-0000-1200-00002E080000}"/>
            </a:ext>
          </a:extLst>
        </xdr:cNvPr>
        <xdr:cNvCxnSpPr/>
      </xdr:nvCxnSpPr>
      <xdr:spPr>
        <a:xfrm flipV="1">
          <a:off x="8794750" y="18213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2095" name="Straight Arrow Connector 2094">
          <a:extLst>
            <a:ext uri="{FF2B5EF4-FFF2-40B4-BE49-F238E27FC236}">
              <a16:creationId xmlns:a16="http://schemas.microsoft.com/office/drawing/2014/main" id="{00000000-0008-0000-1200-00002F080000}"/>
            </a:ext>
          </a:extLst>
        </xdr:cNvPr>
        <xdr:cNvCxnSpPr/>
      </xdr:nvCxnSpPr>
      <xdr:spPr>
        <a:xfrm>
          <a:off x="8805333" y="18307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2096" name="Straight Arrow Connector 2095">
          <a:extLst>
            <a:ext uri="{FF2B5EF4-FFF2-40B4-BE49-F238E27FC236}">
              <a16:creationId xmlns:a16="http://schemas.microsoft.com/office/drawing/2014/main" id="{00000000-0008-0000-1200-000030080000}"/>
            </a:ext>
          </a:extLst>
        </xdr:cNvPr>
        <xdr:cNvCxnSpPr/>
      </xdr:nvCxnSpPr>
      <xdr:spPr>
        <a:xfrm flipV="1">
          <a:off x="10541000" y="176593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2097" name="Straight Arrow Connector 2096">
          <a:extLst>
            <a:ext uri="{FF2B5EF4-FFF2-40B4-BE49-F238E27FC236}">
              <a16:creationId xmlns:a16="http://schemas.microsoft.com/office/drawing/2014/main" id="{00000000-0008-0000-1200-000031080000}"/>
            </a:ext>
          </a:extLst>
        </xdr:cNvPr>
        <xdr:cNvCxnSpPr/>
      </xdr:nvCxnSpPr>
      <xdr:spPr>
        <a:xfrm flipV="1">
          <a:off x="10583333" y="177217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2098" name="Straight Arrow Connector 2097">
          <a:extLst>
            <a:ext uri="{FF2B5EF4-FFF2-40B4-BE49-F238E27FC236}">
              <a16:creationId xmlns:a16="http://schemas.microsoft.com/office/drawing/2014/main" id="{00000000-0008-0000-1200-000032080000}"/>
            </a:ext>
          </a:extLst>
        </xdr:cNvPr>
        <xdr:cNvCxnSpPr/>
      </xdr:nvCxnSpPr>
      <xdr:spPr>
        <a:xfrm>
          <a:off x="10604500" y="177704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2099" name="Straight Arrow Connector 2098">
          <a:extLst>
            <a:ext uri="{FF2B5EF4-FFF2-40B4-BE49-F238E27FC236}">
              <a16:creationId xmlns:a16="http://schemas.microsoft.com/office/drawing/2014/main" id="{00000000-0008-0000-1200-000033080000}"/>
            </a:ext>
          </a:extLst>
        </xdr:cNvPr>
        <xdr:cNvCxnSpPr/>
      </xdr:nvCxnSpPr>
      <xdr:spPr>
        <a:xfrm>
          <a:off x="10519834" y="177651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2100" name="Straight Arrow Connector 2099">
          <a:extLst>
            <a:ext uri="{FF2B5EF4-FFF2-40B4-BE49-F238E27FC236}">
              <a16:creationId xmlns:a16="http://schemas.microsoft.com/office/drawing/2014/main" id="{00000000-0008-0000-1200-000034080000}"/>
            </a:ext>
          </a:extLst>
        </xdr:cNvPr>
        <xdr:cNvCxnSpPr/>
      </xdr:nvCxnSpPr>
      <xdr:spPr>
        <a:xfrm flipV="1">
          <a:off x="10541000" y="17912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2101" name="Straight Arrow Connector 2100">
          <a:extLst>
            <a:ext uri="{FF2B5EF4-FFF2-40B4-BE49-F238E27FC236}">
              <a16:creationId xmlns:a16="http://schemas.microsoft.com/office/drawing/2014/main" id="{00000000-0008-0000-1200-000035080000}"/>
            </a:ext>
          </a:extLst>
        </xdr:cNvPr>
        <xdr:cNvCxnSpPr/>
      </xdr:nvCxnSpPr>
      <xdr:spPr>
        <a:xfrm>
          <a:off x="10551583" y="179472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2102" name="Straight Arrow Connector 2101">
          <a:extLst>
            <a:ext uri="{FF2B5EF4-FFF2-40B4-BE49-F238E27FC236}">
              <a16:creationId xmlns:a16="http://schemas.microsoft.com/office/drawing/2014/main" id="{00000000-0008-0000-1200-000036080000}"/>
            </a:ext>
          </a:extLst>
        </xdr:cNvPr>
        <xdr:cNvCxnSpPr/>
      </xdr:nvCxnSpPr>
      <xdr:spPr>
        <a:xfrm>
          <a:off x="10530417" y="179472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2103" name="Straight Arrow Connector 2102">
          <a:extLst>
            <a:ext uri="{FF2B5EF4-FFF2-40B4-BE49-F238E27FC236}">
              <a16:creationId xmlns:a16="http://schemas.microsoft.com/office/drawing/2014/main" id="{00000000-0008-0000-1200-000037080000}"/>
            </a:ext>
          </a:extLst>
        </xdr:cNvPr>
        <xdr:cNvCxnSpPr/>
      </xdr:nvCxnSpPr>
      <xdr:spPr>
        <a:xfrm>
          <a:off x="10541000" y="179482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2104" name="Straight Arrow Connector 2103">
          <a:extLst>
            <a:ext uri="{FF2B5EF4-FFF2-40B4-BE49-F238E27FC236}">
              <a16:creationId xmlns:a16="http://schemas.microsoft.com/office/drawing/2014/main" id="{00000000-0008-0000-1200-000038080000}"/>
            </a:ext>
          </a:extLst>
        </xdr:cNvPr>
        <xdr:cNvCxnSpPr/>
      </xdr:nvCxnSpPr>
      <xdr:spPr>
        <a:xfrm flipV="1">
          <a:off x="6392333" y="186732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2105" name="Straight Arrow Connector 2104">
          <a:extLst>
            <a:ext uri="{FF2B5EF4-FFF2-40B4-BE49-F238E27FC236}">
              <a16:creationId xmlns:a16="http://schemas.microsoft.com/office/drawing/2014/main" id="{00000000-0008-0000-1200-000039080000}"/>
            </a:ext>
          </a:extLst>
        </xdr:cNvPr>
        <xdr:cNvCxnSpPr/>
      </xdr:nvCxnSpPr>
      <xdr:spPr>
        <a:xfrm>
          <a:off x="6413500" y="188764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2106" name="Straight Arrow Connector 2105">
          <a:extLst>
            <a:ext uri="{FF2B5EF4-FFF2-40B4-BE49-F238E27FC236}">
              <a16:creationId xmlns:a16="http://schemas.microsoft.com/office/drawing/2014/main" id="{00000000-0008-0000-1200-00003A080000}"/>
            </a:ext>
          </a:extLst>
        </xdr:cNvPr>
        <xdr:cNvCxnSpPr/>
      </xdr:nvCxnSpPr>
      <xdr:spPr>
        <a:xfrm flipV="1">
          <a:off x="7556500" y="189896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2107" name="Straight Arrow Connector 2106">
          <a:extLst>
            <a:ext uri="{FF2B5EF4-FFF2-40B4-BE49-F238E27FC236}">
              <a16:creationId xmlns:a16="http://schemas.microsoft.com/office/drawing/2014/main" id="{00000000-0008-0000-1200-00003B080000}"/>
            </a:ext>
          </a:extLst>
        </xdr:cNvPr>
        <xdr:cNvCxnSpPr/>
      </xdr:nvCxnSpPr>
      <xdr:spPr>
        <a:xfrm flipV="1">
          <a:off x="10530417" y="18173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2108" name="Straight Arrow Connector 2107">
          <a:extLst>
            <a:ext uri="{FF2B5EF4-FFF2-40B4-BE49-F238E27FC236}">
              <a16:creationId xmlns:a16="http://schemas.microsoft.com/office/drawing/2014/main" id="{00000000-0008-0000-1200-00003C080000}"/>
            </a:ext>
          </a:extLst>
        </xdr:cNvPr>
        <xdr:cNvCxnSpPr/>
      </xdr:nvCxnSpPr>
      <xdr:spPr>
        <a:xfrm>
          <a:off x="10572750" y="18212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2109" name="Straight Arrow Connector 2108">
          <a:extLst>
            <a:ext uri="{FF2B5EF4-FFF2-40B4-BE49-F238E27FC236}">
              <a16:creationId xmlns:a16="http://schemas.microsoft.com/office/drawing/2014/main" id="{00000000-0008-0000-1200-00003D080000}"/>
            </a:ext>
          </a:extLst>
        </xdr:cNvPr>
        <xdr:cNvCxnSpPr/>
      </xdr:nvCxnSpPr>
      <xdr:spPr>
        <a:xfrm>
          <a:off x="10551583" y="18212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2110" name="Straight Arrow Connector 2109">
          <a:extLst>
            <a:ext uri="{FF2B5EF4-FFF2-40B4-BE49-F238E27FC236}">
              <a16:creationId xmlns:a16="http://schemas.microsoft.com/office/drawing/2014/main" id="{00000000-0008-0000-1200-00003E080000}"/>
            </a:ext>
          </a:extLst>
        </xdr:cNvPr>
        <xdr:cNvCxnSpPr/>
      </xdr:nvCxnSpPr>
      <xdr:spPr>
        <a:xfrm>
          <a:off x="10583333" y="18214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2111" name="Straight Arrow Connector 2110">
          <a:extLst>
            <a:ext uri="{FF2B5EF4-FFF2-40B4-BE49-F238E27FC236}">
              <a16:creationId xmlns:a16="http://schemas.microsoft.com/office/drawing/2014/main" id="{00000000-0008-0000-1200-00003F080000}"/>
            </a:ext>
          </a:extLst>
        </xdr:cNvPr>
        <xdr:cNvCxnSpPr/>
      </xdr:nvCxnSpPr>
      <xdr:spPr>
        <a:xfrm>
          <a:off x="10562166" y="18478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2112" name="Straight Arrow Connector 2111">
          <a:extLst>
            <a:ext uri="{FF2B5EF4-FFF2-40B4-BE49-F238E27FC236}">
              <a16:creationId xmlns:a16="http://schemas.microsoft.com/office/drawing/2014/main" id="{00000000-0008-0000-1200-000040080000}"/>
            </a:ext>
          </a:extLst>
        </xdr:cNvPr>
        <xdr:cNvCxnSpPr/>
      </xdr:nvCxnSpPr>
      <xdr:spPr>
        <a:xfrm>
          <a:off x="10615083" y="18480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2113" name="Straight Arrow Connector 2112">
          <a:extLst>
            <a:ext uri="{FF2B5EF4-FFF2-40B4-BE49-F238E27FC236}">
              <a16:creationId xmlns:a16="http://schemas.microsoft.com/office/drawing/2014/main" id="{00000000-0008-0000-1200-000041080000}"/>
            </a:ext>
          </a:extLst>
        </xdr:cNvPr>
        <xdr:cNvCxnSpPr/>
      </xdr:nvCxnSpPr>
      <xdr:spPr>
        <a:xfrm>
          <a:off x="10572750" y="18483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2114" name="Straight Arrow Connector 2113">
          <a:extLst>
            <a:ext uri="{FF2B5EF4-FFF2-40B4-BE49-F238E27FC236}">
              <a16:creationId xmlns:a16="http://schemas.microsoft.com/office/drawing/2014/main" id="{00000000-0008-0000-1200-000042080000}"/>
            </a:ext>
          </a:extLst>
        </xdr:cNvPr>
        <xdr:cNvCxnSpPr/>
      </xdr:nvCxnSpPr>
      <xdr:spPr>
        <a:xfrm flipV="1">
          <a:off x="10562166" y="187568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2115" name="Straight Arrow Connector 2114">
          <a:extLst>
            <a:ext uri="{FF2B5EF4-FFF2-40B4-BE49-F238E27FC236}">
              <a16:creationId xmlns:a16="http://schemas.microsoft.com/office/drawing/2014/main" id="{00000000-0008-0000-1200-000043080000}"/>
            </a:ext>
          </a:extLst>
        </xdr:cNvPr>
        <xdr:cNvCxnSpPr/>
      </xdr:nvCxnSpPr>
      <xdr:spPr>
        <a:xfrm flipV="1">
          <a:off x="10604500" y="187928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2116" name="Straight Arrow Connector 2115">
          <a:extLst>
            <a:ext uri="{FF2B5EF4-FFF2-40B4-BE49-F238E27FC236}">
              <a16:creationId xmlns:a16="http://schemas.microsoft.com/office/drawing/2014/main" id="{00000000-0008-0000-1200-000044080000}"/>
            </a:ext>
          </a:extLst>
        </xdr:cNvPr>
        <xdr:cNvCxnSpPr/>
      </xdr:nvCxnSpPr>
      <xdr:spPr>
        <a:xfrm>
          <a:off x="10593916" y="188330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2117" name="Straight Arrow Connector 2116">
          <a:extLst>
            <a:ext uri="{FF2B5EF4-FFF2-40B4-BE49-F238E27FC236}">
              <a16:creationId xmlns:a16="http://schemas.microsoft.com/office/drawing/2014/main" id="{00000000-0008-0000-1200-000045080000}"/>
            </a:ext>
          </a:extLst>
        </xdr:cNvPr>
        <xdr:cNvCxnSpPr/>
      </xdr:nvCxnSpPr>
      <xdr:spPr>
        <a:xfrm>
          <a:off x="10572750" y="190425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2118" name="Straight Arrow Connector 2117">
          <a:extLst>
            <a:ext uri="{FF2B5EF4-FFF2-40B4-BE49-F238E27FC236}">
              <a16:creationId xmlns:a16="http://schemas.microsoft.com/office/drawing/2014/main" id="{00000000-0008-0000-1200-000046080000}"/>
            </a:ext>
          </a:extLst>
        </xdr:cNvPr>
        <xdr:cNvCxnSpPr/>
      </xdr:nvCxnSpPr>
      <xdr:spPr>
        <a:xfrm flipV="1">
          <a:off x="10583333" y="18426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2119" name="Straight Arrow Connector 2118">
          <a:extLst>
            <a:ext uri="{FF2B5EF4-FFF2-40B4-BE49-F238E27FC236}">
              <a16:creationId xmlns:a16="http://schemas.microsoft.com/office/drawing/2014/main" id="{00000000-0008-0000-1200-000047080000}"/>
            </a:ext>
          </a:extLst>
        </xdr:cNvPr>
        <xdr:cNvCxnSpPr/>
      </xdr:nvCxnSpPr>
      <xdr:spPr>
        <a:xfrm>
          <a:off x="7598834" y="190923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2120" name="Straight Arrow Connector 2119">
          <a:extLst>
            <a:ext uri="{FF2B5EF4-FFF2-40B4-BE49-F238E27FC236}">
              <a16:creationId xmlns:a16="http://schemas.microsoft.com/office/drawing/2014/main" id="{00000000-0008-0000-1200-000048080000}"/>
            </a:ext>
          </a:extLst>
        </xdr:cNvPr>
        <xdr:cNvCxnSpPr/>
      </xdr:nvCxnSpPr>
      <xdr:spPr>
        <a:xfrm flipV="1">
          <a:off x="8794750" y="188997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2121" name="Straight Arrow Connector 2120">
          <a:extLst>
            <a:ext uri="{FF2B5EF4-FFF2-40B4-BE49-F238E27FC236}">
              <a16:creationId xmlns:a16="http://schemas.microsoft.com/office/drawing/2014/main" id="{00000000-0008-0000-1200-000049080000}"/>
            </a:ext>
          </a:extLst>
        </xdr:cNvPr>
        <xdr:cNvCxnSpPr/>
      </xdr:nvCxnSpPr>
      <xdr:spPr>
        <a:xfrm>
          <a:off x="8784166" y="189949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2122" name="Straight Arrow Connector 2121">
          <a:extLst>
            <a:ext uri="{FF2B5EF4-FFF2-40B4-BE49-F238E27FC236}">
              <a16:creationId xmlns:a16="http://schemas.microsoft.com/office/drawing/2014/main" id="{00000000-0008-0000-1200-00004A080000}"/>
            </a:ext>
          </a:extLst>
        </xdr:cNvPr>
        <xdr:cNvCxnSpPr/>
      </xdr:nvCxnSpPr>
      <xdr:spPr>
        <a:xfrm flipV="1">
          <a:off x="8794750" y="192997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2123" name="Straight Arrow Connector 2122">
          <a:extLst>
            <a:ext uri="{FF2B5EF4-FFF2-40B4-BE49-F238E27FC236}">
              <a16:creationId xmlns:a16="http://schemas.microsoft.com/office/drawing/2014/main" id="{00000000-0008-0000-1200-00004B080000}"/>
            </a:ext>
          </a:extLst>
        </xdr:cNvPr>
        <xdr:cNvCxnSpPr/>
      </xdr:nvCxnSpPr>
      <xdr:spPr>
        <a:xfrm>
          <a:off x="8805333" y="193929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2124" name="Straight Arrow Connector 2123">
          <a:extLst>
            <a:ext uri="{FF2B5EF4-FFF2-40B4-BE49-F238E27FC236}">
              <a16:creationId xmlns:a16="http://schemas.microsoft.com/office/drawing/2014/main" id="{00000000-0008-0000-1200-00004C080000}"/>
            </a:ext>
          </a:extLst>
        </xdr:cNvPr>
        <xdr:cNvCxnSpPr/>
      </xdr:nvCxnSpPr>
      <xdr:spPr>
        <a:xfrm>
          <a:off x="10593916" y="188309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2125" name="Straight Arrow Connector 2124">
          <a:extLst>
            <a:ext uri="{FF2B5EF4-FFF2-40B4-BE49-F238E27FC236}">
              <a16:creationId xmlns:a16="http://schemas.microsoft.com/office/drawing/2014/main" id="{00000000-0008-0000-1200-00004D080000}"/>
            </a:ext>
          </a:extLst>
        </xdr:cNvPr>
        <xdr:cNvCxnSpPr/>
      </xdr:nvCxnSpPr>
      <xdr:spPr>
        <a:xfrm flipV="1">
          <a:off x="10541000" y="189981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2126" name="Straight Arrow Connector 2125">
          <a:extLst>
            <a:ext uri="{FF2B5EF4-FFF2-40B4-BE49-F238E27FC236}">
              <a16:creationId xmlns:a16="http://schemas.microsoft.com/office/drawing/2014/main" id="{00000000-0008-0000-1200-00004E080000}"/>
            </a:ext>
          </a:extLst>
        </xdr:cNvPr>
        <xdr:cNvCxnSpPr/>
      </xdr:nvCxnSpPr>
      <xdr:spPr>
        <a:xfrm>
          <a:off x="10530417" y="190330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2127" name="Straight Arrow Connector 2126">
          <a:extLst>
            <a:ext uri="{FF2B5EF4-FFF2-40B4-BE49-F238E27FC236}">
              <a16:creationId xmlns:a16="http://schemas.microsoft.com/office/drawing/2014/main" id="{00000000-0008-0000-1200-00004F080000}"/>
            </a:ext>
          </a:extLst>
        </xdr:cNvPr>
        <xdr:cNvCxnSpPr/>
      </xdr:nvCxnSpPr>
      <xdr:spPr>
        <a:xfrm>
          <a:off x="10530417" y="190309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2128" name="Straight Arrow Connector 2127">
          <a:extLst>
            <a:ext uri="{FF2B5EF4-FFF2-40B4-BE49-F238E27FC236}">
              <a16:creationId xmlns:a16="http://schemas.microsoft.com/office/drawing/2014/main" id="{00000000-0008-0000-1200-000050080000}"/>
            </a:ext>
          </a:extLst>
        </xdr:cNvPr>
        <xdr:cNvCxnSpPr/>
      </xdr:nvCxnSpPr>
      <xdr:spPr>
        <a:xfrm flipV="1">
          <a:off x="10530417" y="192595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2129" name="Straight Arrow Connector 2128">
          <a:extLst>
            <a:ext uri="{FF2B5EF4-FFF2-40B4-BE49-F238E27FC236}">
              <a16:creationId xmlns:a16="http://schemas.microsoft.com/office/drawing/2014/main" id="{00000000-0008-0000-1200-000051080000}"/>
            </a:ext>
          </a:extLst>
        </xdr:cNvPr>
        <xdr:cNvCxnSpPr/>
      </xdr:nvCxnSpPr>
      <xdr:spPr>
        <a:xfrm>
          <a:off x="10572750" y="192987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2130" name="Straight Arrow Connector 2129">
          <a:extLst>
            <a:ext uri="{FF2B5EF4-FFF2-40B4-BE49-F238E27FC236}">
              <a16:creationId xmlns:a16="http://schemas.microsoft.com/office/drawing/2014/main" id="{00000000-0008-0000-1200-000052080000}"/>
            </a:ext>
          </a:extLst>
        </xdr:cNvPr>
        <xdr:cNvCxnSpPr/>
      </xdr:nvCxnSpPr>
      <xdr:spPr>
        <a:xfrm>
          <a:off x="10551583" y="192987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2131" name="Straight Arrow Connector 2130">
          <a:extLst>
            <a:ext uri="{FF2B5EF4-FFF2-40B4-BE49-F238E27FC236}">
              <a16:creationId xmlns:a16="http://schemas.microsoft.com/office/drawing/2014/main" id="{00000000-0008-0000-1200-000053080000}"/>
            </a:ext>
          </a:extLst>
        </xdr:cNvPr>
        <xdr:cNvCxnSpPr/>
      </xdr:nvCxnSpPr>
      <xdr:spPr>
        <a:xfrm>
          <a:off x="10583333" y="193008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2136" name="Straight Arrow Connector 2135">
          <a:extLst>
            <a:ext uri="{FF2B5EF4-FFF2-40B4-BE49-F238E27FC236}">
              <a16:creationId xmlns:a16="http://schemas.microsoft.com/office/drawing/2014/main" id="{00000000-0008-0000-1200-000058080000}"/>
            </a:ext>
          </a:extLst>
        </xdr:cNvPr>
        <xdr:cNvCxnSpPr/>
      </xdr:nvCxnSpPr>
      <xdr:spPr>
        <a:xfrm>
          <a:off x="5080000" y="203739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2137" name="Straight Arrow Connector 2136">
          <a:extLst>
            <a:ext uri="{FF2B5EF4-FFF2-40B4-BE49-F238E27FC236}">
              <a16:creationId xmlns:a16="http://schemas.microsoft.com/office/drawing/2014/main" id="{00000000-0008-0000-1200-000059080000}"/>
            </a:ext>
          </a:extLst>
        </xdr:cNvPr>
        <xdr:cNvCxnSpPr/>
      </xdr:nvCxnSpPr>
      <xdr:spPr>
        <a:xfrm flipV="1">
          <a:off x="6381750" y="198067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2138" name="Straight Arrow Connector 2137">
          <a:extLst>
            <a:ext uri="{FF2B5EF4-FFF2-40B4-BE49-F238E27FC236}">
              <a16:creationId xmlns:a16="http://schemas.microsoft.com/office/drawing/2014/main" id="{00000000-0008-0000-1200-00005A080000}"/>
            </a:ext>
          </a:extLst>
        </xdr:cNvPr>
        <xdr:cNvCxnSpPr/>
      </xdr:nvCxnSpPr>
      <xdr:spPr>
        <a:xfrm>
          <a:off x="6413500" y="199644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2139" name="Straight Arrow Connector 2138">
          <a:extLst>
            <a:ext uri="{FF2B5EF4-FFF2-40B4-BE49-F238E27FC236}">
              <a16:creationId xmlns:a16="http://schemas.microsoft.com/office/drawing/2014/main" id="{00000000-0008-0000-1200-00005B080000}"/>
            </a:ext>
          </a:extLst>
        </xdr:cNvPr>
        <xdr:cNvCxnSpPr/>
      </xdr:nvCxnSpPr>
      <xdr:spPr>
        <a:xfrm flipV="1">
          <a:off x="7609417" y="200765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2140" name="Straight Arrow Connector 2139">
          <a:extLst>
            <a:ext uri="{FF2B5EF4-FFF2-40B4-BE49-F238E27FC236}">
              <a16:creationId xmlns:a16="http://schemas.microsoft.com/office/drawing/2014/main" id="{00000000-0008-0000-1200-00005C080000}"/>
            </a:ext>
          </a:extLst>
        </xdr:cNvPr>
        <xdr:cNvCxnSpPr/>
      </xdr:nvCxnSpPr>
      <xdr:spPr>
        <a:xfrm>
          <a:off x="7598834" y="201781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2141" name="Straight Arrow Connector 2140">
          <a:extLst>
            <a:ext uri="{FF2B5EF4-FFF2-40B4-BE49-F238E27FC236}">
              <a16:creationId xmlns:a16="http://schemas.microsoft.com/office/drawing/2014/main" id="{00000000-0008-0000-1200-00005D080000}"/>
            </a:ext>
          </a:extLst>
        </xdr:cNvPr>
        <xdr:cNvCxnSpPr/>
      </xdr:nvCxnSpPr>
      <xdr:spPr>
        <a:xfrm flipV="1">
          <a:off x="8794750" y="199855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2142" name="Straight Arrow Connector 2141">
          <a:extLst>
            <a:ext uri="{FF2B5EF4-FFF2-40B4-BE49-F238E27FC236}">
              <a16:creationId xmlns:a16="http://schemas.microsoft.com/office/drawing/2014/main" id="{00000000-0008-0000-1200-00005E080000}"/>
            </a:ext>
          </a:extLst>
        </xdr:cNvPr>
        <xdr:cNvCxnSpPr/>
      </xdr:nvCxnSpPr>
      <xdr:spPr>
        <a:xfrm>
          <a:off x="8784166" y="200808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2143" name="Straight Arrow Connector 2142">
          <a:extLst>
            <a:ext uri="{FF2B5EF4-FFF2-40B4-BE49-F238E27FC236}">
              <a16:creationId xmlns:a16="http://schemas.microsoft.com/office/drawing/2014/main" id="{00000000-0008-0000-1200-00005F080000}"/>
            </a:ext>
          </a:extLst>
        </xdr:cNvPr>
        <xdr:cNvCxnSpPr/>
      </xdr:nvCxnSpPr>
      <xdr:spPr>
        <a:xfrm flipV="1">
          <a:off x="8794750" y="203856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2144" name="Straight Arrow Connector 2143">
          <a:extLst>
            <a:ext uri="{FF2B5EF4-FFF2-40B4-BE49-F238E27FC236}">
              <a16:creationId xmlns:a16="http://schemas.microsoft.com/office/drawing/2014/main" id="{00000000-0008-0000-1200-000060080000}"/>
            </a:ext>
          </a:extLst>
        </xdr:cNvPr>
        <xdr:cNvCxnSpPr/>
      </xdr:nvCxnSpPr>
      <xdr:spPr>
        <a:xfrm>
          <a:off x="8805333" y="204787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2145" name="Straight Arrow Connector 2144">
          <a:extLst>
            <a:ext uri="{FF2B5EF4-FFF2-40B4-BE49-F238E27FC236}">
              <a16:creationId xmlns:a16="http://schemas.microsoft.com/office/drawing/2014/main" id="{00000000-0008-0000-1200-000061080000}"/>
            </a:ext>
          </a:extLst>
        </xdr:cNvPr>
        <xdr:cNvCxnSpPr/>
      </xdr:nvCxnSpPr>
      <xdr:spPr>
        <a:xfrm flipV="1">
          <a:off x="10541000" y="198310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2146" name="Straight Arrow Connector 2145">
          <a:extLst>
            <a:ext uri="{FF2B5EF4-FFF2-40B4-BE49-F238E27FC236}">
              <a16:creationId xmlns:a16="http://schemas.microsoft.com/office/drawing/2014/main" id="{00000000-0008-0000-1200-000062080000}"/>
            </a:ext>
          </a:extLst>
        </xdr:cNvPr>
        <xdr:cNvCxnSpPr/>
      </xdr:nvCxnSpPr>
      <xdr:spPr>
        <a:xfrm flipV="1">
          <a:off x="10583333" y="198934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2147" name="Straight Arrow Connector 2146">
          <a:extLst>
            <a:ext uri="{FF2B5EF4-FFF2-40B4-BE49-F238E27FC236}">
              <a16:creationId xmlns:a16="http://schemas.microsoft.com/office/drawing/2014/main" id="{00000000-0008-0000-1200-000063080000}"/>
            </a:ext>
          </a:extLst>
        </xdr:cNvPr>
        <xdr:cNvCxnSpPr/>
      </xdr:nvCxnSpPr>
      <xdr:spPr>
        <a:xfrm>
          <a:off x="10604500" y="199421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2148" name="Straight Arrow Connector 2147">
          <a:extLst>
            <a:ext uri="{FF2B5EF4-FFF2-40B4-BE49-F238E27FC236}">
              <a16:creationId xmlns:a16="http://schemas.microsoft.com/office/drawing/2014/main" id="{00000000-0008-0000-1200-000064080000}"/>
            </a:ext>
          </a:extLst>
        </xdr:cNvPr>
        <xdr:cNvCxnSpPr/>
      </xdr:nvCxnSpPr>
      <xdr:spPr>
        <a:xfrm>
          <a:off x="10519834" y="199368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2149" name="Straight Arrow Connector 2148">
          <a:extLst>
            <a:ext uri="{FF2B5EF4-FFF2-40B4-BE49-F238E27FC236}">
              <a16:creationId xmlns:a16="http://schemas.microsoft.com/office/drawing/2014/main" id="{00000000-0008-0000-1200-000065080000}"/>
            </a:ext>
          </a:extLst>
        </xdr:cNvPr>
        <xdr:cNvCxnSpPr/>
      </xdr:nvCxnSpPr>
      <xdr:spPr>
        <a:xfrm flipV="1">
          <a:off x="10541000" y="200839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2150" name="Straight Arrow Connector 2149">
          <a:extLst>
            <a:ext uri="{FF2B5EF4-FFF2-40B4-BE49-F238E27FC236}">
              <a16:creationId xmlns:a16="http://schemas.microsoft.com/office/drawing/2014/main" id="{00000000-0008-0000-1200-000066080000}"/>
            </a:ext>
          </a:extLst>
        </xdr:cNvPr>
        <xdr:cNvCxnSpPr/>
      </xdr:nvCxnSpPr>
      <xdr:spPr>
        <a:xfrm>
          <a:off x="10551583" y="201189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2151" name="Straight Arrow Connector 2150">
          <a:extLst>
            <a:ext uri="{FF2B5EF4-FFF2-40B4-BE49-F238E27FC236}">
              <a16:creationId xmlns:a16="http://schemas.microsoft.com/office/drawing/2014/main" id="{00000000-0008-0000-1200-000067080000}"/>
            </a:ext>
          </a:extLst>
        </xdr:cNvPr>
        <xdr:cNvCxnSpPr/>
      </xdr:nvCxnSpPr>
      <xdr:spPr>
        <a:xfrm>
          <a:off x="10530417" y="201189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2152" name="Straight Arrow Connector 2151">
          <a:extLst>
            <a:ext uri="{FF2B5EF4-FFF2-40B4-BE49-F238E27FC236}">
              <a16:creationId xmlns:a16="http://schemas.microsoft.com/office/drawing/2014/main" id="{00000000-0008-0000-1200-000068080000}"/>
            </a:ext>
          </a:extLst>
        </xdr:cNvPr>
        <xdr:cNvCxnSpPr/>
      </xdr:nvCxnSpPr>
      <xdr:spPr>
        <a:xfrm>
          <a:off x="10541000" y="201199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2153" name="Straight Arrow Connector 2152">
          <a:extLst>
            <a:ext uri="{FF2B5EF4-FFF2-40B4-BE49-F238E27FC236}">
              <a16:creationId xmlns:a16="http://schemas.microsoft.com/office/drawing/2014/main" id="{00000000-0008-0000-1200-000069080000}"/>
            </a:ext>
          </a:extLst>
        </xdr:cNvPr>
        <xdr:cNvCxnSpPr/>
      </xdr:nvCxnSpPr>
      <xdr:spPr>
        <a:xfrm flipV="1">
          <a:off x="6392333" y="208449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2154" name="Straight Arrow Connector 2153">
          <a:extLst>
            <a:ext uri="{FF2B5EF4-FFF2-40B4-BE49-F238E27FC236}">
              <a16:creationId xmlns:a16="http://schemas.microsoft.com/office/drawing/2014/main" id="{00000000-0008-0000-1200-00006A080000}"/>
            </a:ext>
          </a:extLst>
        </xdr:cNvPr>
        <xdr:cNvCxnSpPr/>
      </xdr:nvCxnSpPr>
      <xdr:spPr>
        <a:xfrm>
          <a:off x="6413500" y="210481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2155" name="Straight Arrow Connector 2154">
          <a:extLst>
            <a:ext uri="{FF2B5EF4-FFF2-40B4-BE49-F238E27FC236}">
              <a16:creationId xmlns:a16="http://schemas.microsoft.com/office/drawing/2014/main" id="{00000000-0008-0000-1200-00006B080000}"/>
            </a:ext>
          </a:extLst>
        </xdr:cNvPr>
        <xdr:cNvCxnSpPr/>
      </xdr:nvCxnSpPr>
      <xdr:spPr>
        <a:xfrm flipV="1">
          <a:off x="7556500" y="211613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2156" name="Straight Arrow Connector 2155">
          <a:extLst>
            <a:ext uri="{FF2B5EF4-FFF2-40B4-BE49-F238E27FC236}">
              <a16:creationId xmlns:a16="http://schemas.microsoft.com/office/drawing/2014/main" id="{00000000-0008-0000-1200-00006C080000}"/>
            </a:ext>
          </a:extLst>
        </xdr:cNvPr>
        <xdr:cNvCxnSpPr/>
      </xdr:nvCxnSpPr>
      <xdr:spPr>
        <a:xfrm flipV="1">
          <a:off x="10530417" y="203454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2157" name="Straight Arrow Connector 2156">
          <a:extLst>
            <a:ext uri="{FF2B5EF4-FFF2-40B4-BE49-F238E27FC236}">
              <a16:creationId xmlns:a16="http://schemas.microsoft.com/office/drawing/2014/main" id="{00000000-0008-0000-1200-00006D080000}"/>
            </a:ext>
          </a:extLst>
        </xdr:cNvPr>
        <xdr:cNvCxnSpPr/>
      </xdr:nvCxnSpPr>
      <xdr:spPr>
        <a:xfrm>
          <a:off x="10572750" y="203845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2158" name="Straight Arrow Connector 2157">
          <a:extLst>
            <a:ext uri="{FF2B5EF4-FFF2-40B4-BE49-F238E27FC236}">
              <a16:creationId xmlns:a16="http://schemas.microsoft.com/office/drawing/2014/main" id="{00000000-0008-0000-1200-00006E080000}"/>
            </a:ext>
          </a:extLst>
        </xdr:cNvPr>
        <xdr:cNvCxnSpPr/>
      </xdr:nvCxnSpPr>
      <xdr:spPr>
        <a:xfrm>
          <a:off x="10551583" y="203845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2159" name="Straight Arrow Connector 2158">
          <a:extLst>
            <a:ext uri="{FF2B5EF4-FFF2-40B4-BE49-F238E27FC236}">
              <a16:creationId xmlns:a16="http://schemas.microsoft.com/office/drawing/2014/main" id="{00000000-0008-0000-1200-00006F080000}"/>
            </a:ext>
          </a:extLst>
        </xdr:cNvPr>
        <xdr:cNvCxnSpPr/>
      </xdr:nvCxnSpPr>
      <xdr:spPr>
        <a:xfrm>
          <a:off x="10583333" y="203866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2160" name="Straight Arrow Connector 2159">
          <a:extLst>
            <a:ext uri="{FF2B5EF4-FFF2-40B4-BE49-F238E27FC236}">
              <a16:creationId xmlns:a16="http://schemas.microsoft.com/office/drawing/2014/main" id="{00000000-0008-0000-1200-000070080000}"/>
            </a:ext>
          </a:extLst>
        </xdr:cNvPr>
        <xdr:cNvCxnSpPr/>
      </xdr:nvCxnSpPr>
      <xdr:spPr>
        <a:xfrm>
          <a:off x="10562166" y="206502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2161" name="Straight Arrow Connector 2160">
          <a:extLst>
            <a:ext uri="{FF2B5EF4-FFF2-40B4-BE49-F238E27FC236}">
              <a16:creationId xmlns:a16="http://schemas.microsoft.com/office/drawing/2014/main" id="{00000000-0008-0000-1200-000071080000}"/>
            </a:ext>
          </a:extLst>
        </xdr:cNvPr>
        <xdr:cNvCxnSpPr/>
      </xdr:nvCxnSpPr>
      <xdr:spPr>
        <a:xfrm>
          <a:off x="10615083" y="206523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2162" name="Straight Arrow Connector 2161">
          <a:extLst>
            <a:ext uri="{FF2B5EF4-FFF2-40B4-BE49-F238E27FC236}">
              <a16:creationId xmlns:a16="http://schemas.microsoft.com/office/drawing/2014/main" id="{00000000-0008-0000-1200-000072080000}"/>
            </a:ext>
          </a:extLst>
        </xdr:cNvPr>
        <xdr:cNvCxnSpPr/>
      </xdr:nvCxnSpPr>
      <xdr:spPr>
        <a:xfrm>
          <a:off x="10572750" y="206554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2163" name="Straight Arrow Connector 2162">
          <a:extLst>
            <a:ext uri="{FF2B5EF4-FFF2-40B4-BE49-F238E27FC236}">
              <a16:creationId xmlns:a16="http://schemas.microsoft.com/office/drawing/2014/main" id="{00000000-0008-0000-1200-000073080000}"/>
            </a:ext>
          </a:extLst>
        </xdr:cNvPr>
        <xdr:cNvCxnSpPr/>
      </xdr:nvCxnSpPr>
      <xdr:spPr>
        <a:xfrm flipV="1">
          <a:off x="10562166" y="209285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2164" name="Straight Arrow Connector 2163">
          <a:extLst>
            <a:ext uri="{FF2B5EF4-FFF2-40B4-BE49-F238E27FC236}">
              <a16:creationId xmlns:a16="http://schemas.microsoft.com/office/drawing/2014/main" id="{00000000-0008-0000-1200-000074080000}"/>
            </a:ext>
          </a:extLst>
        </xdr:cNvPr>
        <xdr:cNvCxnSpPr/>
      </xdr:nvCxnSpPr>
      <xdr:spPr>
        <a:xfrm flipV="1">
          <a:off x="10604500" y="209645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2165" name="Straight Arrow Connector 2164">
          <a:extLst>
            <a:ext uri="{FF2B5EF4-FFF2-40B4-BE49-F238E27FC236}">
              <a16:creationId xmlns:a16="http://schemas.microsoft.com/office/drawing/2014/main" id="{00000000-0008-0000-1200-000075080000}"/>
            </a:ext>
          </a:extLst>
        </xdr:cNvPr>
        <xdr:cNvCxnSpPr/>
      </xdr:nvCxnSpPr>
      <xdr:spPr>
        <a:xfrm>
          <a:off x="10593916" y="210047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2166" name="Straight Arrow Connector 2165">
          <a:extLst>
            <a:ext uri="{FF2B5EF4-FFF2-40B4-BE49-F238E27FC236}">
              <a16:creationId xmlns:a16="http://schemas.microsoft.com/office/drawing/2014/main" id="{00000000-0008-0000-1200-000076080000}"/>
            </a:ext>
          </a:extLst>
        </xdr:cNvPr>
        <xdr:cNvCxnSpPr/>
      </xdr:nvCxnSpPr>
      <xdr:spPr>
        <a:xfrm>
          <a:off x="10572750" y="212142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2167" name="Straight Arrow Connector 2166">
          <a:extLst>
            <a:ext uri="{FF2B5EF4-FFF2-40B4-BE49-F238E27FC236}">
              <a16:creationId xmlns:a16="http://schemas.microsoft.com/office/drawing/2014/main" id="{00000000-0008-0000-1200-000077080000}"/>
            </a:ext>
          </a:extLst>
        </xdr:cNvPr>
        <xdr:cNvCxnSpPr/>
      </xdr:nvCxnSpPr>
      <xdr:spPr>
        <a:xfrm flipV="1">
          <a:off x="10583333" y="205983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2168" name="Straight Arrow Connector 2167">
          <a:extLst>
            <a:ext uri="{FF2B5EF4-FFF2-40B4-BE49-F238E27FC236}">
              <a16:creationId xmlns:a16="http://schemas.microsoft.com/office/drawing/2014/main" id="{00000000-0008-0000-1200-000078080000}"/>
            </a:ext>
          </a:extLst>
        </xdr:cNvPr>
        <xdr:cNvCxnSpPr/>
      </xdr:nvCxnSpPr>
      <xdr:spPr>
        <a:xfrm>
          <a:off x="7598834" y="212640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2169" name="Straight Arrow Connector 2168">
          <a:extLst>
            <a:ext uri="{FF2B5EF4-FFF2-40B4-BE49-F238E27FC236}">
              <a16:creationId xmlns:a16="http://schemas.microsoft.com/office/drawing/2014/main" id="{00000000-0008-0000-1200-000079080000}"/>
            </a:ext>
          </a:extLst>
        </xdr:cNvPr>
        <xdr:cNvCxnSpPr/>
      </xdr:nvCxnSpPr>
      <xdr:spPr>
        <a:xfrm flipV="1">
          <a:off x="8794750" y="210714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2170" name="Straight Arrow Connector 2169">
          <a:extLst>
            <a:ext uri="{FF2B5EF4-FFF2-40B4-BE49-F238E27FC236}">
              <a16:creationId xmlns:a16="http://schemas.microsoft.com/office/drawing/2014/main" id="{00000000-0008-0000-1200-00007A080000}"/>
            </a:ext>
          </a:extLst>
        </xdr:cNvPr>
        <xdr:cNvCxnSpPr/>
      </xdr:nvCxnSpPr>
      <xdr:spPr>
        <a:xfrm>
          <a:off x="8784166" y="211666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2171" name="Straight Arrow Connector 2170">
          <a:extLst>
            <a:ext uri="{FF2B5EF4-FFF2-40B4-BE49-F238E27FC236}">
              <a16:creationId xmlns:a16="http://schemas.microsoft.com/office/drawing/2014/main" id="{00000000-0008-0000-1200-00007B080000}"/>
            </a:ext>
          </a:extLst>
        </xdr:cNvPr>
        <xdr:cNvCxnSpPr/>
      </xdr:nvCxnSpPr>
      <xdr:spPr>
        <a:xfrm flipV="1">
          <a:off x="8794750" y="214714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2172" name="Straight Arrow Connector 2171">
          <a:extLst>
            <a:ext uri="{FF2B5EF4-FFF2-40B4-BE49-F238E27FC236}">
              <a16:creationId xmlns:a16="http://schemas.microsoft.com/office/drawing/2014/main" id="{00000000-0008-0000-1200-00007C080000}"/>
            </a:ext>
          </a:extLst>
        </xdr:cNvPr>
        <xdr:cNvCxnSpPr/>
      </xdr:nvCxnSpPr>
      <xdr:spPr>
        <a:xfrm>
          <a:off x="8805333" y="215646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2173" name="Straight Arrow Connector 2172">
          <a:extLst>
            <a:ext uri="{FF2B5EF4-FFF2-40B4-BE49-F238E27FC236}">
              <a16:creationId xmlns:a16="http://schemas.microsoft.com/office/drawing/2014/main" id="{00000000-0008-0000-1200-00007D080000}"/>
            </a:ext>
          </a:extLst>
        </xdr:cNvPr>
        <xdr:cNvCxnSpPr/>
      </xdr:nvCxnSpPr>
      <xdr:spPr>
        <a:xfrm>
          <a:off x="10593916" y="210026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2174" name="Straight Arrow Connector 2173">
          <a:extLst>
            <a:ext uri="{FF2B5EF4-FFF2-40B4-BE49-F238E27FC236}">
              <a16:creationId xmlns:a16="http://schemas.microsoft.com/office/drawing/2014/main" id="{00000000-0008-0000-1200-00007E080000}"/>
            </a:ext>
          </a:extLst>
        </xdr:cNvPr>
        <xdr:cNvCxnSpPr/>
      </xdr:nvCxnSpPr>
      <xdr:spPr>
        <a:xfrm flipV="1">
          <a:off x="10541000" y="211698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2175" name="Straight Arrow Connector 2174">
          <a:extLst>
            <a:ext uri="{FF2B5EF4-FFF2-40B4-BE49-F238E27FC236}">
              <a16:creationId xmlns:a16="http://schemas.microsoft.com/office/drawing/2014/main" id="{00000000-0008-0000-1200-00007F080000}"/>
            </a:ext>
          </a:extLst>
        </xdr:cNvPr>
        <xdr:cNvCxnSpPr/>
      </xdr:nvCxnSpPr>
      <xdr:spPr>
        <a:xfrm>
          <a:off x="10530417" y="212047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2176" name="Straight Arrow Connector 2175">
          <a:extLst>
            <a:ext uri="{FF2B5EF4-FFF2-40B4-BE49-F238E27FC236}">
              <a16:creationId xmlns:a16="http://schemas.microsoft.com/office/drawing/2014/main" id="{00000000-0008-0000-1200-000080080000}"/>
            </a:ext>
          </a:extLst>
        </xdr:cNvPr>
        <xdr:cNvCxnSpPr/>
      </xdr:nvCxnSpPr>
      <xdr:spPr>
        <a:xfrm>
          <a:off x="10530417" y="212026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2177" name="Straight Arrow Connector 2176">
          <a:extLst>
            <a:ext uri="{FF2B5EF4-FFF2-40B4-BE49-F238E27FC236}">
              <a16:creationId xmlns:a16="http://schemas.microsoft.com/office/drawing/2014/main" id="{00000000-0008-0000-1200-000081080000}"/>
            </a:ext>
          </a:extLst>
        </xdr:cNvPr>
        <xdr:cNvCxnSpPr/>
      </xdr:nvCxnSpPr>
      <xdr:spPr>
        <a:xfrm flipV="1">
          <a:off x="10530417" y="214312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2178" name="Straight Arrow Connector 2177">
          <a:extLst>
            <a:ext uri="{FF2B5EF4-FFF2-40B4-BE49-F238E27FC236}">
              <a16:creationId xmlns:a16="http://schemas.microsoft.com/office/drawing/2014/main" id="{00000000-0008-0000-1200-000082080000}"/>
            </a:ext>
          </a:extLst>
        </xdr:cNvPr>
        <xdr:cNvCxnSpPr/>
      </xdr:nvCxnSpPr>
      <xdr:spPr>
        <a:xfrm>
          <a:off x="10572750" y="214704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2179" name="Straight Arrow Connector 2178">
          <a:extLst>
            <a:ext uri="{FF2B5EF4-FFF2-40B4-BE49-F238E27FC236}">
              <a16:creationId xmlns:a16="http://schemas.microsoft.com/office/drawing/2014/main" id="{00000000-0008-0000-1200-000083080000}"/>
            </a:ext>
          </a:extLst>
        </xdr:cNvPr>
        <xdr:cNvCxnSpPr/>
      </xdr:nvCxnSpPr>
      <xdr:spPr>
        <a:xfrm>
          <a:off x="10551583" y="214704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2180" name="Straight Arrow Connector 2179">
          <a:extLst>
            <a:ext uri="{FF2B5EF4-FFF2-40B4-BE49-F238E27FC236}">
              <a16:creationId xmlns:a16="http://schemas.microsoft.com/office/drawing/2014/main" id="{00000000-0008-0000-1200-000084080000}"/>
            </a:ext>
          </a:extLst>
        </xdr:cNvPr>
        <xdr:cNvCxnSpPr/>
      </xdr:nvCxnSpPr>
      <xdr:spPr>
        <a:xfrm>
          <a:off x="10583333" y="214725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2181" name="Straight Arrow Connector 2180">
          <a:extLst>
            <a:ext uri="{FF2B5EF4-FFF2-40B4-BE49-F238E27FC236}">
              <a16:creationId xmlns:a16="http://schemas.microsoft.com/office/drawing/2014/main" id="{00000000-0008-0000-1200-000085080000}"/>
            </a:ext>
          </a:extLst>
        </xdr:cNvPr>
        <xdr:cNvCxnSpPr/>
      </xdr:nvCxnSpPr>
      <xdr:spPr>
        <a:xfrm>
          <a:off x="10562166" y="217360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2182" name="Straight Arrow Connector 2181">
          <a:extLst>
            <a:ext uri="{FF2B5EF4-FFF2-40B4-BE49-F238E27FC236}">
              <a16:creationId xmlns:a16="http://schemas.microsoft.com/office/drawing/2014/main" id="{00000000-0008-0000-1200-000086080000}"/>
            </a:ext>
          </a:extLst>
        </xdr:cNvPr>
        <xdr:cNvCxnSpPr/>
      </xdr:nvCxnSpPr>
      <xdr:spPr>
        <a:xfrm>
          <a:off x="10615083" y="217381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2183" name="Straight Arrow Connector 2182">
          <a:extLst>
            <a:ext uri="{FF2B5EF4-FFF2-40B4-BE49-F238E27FC236}">
              <a16:creationId xmlns:a16="http://schemas.microsoft.com/office/drawing/2014/main" id="{00000000-0008-0000-1200-000087080000}"/>
            </a:ext>
          </a:extLst>
        </xdr:cNvPr>
        <xdr:cNvCxnSpPr/>
      </xdr:nvCxnSpPr>
      <xdr:spPr>
        <a:xfrm>
          <a:off x="10572750" y="217413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2184" name="Straight Arrow Connector 2183">
          <a:extLst>
            <a:ext uri="{FF2B5EF4-FFF2-40B4-BE49-F238E27FC236}">
              <a16:creationId xmlns:a16="http://schemas.microsoft.com/office/drawing/2014/main" id="{00000000-0008-0000-1200-000088080000}"/>
            </a:ext>
          </a:extLst>
        </xdr:cNvPr>
        <xdr:cNvCxnSpPr/>
      </xdr:nvCxnSpPr>
      <xdr:spPr>
        <a:xfrm flipV="1">
          <a:off x="10583333" y="216841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2185" name="Straight Arrow Connector 2184">
          <a:extLst>
            <a:ext uri="{FF2B5EF4-FFF2-40B4-BE49-F238E27FC236}">
              <a16:creationId xmlns:a16="http://schemas.microsoft.com/office/drawing/2014/main" id="{00000000-0008-0000-1200-000089080000}"/>
            </a:ext>
          </a:extLst>
        </xdr:cNvPr>
        <xdr:cNvCxnSpPr/>
      </xdr:nvCxnSpPr>
      <xdr:spPr>
        <a:xfrm flipV="1">
          <a:off x="5207000" y="199580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2186" name="Straight Arrow Connector 2185">
          <a:extLst>
            <a:ext uri="{FF2B5EF4-FFF2-40B4-BE49-F238E27FC236}">
              <a16:creationId xmlns:a16="http://schemas.microsoft.com/office/drawing/2014/main" id="{00000000-0008-0000-1200-00008A080000}"/>
            </a:ext>
          </a:extLst>
        </xdr:cNvPr>
        <xdr:cNvCxnSpPr/>
      </xdr:nvCxnSpPr>
      <xdr:spPr>
        <a:xfrm flipV="1">
          <a:off x="3714750" y="226123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2187" name="Straight Arrow Connector 2186">
          <a:extLst>
            <a:ext uri="{FF2B5EF4-FFF2-40B4-BE49-F238E27FC236}">
              <a16:creationId xmlns:a16="http://schemas.microsoft.com/office/drawing/2014/main" id="{00000000-0008-0000-1200-00008B080000}"/>
            </a:ext>
          </a:extLst>
        </xdr:cNvPr>
        <xdr:cNvCxnSpPr/>
      </xdr:nvCxnSpPr>
      <xdr:spPr>
        <a:xfrm>
          <a:off x="3799417" y="233341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2188" name="Straight Arrow Connector 2187">
          <a:extLst>
            <a:ext uri="{FF2B5EF4-FFF2-40B4-BE49-F238E27FC236}">
              <a16:creationId xmlns:a16="http://schemas.microsoft.com/office/drawing/2014/main" id="{00000000-0008-0000-1200-00008C080000}"/>
            </a:ext>
          </a:extLst>
        </xdr:cNvPr>
        <xdr:cNvCxnSpPr/>
      </xdr:nvCxnSpPr>
      <xdr:spPr>
        <a:xfrm flipV="1">
          <a:off x="5175250" y="221318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2189" name="Straight Arrow Connector 2188">
          <a:extLst>
            <a:ext uri="{FF2B5EF4-FFF2-40B4-BE49-F238E27FC236}">
              <a16:creationId xmlns:a16="http://schemas.microsoft.com/office/drawing/2014/main" id="{00000000-0008-0000-1200-00008D080000}"/>
            </a:ext>
          </a:extLst>
        </xdr:cNvPr>
        <xdr:cNvCxnSpPr/>
      </xdr:nvCxnSpPr>
      <xdr:spPr>
        <a:xfrm>
          <a:off x="5175250" y="226134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2190" name="Straight Arrow Connector 2189">
          <a:extLst>
            <a:ext uri="{FF2B5EF4-FFF2-40B4-BE49-F238E27FC236}">
              <a16:creationId xmlns:a16="http://schemas.microsoft.com/office/drawing/2014/main" id="{00000000-0008-0000-1200-00008E080000}"/>
            </a:ext>
          </a:extLst>
        </xdr:cNvPr>
        <xdr:cNvCxnSpPr/>
      </xdr:nvCxnSpPr>
      <xdr:spPr>
        <a:xfrm flipV="1">
          <a:off x="6381750" y="219784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2191" name="Straight Arrow Connector 2190">
          <a:extLst>
            <a:ext uri="{FF2B5EF4-FFF2-40B4-BE49-F238E27FC236}">
              <a16:creationId xmlns:a16="http://schemas.microsoft.com/office/drawing/2014/main" id="{00000000-0008-0000-1200-00008F080000}"/>
            </a:ext>
          </a:extLst>
        </xdr:cNvPr>
        <xdr:cNvCxnSpPr/>
      </xdr:nvCxnSpPr>
      <xdr:spPr>
        <a:xfrm>
          <a:off x="6413500" y="221361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2192" name="Straight Arrow Connector 2191">
          <a:extLst>
            <a:ext uri="{FF2B5EF4-FFF2-40B4-BE49-F238E27FC236}">
              <a16:creationId xmlns:a16="http://schemas.microsoft.com/office/drawing/2014/main" id="{00000000-0008-0000-1200-000090080000}"/>
            </a:ext>
          </a:extLst>
        </xdr:cNvPr>
        <xdr:cNvCxnSpPr/>
      </xdr:nvCxnSpPr>
      <xdr:spPr>
        <a:xfrm flipV="1">
          <a:off x="7609417" y="222482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2193" name="Straight Arrow Connector 2192">
          <a:extLst>
            <a:ext uri="{FF2B5EF4-FFF2-40B4-BE49-F238E27FC236}">
              <a16:creationId xmlns:a16="http://schemas.microsoft.com/office/drawing/2014/main" id="{00000000-0008-0000-1200-000091080000}"/>
            </a:ext>
          </a:extLst>
        </xdr:cNvPr>
        <xdr:cNvCxnSpPr/>
      </xdr:nvCxnSpPr>
      <xdr:spPr>
        <a:xfrm>
          <a:off x="7598834" y="223498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2194" name="Straight Arrow Connector 2193">
          <a:extLst>
            <a:ext uri="{FF2B5EF4-FFF2-40B4-BE49-F238E27FC236}">
              <a16:creationId xmlns:a16="http://schemas.microsoft.com/office/drawing/2014/main" id="{00000000-0008-0000-1200-000092080000}"/>
            </a:ext>
          </a:extLst>
        </xdr:cNvPr>
        <xdr:cNvCxnSpPr/>
      </xdr:nvCxnSpPr>
      <xdr:spPr>
        <a:xfrm flipV="1">
          <a:off x="8794750" y="221572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2195" name="Straight Arrow Connector 2194">
          <a:extLst>
            <a:ext uri="{FF2B5EF4-FFF2-40B4-BE49-F238E27FC236}">
              <a16:creationId xmlns:a16="http://schemas.microsoft.com/office/drawing/2014/main" id="{00000000-0008-0000-1200-000093080000}"/>
            </a:ext>
          </a:extLst>
        </xdr:cNvPr>
        <xdr:cNvCxnSpPr/>
      </xdr:nvCxnSpPr>
      <xdr:spPr>
        <a:xfrm>
          <a:off x="8784166" y="222525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2196" name="Straight Arrow Connector 2195">
          <a:extLst>
            <a:ext uri="{FF2B5EF4-FFF2-40B4-BE49-F238E27FC236}">
              <a16:creationId xmlns:a16="http://schemas.microsoft.com/office/drawing/2014/main" id="{00000000-0008-0000-1200-000094080000}"/>
            </a:ext>
          </a:extLst>
        </xdr:cNvPr>
        <xdr:cNvCxnSpPr/>
      </xdr:nvCxnSpPr>
      <xdr:spPr>
        <a:xfrm flipV="1">
          <a:off x="8794750" y="225573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2197" name="Straight Arrow Connector 2196">
          <a:extLst>
            <a:ext uri="{FF2B5EF4-FFF2-40B4-BE49-F238E27FC236}">
              <a16:creationId xmlns:a16="http://schemas.microsoft.com/office/drawing/2014/main" id="{00000000-0008-0000-1200-000095080000}"/>
            </a:ext>
          </a:extLst>
        </xdr:cNvPr>
        <xdr:cNvCxnSpPr/>
      </xdr:nvCxnSpPr>
      <xdr:spPr>
        <a:xfrm>
          <a:off x="8805333" y="226504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2198" name="Straight Arrow Connector 2197">
          <a:extLst>
            <a:ext uri="{FF2B5EF4-FFF2-40B4-BE49-F238E27FC236}">
              <a16:creationId xmlns:a16="http://schemas.microsoft.com/office/drawing/2014/main" id="{00000000-0008-0000-1200-000096080000}"/>
            </a:ext>
          </a:extLst>
        </xdr:cNvPr>
        <xdr:cNvCxnSpPr/>
      </xdr:nvCxnSpPr>
      <xdr:spPr>
        <a:xfrm flipV="1">
          <a:off x="10541000" y="220027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2199" name="Straight Arrow Connector 2198">
          <a:extLst>
            <a:ext uri="{FF2B5EF4-FFF2-40B4-BE49-F238E27FC236}">
              <a16:creationId xmlns:a16="http://schemas.microsoft.com/office/drawing/2014/main" id="{00000000-0008-0000-1200-000097080000}"/>
            </a:ext>
          </a:extLst>
        </xdr:cNvPr>
        <xdr:cNvCxnSpPr/>
      </xdr:nvCxnSpPr>
      <xdr:spPr>
        <a:xfrm flipV="1">
          <a:off x="10583333" y="220651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2200" name="Straight Arrow Connector 2199">
          <a:extLst>
            <a:ext uri="{FF2B5EF4-FFF2-40B4-BE49-F238E27FC236}">
              <a16:creationId xmlns:a16="http://schemas.microsoft.com/office/drawing/2014/main" id="{00000000-0008-0000-1200-000098080000}"/>
            </a:ext>
          </a:extLst>
        </xdr:cNvPr>
        <xdr:cNvCxnSpPr/>
      </xdr:nvCxnSpPr>
      <xdr:spPr>
        <a:xfrm>
          <a:off x="10604500" y="221138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2201" name="Straight Arrow Connector 2200">
          <a:extLst>
            <a:ext uri="{FF2B5EF4-FFF2-40B4-BE49-F238E27FC236}">
              <a16:creationId xmlns:a16="http://schemas.microsoft.com/office/drawing/2014/main" id="{00000000-0008-0000-1200-000099080000}"/>
            </a:ext>
          </a:extLst>
        </xdr:cNvPr>
        <xdr:cNvCxnSpPr/>
      </xdr:nvCxnSpPr>
      <xdr:spPr>
        <a:xfrm>
          <a:off x="10519834" y="221085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2202" name="Straight Arrow Connector 2201">
          <a:extLst>
            <a:ext uri="{FF2B5EF4-FFF2-40B4-BE49-F238E27FC236}">
              <a16:creationId xmlns:a16="http://schemas.microsoft.com/office/drawing/2014/main" id="{00000000-0008-0000-1200-00009A080000}"/>
            </a:ext>
          </a:extLst>
        </xdr:cNvPr>
        <xdr:cNvCxnSpPr/>
      </xdr:nvCxnSpPr>
      <xdr:spPr>
        <a:xfrm flipV="1">
          <a:off x="10541000" y="222556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2203" name="Straight Arrow Connector 2202">
          <a:extLst>
            <a:ext uri="{FF2B5EF4-FFF2-40B4-BE49-F238E27FC236}">
              <a16:creationId xmlns:a16="http://schemas.microsoft.com/office/drawing/2014/main" id="{00000000-0008-0000-1200-00009B080000}"/>
            </a:ext>
          </a:extLst>
        </xdr:cNvPr>
        <xdr:cNvCxnSpPr/>
      </xdr:nvCxnSpPr>
      <xdr:spPr>
        <a:xfrm>
          <a:off x="10551583" y="222906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2204" name="Straight Arrow Connector 2203">
          <a:extLst>
            <a:ext uri="{FF2B5EF4-FFF2-40B4-BE49-F238E27FC236}">
              <a16:creationId xmlns:a16="http://schemas.microsoft.com/office/drawing/2014/main" id="{00000000-0008-0000-1200-00009C080000}"/>
            </a:ext>
          </a:extLst>
        </xdr:cNvPr>
        <xdr:cNvCxnSpPr/>
      </xdr:nvCxnSpPr>
      <xdr:spPr>
        <a:xfrm>
          <a:off x="10530417" y="222906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2205" name="Straight Arrow Connector 2204">
          <a:extLst>
            <a:ext uri="{FF2B5EF4-FFF2-40B4-BE49-F238E27FC236}">
              <a16:creationId xmlns:a16="http://schemas.microsoft.com/office/drawing/2014/main" id="{00000000-0008-0000-1200-00009D080000}"/>
            </a:ext>
          </a:extLst>
        </xdr:cNvPr>
        <xdr:cNvCxnSpPr/>
      </xdr:nvCxnSpPr>
      <xdr:spPr>
        <a:xfrm>
          <a:off x="10541000" y="222916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2206" name="Straight Arrow Connector 2205">
          <a:extLst>
            <a:ext uri="{FF2B5EF4-FFF2-40B4-BE49-F238E27FC236}">
              <a16:creationId xmlns:a16="http://schemas.microsoft.com/office/drawing/2014/main" id="{00000000-0008-0000-1200-00009E080000}"/>
            </a:ext>
          </a:extLst>
        </xdr:cNvPr>
        <xdr:cNvCxnSpPr/>
      </xdr:nvCxnSpPr>
      <xdr:spPr>
        <a:xfrm flipV="1">
          <a:off x="6392333" y="230166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2207" name="Straight Arrow Connector 2206">
          <a:extLst>
            <a:ext uri="{FF2B5EF4-FFF2-40B4-BE49-F238E27FC236}">
              <a16:creationId xmlns:a16="http://schemas.microsoft.com/office/drawing/2014/main" id="{00000000-0008-0000-1200-00009F080000}"/>
            </a:ext>
          </a:extLst>
        </xdr:cNvPr>
        <xdr:cNvCxnSpPr/>
      </xdr:nvCxnSpPr>
      <xdr:spPr>
        <a:xfrm>
          <a:off x="6413500" y="232198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2208" name="Straight Arrow Connector 2207">
          <a:extLst>
            <a:ext uri="{FF2B5EF4-FFF2-40B4-BE49-F238E27FC236}">
              <a16:creationId xmlns:a16="http://schemas.microsoft.com/office/drawing/2014/main" id="{00000000-0008-0000-1200-0000A0080000}"/>
            </a:ext>
          </a:extLst>
        </xdr:cNvPr>
        <xdr:cNvCxnSpPr/>
      </xdr:nvCxnSpPr>
      <xdr:spPr>
        <a:xfrm flipV="1">
          <a:off x="7556500" y="233330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2209" name="Straight Arrow Connector 2208">
          <a:extLst>
            <a:ext uri="{FF2B5EF4-FFF2-40B4-BE49-F238E27FC236}">
              <a16:creationId xmlns:a16="http://schemas.microsoft.com/office/drawing/2014/main" id="{00000000-0008-0000-1200-0000A1080000}"/>
            </a:ext>
          </a:extLst>
        </xdr:cNvPr>
        <xdr:cNvCxnSpPr/>
      </xdr:nvCxnSpPr>
      <xdr:spPr>
        <a:xfrm flipV="1">
          <a:off x="10530417" y="225171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2210" name="Straight Arrow Connector 2209">
          <a:extLst>
            <a:ext uri="{FF2B5EF4-FFF2-40B4-BE49-F238E27FC236}">
              <a16:creationId xmlns:a16="http://schemas.microsoft.com/office/drawing/2014/main" id="{00000000-0008-0000-1200-0000A2080000}"/>
            </a:ext>
          </a:extLst>
        </xdr:cNvPr>
        <xdr:cNvCxnSpPr/>
      </xdr:nvCxnSpPr>
      <xdr:spPr>
        <a:xfrm>
          <a:off x="10572750" y="225562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2211" name="Straight Arrow Connector 2210">
          <a:extLst>
            <a:ext uri="{FF2B5EF4-FFF2-40B4-BE49-F238E27FC236}">
              <a16:creationId xmlns:a16="http://schemas.microsoft.com/office/drawing/2014/main" id="{00000000-0008-0000-1200-0000A3080000}"/>
            </a:ext>
          </a:extLst>
        </xdr:cNvPr>
        <xdr:cNvCxnSpPr/>
      </xdr:nvCxnSpPr>
      <xdr:spPr>
        <a:xfrm>
          <a:off x="10551583" y="225562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2212" name="Straight Arrow Connector 2211">
          <a:extLst>
            <a:ext uri="{FF2B5EF4-FFF2-40B4-BE49-F238E27FC236}">
              <a16:creationId xmlns:a16="http://schemas.microsoft.com/office/drawing/2014/main" id="{00000000-0008-0000-1200-0000A4080000}"/>
            </a:ext>
          </a:extLst>
        </xdr:cNvPr>
        <xdr:cNvCxnSpPr/>
      </xdr:nvCxnSpPr>
      <xdr:spPr>
        <a:xfrm>
          <a:off x="10583333" y="225583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2213" name="Straight Arrow Connector 2212">
          <a:extLst>
            <a:ext uri="{FF2B5EF4-FFF2-40B4-BE49-F238E27FC236}">
              <a16:creationId xmlns:a16="http://schemas.microsoft.com/office/drawing/2014/main" id="{00000000-0008-0000-1200-0000A5080000}"/>
            </a:ext>
          </a:extLst>
        </xdr:cNvPr>
        <xdr:cNvCxnSpPr/>
      </xdr:nvCxnSpPr>
      <xdr:spPr>
        <a:xfrm>
          <a:off x="10562166" y="228219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2214" name="Straight Arrow Connector 2213">
          <a:extLst>
            <a:ext uri="{FF2B5EF4-FFF2-40B4-BE49-F238E27FC236}">
              <a16:creationId xmlns:a16="http://schemas.microsoft.com/office/drawing/2014/main" id="{00000000-0008-0000-1200-0000A6080000}"/>
            </a:ext>
          </a:extLst>
        </xdr:cNvPr>
        <xdr:cNvCxnSpPr/>
      </xdr:nvCxnSpPr>
      <xdr:spPr>
        <a:xfrm>
          <a:off x="10615083" y="228240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2215" name="Straight Arrow Connector 2214">
          <a:extLst>
            <a:ext uri="{FF2B5EF4-FFF2-40B4-BE49-F238E27FC236}">
              <a16:creationId xmlns:a16="http://schemas.microsoft.com/office/drawing/2014/main" id="{00000000-0008-0000-1200-0000A7080000}"/>
            </a:ext>
          </a:extLst>
        </xdr:cNvPr>
        <xdr:cNvCxnSpPr/>
      </xdr:nvCxnSpPr>
      <xdr:spPr>
        <a:xfrm>
          <a:off x="10572750" y="228271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2216" name="Straight Arrow Connector 2215">
          <a:extLst>
            <a:ext uri="{FF2B5EF4-FFF2-40B4-BE49-F238E27FC236}">
              <a16:creationId xmlns:a16="http://schemas.microsoft.com/office/drawing/2014/main" id="{00000000-0008-0000-1200-0000A8080000}"/>
            </a:ext>
          </a:extLst>
        </xdr:cNvPr>
        <xdr:cNvCxnSpPr/>
      </xdr:nvCxnSpPr>
      <xdr:spPr>
        <a:xfrm flipV="1">
          <a:off x="10562166" y="231002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2217" name="Straight Arrow Connector 2216">
          <a:extLst>
            <a:ext uri="{FF2B5EF4-FFF2-40B4-BE49-F238E27FC236}">
              <a16:creationId xmlns:a16="http://schemas.microsoft.com/office/drawing/2014/main" id="{00000000-0008-0000-1200-0000A9080000}"/>
            </a:ext>
          </a:extLst>
        </xdr:cNvPr>
        <xdr:cNvCxnSpPr/>
      </xdr:nvCxnSpPr>
      <xdr:spPr>
        <a:xfrm flipV="1">
          <a:off x="10604500" y="231362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2218" name="Straight Arrow Connector 2217">
          <a:extLst>
            <a:ext uri="{FF2B5EF4-FFF2-40B4-BE49-F238E27FC236}">
              <a16:creationId xmlns:a16="http://schemas.microsoft.com/office/drawing/2014/main" id="{00000000-0008-0000-1200-0000AA080000}"/>
            </a:ext>
          </a:extLst>
        </xdr:cNvPr>
        <xdr:cNvCxnSpPr/>
      </xdr:nvCxnSpPr>
      <xdr:spPr>
        <a:xfrm>
          <a:off x="10593916" y="231764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2219" name="Straight Arrow Connector 2218">
          <a:extLst>
            <a:ext uri="{FF2B5EF4-FFF2-40B4-BE49-F238E27FC236}">
              <a16:creationId xmlns:a16="http://schemas.microsoft.com/office/drawing/2014/main" id="{00000000-0008-0000-1200-0000AB080000}"/>
            </a:ext>
          </a:extLst>
        </xdr:cNvPr>
        <xdr:cNvCxnSpPr/>
      </xdr:nvCxnSpPr>
      <xdr:spPr>
        <a:xfrm>
          <a:off x="10572750" y="233859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2220" name="Straight Arrow Connector 2219">
          <a:extLst>
            <a:ext uri="{FF2B5EF4-FFF2-40B4-BE49-F238E27FC236}">
              <a16:creationId xmlns:a16="http://schemas.microsoft.com/office/drawing/2014/main" id="{00000000-0008-0000-1200-0000AC080000}"/>
            </a:ext>
          </a:extLst>
        </xdr:cNvPr>
        <xdr:cNvCxnSpPr/>
      </xdr:nvCxnSpPr>
      <xdr:spPr>
        <a:xfrm flipV="1">
          <a:off x="10583333" y="227700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2221" name="Straight Arrow Connector 2220">
          <a:extLst>
            <a:ext uri="{FF2B5EF4-FFF2-40B4-BE49-F238E27FC236}">
              <a16:creationId xmlns:a16="http://schemas.microsoft.com/office/drawing/2014/main" id="{00000000-0008-0000-1200-0000AD080000}"/>
            </a:ext>
          </a:extLst>
        </xdr:cNvPr>
        <xdr:cNvCxnSpPr/>
      </xdr:nvCxnSpPr>
      <xdr:spPr>
        <a:xfrm>
          <a:off x="7598834" y="234357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2222" name="Straight Arrow Connector 2221">
          <a:extLst>
            <a:ext uri="{FF2B5EF4-FFF2-40B4-BE49-F238E27FC236}">
              <a16:creationId xmlns:a16="http://schemas.microsoft.com/office/drawing/2014/main" id="{00000000-0008-0000-1200-0000AE080000}"/>
            </a:ext>
          </a:extLst>
        </xdr:cNvPr>
        <xdr:cNvCxnSpPr/>
      </xdr:nvCxnSpPr>
      <xdr:spPr>
        <a:xfrm flipV="1">
          <a:off x="8794750" y="232431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2223" name="Straight Arrow Connector 2222">
          <a:extLst>
            <a:ext uri="{FF2B5EF4-FFF2-40B4-BE49-F238E27FC236}">
              <a16:creationId xmlns:a16="http://schemas.microsoft.com/office/drawing/2014/main" id="{00000000-0008-0000-1200-0000AF080000}"/>
            </a:ext>
          </a:extLst>
        </xdr:cNvPr>
        <xdr:cNvCxnSpPr/>
      </xdr:nvCxnSpPr>
      <xdr:spPr>
        <a:xfrm>
          <a:off x="8784166" y="233383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2224" name="Straight Arrow Connector 2223">
          <a:extLst>
            <a:ext uri="{FF2B5EF4-FFF2-40B4-BE49-F238E27FC236}">
              <a16:creationId xmlns:a16="http://schemas.microsoft.com/office/drawing/2014/main" id="{00000000-0008-0000-1200-0000B0080000}"/>
            </a:ext>
          </a:extLst>
        </xdr:cNvPr>
        <xdr:cNvCxnSpPr/>
      </xdr:nvCxnSpPr>
      <xdr:spPr>
        <a:xfrm flipV="1">
          <a:off x="8794750" y="236431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2225" name="Straight Arrow Connector 2224">
          <a:extLst>
            <a:ext uri="{FF2B5EF4-FFF2-40B4-BE49-F238E27FC236}">
              <a16:creationId xmlns:a16="http://schemas.microsoft.com/office/drawing/2014/main" id="{00000000-0008-0000-1200-0000B1080000}"/>
            </a:ext>
          </a:extLst>
        </xdr:cNvPr>
        <xdr:cNvCxnSpPr/>
      </xdr:nvCxnSpPr>
      <xdr:spPr>
        <a:xfrm>
          <a:off x="8805333" y="237363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2226" name="Straight Arrow Connector 2225">
          <a:extLst>
            <a:ext uri="{FF2B5EF4-FFF2-40B4-BE49-F238E27FC236}">
              <a16:creationId xmlns:a16="http://schemas.microsoft.com/office/drawing/2014/main" id="{00000000-0008-0000-1200-0000B2080000}"/>
            </a:ext>
          </a:extLst>
        </xdr:cNvPr>
        <xdr:cNvCxnSpPr/>
      </xdr:nvCxnSpPr>
      <xdr:spPr>
        <a:xfrm>
          <a:off x="10593916" y="231743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2227" name="Straight Arrow Connector 2226">
          <a:extLst>
            <a:ext uri="{FF2B5EF4-FFF2-40B4-BE49-F238E27FC236}">
              <a16:creationId xmlns:a16="http://schemas.microsoft.com/office/drawing/2014/main" id="{00000000-0008-0000-1200-0000B3080000}"/>
            </a:ext>
          </a:extLst>
        </xdr:cNvPr>
        <xdr:cNvCxnSpPr/>
      </xdr:nvCxnSpPr>
      <xdr:spPr>
        <a:xfrm flipV="1">
          <a:off x="10541000" y="233415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2228" name="Straight Arrow Connector 2227">
          <a:extLst>
            <a:ext uri="{FF2B5EF4-FFF2-40B4-BE49-F238E27FC236}">
              <a16:creationId xmlns:a16="http://schemas.microsoft.com/office/drawing/2014/main" id="{00000000-0008-0000-1200-0000B4080000}"/>
            </a:ext>
          </a:extLst>
        </xdr:cNvPr>
        <xdr:cNvCxnSpPr/>
      </xdr:nvCxnSpPr>
      <xdr:spPr>
        <a:xfrm>
          <a:off x="10530417" y="233764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2229" name="Straight Arrow Connector 2228">
          <a:extLst>
            <a:ext uri="{FF2B5EF4-FFF2-40B4-BE49-F238E27FC236}">
              <a16:creationId xmlns:a16="http://schemas.microsoft.com/office/drawing/2014/main" id="{00000000-0008-0000-1200-0000B5080000}"/>
            </a:ext>
          </a:extLst>
        </xdr:cNvPr>
        <xdr:cNvCxnSpPr/>
      </xdr:nvCxnSpPr>
      <xdr:spPr>
        <a:xfrm>
          <a:off x="10530417" y="233743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2230" name="Straight Arrow Connector 2229">
          <a:extLst>
            <a:ext uri="{FF2B5EF4-FFF2-40B4-BE49-F238E27FC236}">
              <a16:creationId xmlns:a16="http://schemas.microsoft.com/office/drawing/2014/main" id="{00000000-0008-0000-1200-0000B6080000}"/>
            </a:ext>
          </a:extLst>
        </xdr:cNvPr>
        <xdr:cNvCxnSpPr/>
      </xdr:nvCxnSpPr>
      <xdr:spPr>
        <a:xfrm flipV="1">
          <a:off x="10530417" y="236029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2231" name="Straight Arrow Connector 2230">
          <a:extLst>
            <a:ext uri="{FF2B5EF4-FFF2-40B4-BE49-F238E27FC236}">
              <a16:creationId xmlns:a16="http://schemas.microsoft.com/office/drawing/2014/main" id="{00000000-0008-0000-1200-0000B7080000}"/>
            </a:ext>
          </a:extLst>
        </xdr:cNvPr>
        <xdr:cNvCxnSpPr/>
      </xdr:nvCxnSpPr>
      <xdr:spPr>
        <a:xfrm>
          <a:off x="10572750" y="236421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2232" name="Straight Arrow Connector 2231">
          <a:extLst>
            <a:ext uri="{FF2B5EF4-FFF2-40B4-BE49-F238E27FC236}">
              <a16:creationId xmlns:a16="http://schemas.microsoft.com/office/drawing/2014/main" id="{00000000-0008-0000-1200-0000B8080000}"/>
            </a:ext>
          </a:extLst>
        </xdr:cNvPr>
        <xdr:cNvCxnSpPr/>
      </xdr:nvCxnSpPr>
      <xdr:spPr>
        <a:xfrm>
          <a:off x="10551583" y="236421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2233" name="Straight Arrow Connector 2232">
          <a:extLst>
            <a:ext uri="{FF2B5EF4-FFF2-40B4-BE49-F238E27FC236}">
              <a16:creationId xmlns:a16="http://schemas.microsoft.com/office/drawing/2014/main" id="{00000000-0008-0000-1200-0000B9080000}"/>
            </a:ext>
          </a:extLst>
        </xdr:cNvPr>
        <xdr:cNvCxnSpPr/>
      </xdr:nvCxnSpPr>
      <xdr:spPr>
        <a:xfrm>
          <a:off x="10583333" y="236442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2234" name="Straight Arrow Connector 2233">
          <a:extLst>
            <a:ext uri="{FF2B5EF4-FFF2-40B4-BE49-F238E27FC236}">
              <a16:creationId xmlns:a16="http://schemas.microsoft.com/office/drawing/2014/main" id="{00000000-0008-0000-1200-0000BA080000}"/>
            </a:ext>
          </a:extLst>
        </xdr:cNvPr>
        <xdr:cNvCxnSpPr/>
      </xdr:nvCxnSpPr>
      <xdr:spPr>
        <a:xfrm>
          <a:off x="10562166" y="239077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2235" name="Straight Arrow Connector 2234">
          <a:extLst>
            <a:ext uri="{FF2B5EF4-FFF2-40B4-BE49-F238E27FC236}">
              <a16:creationId xmlns:a16="http://schemas.microsoft.com/office/drawing/2014/main" id="{00000000-0008-0000-1200-0000BB080000}"/>
            </a:ext>
          </a:extLst>
        </xdr:cNvPr>
        <xdr:cNvCxnSpPr/>
      </xdr:nvCxnSpPr>
      <xdr:spPr>
        <a:xfrm>
          <a:off x="10615083" y="239098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2236" name="Straight Arrow Connector 2235">
          <a:extLst>
            <a:ext uri="{FF2B5EF4-FFF2-40B4-BE49-F238E27FC236}">
              <a16:creationId xmlns:a16="http://schemas.microsoft.com/office/drawing/2014/main" id="{00000000-0008-0000-1200-0000BC080000}"/>
            </a:ext>
          </a:extLst>
        </xdr:cNvPr>
        <xdr:cNvCxnSpPr/>
      </xdr:nvCxnSpPr>
      <xdr:spPr>
        <a:xfrm>
          <a:off x="10572750" y="239130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2237" name="Straight Arrow Connector 2236">
          <a:extLst>
            <a:ext uri="{FF2B5EF4-FFF2-40B4-BE49-F238E27FC236}">
              <a16:creationId xmlns:a16="http://schemas.microsoft.com/office/drawing/2014/main" id="{00000000-0008-0000-1200-0000BD080000}"/>
            </a:ext>
          </a:extLst>
        </xdr:cNvPr>
        <xdr:cNvCxnSpPr/>
      </xdr:nvCxnSpPr>
      <xdr:spPr>
        <a:xfrm flipV="1">
          <a:off x="10583333" y="238558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2238" name="Straight Arrow Connector 2237">
          <a:extLst>
            <a:ext uri="{FF2B5EF4-FFF2-40B4-BE49-F238E27FC236}">
              <a16:creationId xmlns:a16="http://schemas.microsoft.com/office/drawing/2014/main" id="{00000000-0008-0000-1200-0000BE080000}"/>
            </a:ext>
          </a:extLst>
        </xdr:cNvPr>
        <xdr:cNvCxnSpPr/>
      </xdr:nvCxnSpPr>
      <xdr:spPr>
        <a:xfrm>
          <a:off x="5080000" y="247173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2239" name="Straight Arrow Connector 2238">
          <a:extLst>
            <a:ext uri="{FF2B5EF4-FFF2-40B4-BE49-F238E27FC236}">
              <a16:creationId xmlns:a16="http://schemas.microsoft.com/office/drawing/2014/main" id="{00000000-0008-0000-1200-0000BF080000}"/>
            </a:ext>
          </a:extLst>
        </xdr:cNvPr>
        <xdr:cNvCxnSpPr/>
      </xdr:nvCxnSpPr>
      <xdr:spPr>
        <a:xfrm flipV="1">
          <a:off x="6381750" y="24150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2240" name="Straight Arrow Connector 2239">
          <a:extLst>
            <a:ext uri="{FF2B5EF4-FFF2-40B4-BE49-F238E27FC236}">
              <a16:creationId xmlns:a16="http://schemas.microsoft.com/office/drawing/2014/main" id="{00000000-0008-0000-1200-0000C0080000}"/>
            </a:ext>
          </a:extLst>
        </xdr:cNvPr>
        <xdr:cNvCxnSpPr/>
      </xdr:nvCxnSpPr>
      <xdr:spPr>
        <a:xfrm>
          <a:off x="6413500" y="24307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2241" name="Straight Arrow Connector 2240">
          <a:extLst>
            <a:ext uri="{FF2B5EF4-FFF2-40B4-BE49-F238E27FC236}">
              <a16:creationId xmlns:a16="http://schemas.microsoft.com/office/drawing/2014/main" id="{00000000-0008-0000-1200-0000C1080000}"/>
            </a:ext>
          </a:extLst>
        </xdr:cNvPr>
        <xdr:cNvCxnSpPr/>
      </xdr:nvCxnSpPr>
      <xdr:spPr>
        <a:xfrm flipV="1">
          <a:off x="7609417" y="24419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2242" name="Straight Arrow Connector 2241">
          <a:extLst>
            <a:ext uri="{FF2B5EF4-FFF2-40B4-BE49-F238E27FC236}">
              <a16:creationId xmlns:a16="http://schemas.microsoft.com/office/drawing/2014/main" id="{00000000-0008-0000-1200-0000C2080000}"/>
            </a:ext>
          </a:extLst>
        </xdr:cNvPr>
        <xdr:cNvCxnSpPr/>
      </xdr:nvCxnSpPr>
      <xdr:spPr>
        <a:xfrm>
          <a:off x="7598834" y="24521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2243" name="Straight Arrow Connector 2242">
          <a:extLst>
            <a:ext uri="{FF2B5EF4-FFF2-40B4-BE49-F238E27FC236}">
              <a16:creationId xmlns:a16="http://schemas.microsoft.com/office/drawing/2014/main" id="{00000000-0008-0000-1200-0000C3080000}"/>
            </a:ext>
          </a:extLst>
        </xdr:cNvPr>
        <xdr:cNvCxnSpPr/>
      </xdr:nvCxnSpPr>
      <xdr:spPr>
        <a:xfrm flipV="1">
          <a:off x="8794750" y="24328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2244" name="Straight Arrow Connector 2243">
          <a:extLst>
            <a:ext uri="{FF2B5EF4-FFF2-40B4-BE49-F238E27FC236}">
              <a16:creationId xmlns:a16="http://schemas.microsoft.com/office/drawing/2014/main" id="{00000000-0008-0000-1200-0000C4080000}"/>
            </a:ext>
          </a:extLst>
        </xdr:cNvPr>
        <xdr:cNvCxnSpPr/>
      </xdr:nvCxnSpPr>
      <xdr:spPr>
        <a:xfrm>
          <a:off x="8784166" y="24424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2245" name="Straight Arrow Connector 2244">
          <a:extLst>
            <a:ext uri="{FF2B5EF4-FFF2-40B4-BE49-F238E27FC236}">
              <a16:creationId xmlns:a16="http://schemas.microsoft.com/office/drawing/2014/main" id="{00000000-0008-0000-1200-0000C5080000}"/>
            </a:ext>
          </a:extLst>
        </xdr:cNvPr>
        <xdr:cNvCxnSpPr/>
      </xdr:nvCxnSpPr>
      <xdr:spPr>
        <a:xfrm flipV="1">
          <a:off x="8794750" y="24729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2246" name="Straight Arrow Connector 2245">
          <a:extLst>
            <a:ext uri="{FF2B5EF4-FFF2-40B4-BE49-F238E27FC236}">
              <a16:creationId xmlns:a16="http://schemas.microsoft.com/office/drawing/2014/main" id="{00000000-0008-0000-1200-0000C6080000}"/>
            </a:ext>
          </a:extLst>
        </xdr:cNvPr>
        <xdr:cNvCxnSpPr/>
      </xdr:nvCxnSpPr>
      <xdr:spPr>
        <a:xfrm>
          <a:off x="8805333" y="24822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2247" name="Straight Arrow Connector 2246">
          <a:extLst>
            <a:ext uri="{FF2B5EF4-FFF2-40B4-BE49-F238E27FC236}">
              <a16:creationId xmlns:a16="http://schemas.microsoft.com/office/drawing/2014/main" id="{00000000-0008-0000-1200-0000C7080000}"/>
            </a:ext>
          </a:extLst>
        </xdr:cNvPr>
        <xdr:cNvCxnSpPr/>
      </xdr:nvCxnSpPr>
      <xdr:spPr>
        <a:xfrm flipV="1">
          <a:off x="10541000" y="24174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2248" name="Straight Arrow Connector 2247">
          <a:extLst>
            <a:ext uri="{FF2B5EF4-FFF2-40B4-BE49-F238E27FC236}">
              <a16:creationId xmlns:a16="http://schemas.microsoft.com/office/drawing/2014/main" id="{00000000-0008-0000-1200-0000C8080000}"/>
            </a:ext>
          </a:extLst>
        </xdr:cNvPr>
        <xdr:cNvCxnSpPr/>
      </xdr:nvCxnSpPr>
      <xdr:spPr>
        <a:xfrm flipV="1">
          <a:off x="10583333" y="24236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2249" name="Straight Arrow Connector 2248">
          <a:extLst>
            <a:ext uri="{FF2B5EF4-FFF2-40B4-BE49-F238E27FC236}">
              <a16:creationId xmlns:a16="http://schemas.microsoft.com/office/drawing/2014/main" id="{00000000-0008-0000-1200-0000C9080000}"/>
            </a:ext>
          </a:extLst>
        </xdr:cNvPr>
        <xdr:cNvCxnSpPr/>
      </xdr:nvCxnSpPr>
      <xdr:spPr>
        <a:xfrm>
          <a:off x="10604500" y="24285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2250" name="Straight Arrow Connector 2249">
          <a:extLst>
            <a:ext uri="{FF2B5EF4-FFF2-40B4-BE49-F238E27FC236}">
              <a16:creationId xmlns:a16="http://schemas.microsoft.com/office/drawing/2014/main" id="{00000000-0008-0000-1200-0000CA080000}"/>
            </a:ext>
          </a:extLst>
        </xdr:cNvPr>
        <xdr:cNvCxnSpPr/>
      </xdr:nvCxnSpPr>
      <xdr:spPr>
        <a:xfrm>
          <a:off x="10519834" y="24280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2251" name="Straight Arrow Connector 2250">
          <a:extLst>
            <a:ext uri="{FF2B5EF4-FFF2-40B4-BE49-F238E27FC236}">
              <a16:creationId xmlns:a16="http://schemas.microsoft.com/office/drawing/2014/main" id="{00000000-0008-0000-1200-0000CB080000}"/>
            </a:ext>
          </a:extLst>
        </xdr:cNvPr>
        <xdr:cNvCxnSpPr/>
      </xdr:nvCxnSpPr>
      <xdr:spPr>
        <a:xfrm flipV="1">
          <a:off x="10541000" y="24427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2252" name="Straight Arrow Connector 2251">
          <a:extLst>
            <a:ext uri="{FF2B5EF4-FFF2-40B4-BE49-F238E27FC236}">
              <a16:creationId xmlns:a16="http://schemas.microsoft.com/office/drawing/2014/main" id="{00000000-0008-0000-1200-0000CC080000}"/>
            </a:ext>
          </a:extLst>
        </xdr:cNvPr>
        <xdr:cNvCxnSpPr/>
      </xdr:nvCxnSpPr>
      <xdr:spPr>
        <a:xfrm>
          <a:off x="10551583" y="24462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2253" name="Straight Arrow Connector 2252">
          <a:extLst>
            <a:ext uri="{FF2B5EF4-FFF2-40B4-BE49-F238E27FC236}">
              <a16:creationId xmlns:a16="http://schemas.microsoft.com/office/drawing/2014/main" id="{00000000-0008-0000-1200-0000CD080000}"/>
            </a:ext>
          </a:extLst>
        </xdr:cNvPr>
        <xdr:cNvCxnSpPr/>
      </xdr:nvCxnSpPr>
      <xdr:spPr>
        <a:xfrm>
          <a:off x="10530417" y="24462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2254" name="Straight Arrow Connector 2253">
          <a:extLst>
            <a:ext uri="{FF2B5EF4-FFF2-40B4-BE49-F238E27FC236}">
              <a16:creationId xmlns:a16="http://schemas.microsoft.com/office/drawing/2014/main" id="{00000000-0008-0000-1200-0000CE080000}"/>
            </a:ext>
          </a:extLst>
        </xdr:cNvPr>
        <xdr:cNvCxnSpPr/>
      </xdr:nvCxnSpPr>
      <xdr:spPr>
        <a:xfrm>
          <a:off x="10541000" y="24463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2255" name="Straight Arrow Connector 2254">
          <a:extLst>
            <a:ext uri="{FF2B5EF4-FFF2-40B4-BE49-F238E27FC236}">
              <a16:creationId xmlns:a16="http://schemas.microsoft.com/office/drawing/2014/main" id="{00000000-0008-0000-1200-0000CF080000}"/>
            </a:ext>
          </a:extLst>
        </xdr:cNvPr>
        <xdr:cNvCxnSpPr/>
      </xdr:nvCxnSpPr>
      <xdr:spPr>
        <a:xfrm flipV="1">
          <a:off x="6392333" y="25188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2256" name="Straight Arrow Connector 2255">
          <a:extLst>
            <a:ext uri="{FF2B5EF4-FFF2-40B4-BE49-F238E27FC236}">
              <a16:creationId xmlns:a16="http://schemas.microsoft.com/office/drawing/2014/main" id="{00000000-0008-0000-1200-0000D0080000}"/>
            </a:ext>
          </a:extLst>
        </xdr:cNvPr>
        <xdr:cNvCxnSpPr/>
      </xdr:nvCxnSpPr>
      <xdr:spPr>
        <a:xfrm>
          <a:off x="6413500" y="25391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2257" name="Straight Arrow Connector 2256">
          <a:extLst>
            <a:ext uri="{FF2B5EF4-FFF2-40B4-BE49-F238E27FC236}">
              <a16:creationId xmlns:a16="http://schemas.microsoft.com/office/drawing/2014/main" id="{00000000-0008-0000-1200-0000D1080000}"/>
            </a:ext>
          </a:extLst>
        </xdr:cNvPr>
        <xdr:cNvCxnSpPr/>
      </xdr:nvCxnSpPr>
      <xdr:spPr>
        <a:xfrm flipV="1">
          <a:off x="7556500" y="25504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2258" name="Straight Arrow Connector 2257">
          <a:extLst>
            <a:ext uri="{FF2B5EF4-FFF2-40B4-BE49-F238E27FC236}">
              <a16:creationId xmlns:a16="http://schemas.microsoft.com/office/drawing/2014/main" id="{00000000-0008-0000-1200-0000D2080000}"/>
            </a:ext>
          </a:extLst>
        </xdr:cNvPr>
        <xdr:cNvCxnSpPr/>
      </xdr:nvCxnSpPr>
      <xdr:spPr>
        <a:xfrm flipV="1">
          <a:off x="10530417" y="24688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2259" name="Straight Arrow Connector 2258">
          <a:extLst>
            <a:ext uri="{FF2B5EF4-FFF2-40B4-BE49-F238E27FC236}">
              <a16:creationId xmlns:a16="http://schemas.microsoft.com/office/drawing/2014/main" id="{00000000-0008-0000-1200-0000D3080000}"/>
            </a:ext>
          </a:extLst>
        </xdr:cNvPr>
        <xdr:cNvCxnSpPr/>
      </xdr:nvCxnSpPr>
      <xdr:spPr>
        <a:xfrm>
          <a:off x="10572750" y="24727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2260" name="Straight Arrow Connector 2259">
          <a:extLst>
            <a:ext uri="{FF2B5EF4-FFF2-40B4-BE49-F238E27FC236}">
              <a16:creationId xmlns:a16="http://schemas.microsoft.com/office/drawing/2014/main" id="{00000000-0008-0000-1200-0000D4080000}"/>
            </a:ext>
          </a:extLst>
        </xdr:cNvPr>
        <xdr:cNvCxnSpPr/>
      </xdr:nvCxnSpPr>
      <xdr:spPr>
        <a:xfrm>
          <a:off x="10551583" y="24727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2261" name="Straight Arrow Connector 2260">
          <a:extLst>
            <a:ext uri="{FF2B5EF4-FFF2-40B4-BE49-F238E27FC236}">
              <a16:creationId xmlns:a16="http://schemas.microsoft.com/office/drawing/2014/main" id="{00000000-0008-0000-1200-0000D5080000}"/>
            </a:ext>
          </a:extLst>
        </xdr:cNvPr>
        <xdr:cNvCxnSpPr/>
      </xdr:nvCxnSpPr>
      <xdr:spPr>
        <a:xfrm>
          <a:off x="10583333" y="24730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2262" name="Straight Arrow Connector 2261">
          <a:extLst>
            <a:ext uri="{FF2B5EF4-FFF2-40B4-BE49-F238E27FC236}">
              <a16:creationId xmlns:a16="http://schemas.microsoft.com/office/drawing/2014/main" id="{00000000-0008-0000-1200-0000D6080000}"/>
            </a:ext>
          </a:extLst>
        </xdr:cNvPr>
        <xdr:cNvCxnSpPr/>
      </xdr:nvCxnSpPr>
      <xdr:spPr>
        <a:xfrm>
          <a:off x="10562166" y="24993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2263" name="Straight Arrow Connector 2262">
          <a:extLst>
            <a:ext uri="{FF2B5EF4-FFF2-40B4-BE49-F238E27FC236}">
              <a16:creationId xmlns:a16="http://schemas.microsoft.com/office/drawing/2014/main" id="{00000000-0008-0000-1200-0000D7080000}"/>
            </a:ext>
          </a:extLst>
        </xdr:cNvPr>
        <xdr:cNvCxnSpPr/>
      </xdr:nvCxnSpPr>
      <xdr:spPr>
        <a:xfrm>
          <a:off x="10615083" y="24995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2264" name="Straight Arrow Connector 2263">
          <a:extLst>
            <a:ext uri="{FF2B5EF4-FFF2-40B4-BE49-F238E27FC236}">
              <a16:creationId xmlns:a16="http://schemas.microsoft.com/office/drawing/2014/main" id="{00000000-0008-0000-1200-0000D8080000}"/>
            </a:ext>
          </a:extLst>
        </xdr:cNvPr>
        <xdr:cNvCxnSpPr/>
      </xdr:nvCxnSpPr>
      <xdr:spPr>
        <a:xfrm>
          <a:off x="10572750" y="24998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2265" name="Straight Arrow Connector 2264">
          <a:extLst>
            <a:ext uri="{FF2B5EF4-FFF2-40B4-BE49-F238E27FC236}">
              <a16:creationId xmlns:a16="http://schemas.microsoft.com/office/drawing/2014/main" id="{00000000-0008-0000-1200-0000D9080000}"/>
            </a:ext>
          </a:extLst>
        </xdr:cNvPr>
        <xdr:cNvCxnSpPr/>
      </xdr:nvCxnSpPr>
      <xdr:spPr>
        <a:xfrm flipV="1">
          <a:off x="10562166" y="25271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2266" name="Straight Arrow Connector 2265">
          <a:extLst>
            <a:ext uri="{FF2B5EF4-FFF2-40B4-BE49-F238E27FC236}">
              <a16:creationId xmlns:a16="http://schemas.microsoft.com/office/drawing/2014/main" id="{00000000-0008-0000-1200-0000DA080000}"/>
            </a:ext>
          </a:extLst>
        </xdr:cNvPr>
        <xdr:cNvCxnSpPr/>
      </xdr:nvCxnSpPr>
      <xdr:spPr>
        <a:xfrm flipV="1">
          <a:off x="10604500" y="25307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2267" name="Straight Arrow Connector 2266">
          <a:extLst>
            <a:ext uri="{FF2B5EF4-FFF2-40B4-BE49-F238E27FC236}">
              <a16:creationId xmlns:a16="http://schemas.microsoft.com/office/drawing/2014/main" id="{00000000-0008-0000-1200-0000DB080000}"/>
            </a:ext>
          </a:extLst>
        </xdr:cNvPr>
        <xdr:cNvCxnSpPr/>
      </xdr:nvCxnSpPr>
      <xdr:spPr>
        <a:xfrm>
          <a:off x="10593916" y="25348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2268" name="Straight Arrow Connector 2267">
          <a:extLst>
            <a:ext uri="{FF2B5EF4-FFF2-40B4-BE49-F238E27FC236}">
              <a16:creationId xmlns:a16="http://schemas.microsoft.com/office/drawing/2014/main" id="{00000000-0008-0000-1200-0000DC080000}"/>
            </a:ext>
          </a:extLst>
        </xdr:cNvPr>
        <xdr:cNvCxnSpPr/>
      </xdr:nvCxnSpPr>
      <xdr:spPr>
        <a:xfrm>
          <a:off x="10572750" y="25557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2269" name="Straight Arrow Connector 2268">
          <a:extLst>
            <a:ext uri="{FF2B5EF4-FFF2-40B4-BE49-F238E27FC236}">
              <a16:creationId xmlns:a16="http://schemas.microsoft.com/office/drawing/2014/main" id="{00000000-0008-0000-1200-0000DD080000}"/>
            </a:ext>
          </a:extLst>
        </xdr:cNvPr>
        <xdr:cNvCxnSpPr/>
      </xdr:nvCxnSpPr>
      <xdr:spPr>
        <a:xfrm flipV="1">
          <a:off x="10583333" y="24941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2270" name="Straight Arrow Connector 2269">
          <a:extLst>
            <a:ext uri="{FF2B5EF4-FFF2-40B4-BE49-F238E27FC236}">
              <a16:creationId xmlns:a16="http://schemas.microsoft.com/office/drawing/2014/main" id="{00000000-0008-0000-1200-0000DE080000}"/>
            </a:ext>
          </a:extLst>
        </xdr:cNvPr>
        <xdr:cNvCxnSpPr/>
      </xdr:nvCxnSpPr>
      <xdr:spPr>
        <a:xfrm>
          <a:off x="7598834" y="25607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2271" name="Straight Arrow Connector 2270">
          <a:extLst>
            <a:ext uri="{FF2B5EF4-FFF2-40B4-BE49-F238E27FC236}">
              <a16:creationId xmlns:a16="http://schemas.microsoft.com/office/drawing/2014/main" id="{00000000-0008-0000-1200-0000DF080000}"/>
            </a:ext>
          </a:extLst>
        </xdr:cNvPr>
        <xdr:cNvCxnSpPr/>
      </xdr:nvCxnSpPr>
      <xdr:spPr>
        <a:xfrm flipV="1">
          <a:off x="8794750" y="25414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2272" name="Straight Arrow Connector 2271">
          <a:extLst>
            <a:ext uri="{FF2B5EF4-FFF2-40B4-BE49-F238E27FC236}">
              <a16:creationId xmlns:a16="http://schemas.microsoft.com/office/drawing/2014/main" id="{00000000-0008-0000-1200-0000E0080000}"/>
            </a:ext>
          </a:extLst>
        </xdr:cNvPr>
        <xdr:cNvCxnSpPr/>
      </xdr:nvCxnSpPr>
      <xdr:spPr>
        <a:xfrm>
          <a:off x="8784166" y="25510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2273" name="Straight Arrow Connector 2272">
          <a:extLst>
            <a:ext uri="{FF2B5EF4-FFF2-40B4-BE49-F238E27FC236}">
              <a16:creationId xmlns:a16="http://schemas.microsoft.com/office/drawing/2014/main" id="{00000000-0008-0000-1200-0000E1080000}"/>
            </a:ext>
          </a:extLst>
        </xdr:cNvPr>
        <xdr:cNvCxnSpPr/>
      </xdr:nvCxnSpPr>
      <xdr:spPr>
        <a:xfrm flipV="1">
          <a:off x="8794750" y="25814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2274" name="Straight Arrow Connector 2273">
          <a:extLst>
            <a:ext uri="{FF2B5EF4-FFF2-40B4-BE49-F238E27FC236}">
              <a16:creationId xmlns:a16="http://schemas.microsoft.com/office/drawing/2014/main" id="{00000000-0008-0000-1200-0000E2080000}"/>
            </a:ext>
          </a:extLst>
        </xdr:cNvPr>
        <xdr:cNvCxnSpPr/>
      </xdr:nvCxnSpPr>
      <xdr:spPr>
        <a:xfrm>
          <a:off x="8805333" y="25908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2275" name="Straight Arrow Connector 2274">
          <a:extLst>
            <a:ext uri="{FF2B5EF4-FFF2-40B4-BE49-F238E27FC236}">
              <a16:creationId xmlns:a16="http://schemas.microsoft.com/office/drawing/2014/main" id="{00000000-0008-0000-1200-0000E3080000}"/>
            </a:ext>
          </a:extLst>
        </xdr:cNvPr>
        <xdr:cNvCxnSpPr/>
      </xdr:nvCxnSpPr>
      <xdr:spPr>
        <a:xfrm>
          <a:off x="10593916" y="25346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2276" name="Straight Arrow Connector 2275">
          <a:extLst>
            <a:ext uri="{FF2B5EF4-FFF2-40B4-BE49-F238E27FC236}">
              <a16:creationId xmlns:a16="http://schemas.microsoft.com/office/drawing/2014/main" id="{00000000-0008-0000-1200-0000E4080000}"/>
            </a:ext>
          </a:extLst>
        </xdr:cNvPr>
        <xdr:cNvCxnSpPr/>
      </xdr:nvCxnSpPr>
      <xdr:spPr>
        <a:xfrm flipV="1">
          <a:off x="10541000" y="25513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2277" name="Straight Arrow Connector 2276">
          <a:extLst>
            <a:ext uri="{FF2B5EF4-FFF2-40B4-BE49-F238E27FC236}">
              <a16:creationId xmlns:a16="http://schemas.microsoft.com/office/drawing/2014/main" id="{00000000-0008-0000-1200-0000E5080000}"/>
            </a:ext>
          </a:extLst>
        </xdr:cNvPr>
        <xdr:cNvCxnSpPr/>
      </xdr:nvCxnSpPr>
      <xdr:spPr>
        <a:xfrm>
          <a:off x="10530417" y="25548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2278" name="Straight Arrow Connector 2277">
          <a:extLst>
            <a:ext uri="{FF2B5EF4-FFF2-40B4-BE49-F238E27FC236}">
              <a16:creationId xmlns:a16="http://schemas.microsoft.com/office/drawing/2014/main" id="{00000000-0008-0000-1200-0000E6080000}"/>
            </a:ext>
          </a:extLst>
        </xdr:cNvPr>
        <xdr:cNvCxnSpPr/>
      </xdr:nvCxnSpPr>
      <xdr:spPr>
        <a:xfrm>
          <a:off x="10530417" y="25546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2279" name="Straight Arrow Connector 2278">
          <a:extLst>
            <a:ext uri="{FF2B5EF4-FFF2-40B4-BE49-F238E27FC236}">
              <a16:creationId xmlns:a16="http://schemas.microsoft.com/office/drawing/2014/main" id="{00000000-0008-0000-1200-0000E7080000}"/>
            </a:ext>
          </a:extLst>
        </xdr:cNvPr>
        <xdr:cNvCxnSpPr/>
      </xdr:nvCxnSpPr>
      <xdr:spPr>
        <a:xfrm flipV="1">
          <a:off x="10530417" y="25774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2280" name="Straight Arrow Connector 2279">
          <a:extLst>
            <a:ext uri="{FF2B5EF4-FFF2-40B4-BE49-F238E27FC236}">
              <a16:creationId xmlns:a16="http://schemas.microsoft.com/office/drawing/2014/main" id="{00000000-0008-0000-1200-0000E8080000}"/>
            </a:ext>
          </a:extLst>
        </xdr:cNvPr>
        <xdr:cNvCxnSpPr/>
      </xdr:nvCxnSpPr>
      <xdr:spPr>
        <a:xfrm>
          <a:off x="10572750" y="25813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2281" name="Straight Arrow Connector 2280">
          <a:extLst>
            <a:ext uri="{FF2B5EF4-FFF2-40B4-BE49-F238E27FC236}">
              <a16:creationId xmlns:a16="http://schemas.microsoft.com/office/drawing/2014/main" id="{00000000-0008-0000-1200-0000E9080000}"/>
            </a:ext>
          </a:extLst>
        </xdr:cNvPr>
        <xdr:cNvCxnSpPr/>
      </xdr:nvCxnSpPr>
      <xdr:spPr>
        <a:xfrm>
          <a:off x="10551583" y="25813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2282" name="Straight Arrow Connector 2281">
          <a:extLst>
            <a:ext uri="{FF2B5EF4-FFF2-40B4-BE49-F238E27FC236}">
              <a16:creationId xmlns:a16="http://schemas.microsoft.com/office/drawing/2014/main" id="{00000000-0008-0000-1200-0000EA080000}"/>
            </a:ext>
          </a:extLst>
        </xdr:cNvPr>
        <xdr:cNvCxnSpPr/>
      </xdr:nvCxnSpPr>
      <xdr:spPr>
        <a:xfrm>
          <a:off x="10583333" y="25815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2283" name="Straight Arrow Connector 2282">
          <a:extLst>
            <a:ext uri="{FF2B5EF4-FFF2-40B4-BE49-F238E27FC236}">
              <a16:creationId xmlns:a16="http://schemas.microsoft.com/office/drawing/2014/main" id="{00000000-0008-0000-1200-0000EB080000}"/>
            </a:ext>
          </a:extLst>
        </xdr:cNvPr>
        <xdr:cNvCxnSpPr/>
      </xdr:nvCxnSpPr>
      <xdr:spPr>
        <a:xfrm>
          <a:off x="10562166" y="26079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2284" name="Straight Arrow Connector 2283">
          <a:extLst>
            <a:ext uri="{FF2B5EF4-FFF2-40B4-BE49-F238E27FC236}">
              <a16:creationId xmlns:a16="http://schemas.microsoft.com/office/drawing/2014/main" id="{00000000-0008-0000-1200-0000EC080000}"/>
            </a:ext>
          </a:extLst>
        </xdr:cNvPr>
        <xdr:cNvCxnSpPr/>
      </xdr:nvCxnSpPr>
      <xdr:spPr>
        <a:xfrm>
          <a:off x="10615083" y="26081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2285" name="Straight Arrow Connector 2284">
          <a:extLst>
            <a:ext uri="{FF2B5EF4-FFF2-40B4-BE49-F238E27FC236}">
              <a16:creationId xmlns:a16="http://schemas.microsoft.com/office/drawing/2014/main" id="{00000000-0008-0000-1200-0000ED080000}"/>
            </a:ext>
          </a:extLst>
        </xdr:cNvPr>
        <xdr:cNvCxnSpPr/>
      </xdr:nvCxnSpPr>
      <xdr:spPr>
        <a:xfrm>
          <a:off x="10572750" y="26084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2286" name="Straight Arrow Connector 2285">
          <a:extLst>
            <a:ext uri="{FF2B5EF4-FFF2-40B4-BE49-F238E27FC236}">
              <a16:creationId xmlns:a16="http://schemas.microsoft.com/office/drawing/2014/main" id="{00000000-0008-0000-1200-0000EE080000}"/>
            </a:ext>
          </a:extLst>
        </xdr:cNvPr>
        <xdr:cNvCxnSpPr/>
      </xdr:nvCxnSpPr>
      <xdr:spPr>
        <a:xfrm flipV="1">
          <a:off x="10583333" y="26027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2287" name="Straight Arrow Connector 2286">
          <a:extLst>
            <a:ext uri="{FF2B5EF4-FFF2-40B4-BE49-F238E27FC236}">
              <a16:creationId xmlns:a16="http://schemas.microsoft.com/office/drawing/2014/main" id="{00000000-0008-0000-1200-0000EF080000}"/>
            </a:ext>
          </a:extLst>
        </xdr:cNvPr>
        <xdr:cNvCxnSpPr/>
      </xdr:nvCxnSpPr>
      <xdr:spPr>
        <a:xfrm flipV="1">
          <a:off x="5207000" y="243014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2288" name="Straight Arrow Connector 2287">
          <a:extLst>
            <a:ext uri="{FF2B5EF4-FFF2-40B4-BE49-F238E27FC236}">
              <a16:creationId xmlns:a16="http://schemas.microsoft.com/office/drawing/2014/main" id="{00000000-0008-0000-1200-0000F0080000}"/>
            </a:ext>
          </a:extLst>
        </xdr:cNvPr>
        <xdr:cNvCxnSpPr/>
      </xdr:nvCxnSpPr>
      <xdr:spPr>
        <a:xfrm flipV="1">
          <a:off x="603250" y="175842084"/>
          <a:ext cx="603250"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2289" name="Straight Arrow Connector 2288">
          <a:extLst>
            <a:ext uri="{FF2B5EF4-FFF2-40B4-BE49-F238E27FC236}">
              <a16:creationId xmlns:a16="http://schemas.microsoft.com/office/drawing/2014/main" id="{00000000-0008-0000-1200-0000F1080000}"/>
            </a:ext>
          </a:extLst>
        </xdr:cNvPr>
        <xdr:cNvCxnSpPr/>
      </xdr:nvCxnSpPr>
      <xdr:spPr>
        <a:xfrm>
          <a:off x="603250" y="194669833"/>
          <a:ext cx="603250"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2290" name="Straight Arrow Connector 2289">
          <a:extLst>
            <a:ext uri="{FF2B5EF4-FFF2-40B4-BE49-F238E27FC236}">
              <a16:creationId xmlns:a16="http://schemas.microsoft.com/office/drawing/2014/main" id="{00000000-0008-0000-1200-0000F2080000}"/>
            </a:ext>
          </a:extLst>
        </xdr:cNvPr>
        <xdr:cNvCxnSpPr/>
      </xdr:nvCxnSpPr>
      <xdr:spPr>
        <a:xfrm flipV="1">
          <a:off x="2296584" y="189896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2291" name="Straight Arrow Connector 2290">
          <a:extLst>
            <a:ext uri="{FF2B5EF4-FFF2-40B4-BE49-F238E27FC236}">
              <a16:creationId xmlns:a16="http://schemas.microsoft.com/office/drawing/2014/main" id="{00000000-0008-0000-1200-0000F3080000}"/>
            </a:ext>
          </a:extLst>
        </xdr:cNvPr>
        <xdr:cNvCxnSpPr/>
      </xdr:nvCxnSpPr>
      <xdr:spPr>
        <a:xfrm>
          <a:off x="2307167" y="203274083"/>
          <a:ext cx="645583"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2292" name="Straight Arrow Connector 2291">
          <a:extLst>
            <a:ext uri="{FF2B5EF4-FFF2-40B4-BE49-F238E27FC236}">
              <a16:creationId xmlns:a16="http://schemas.microsoft.com/office/drawing/2014/main" id="{00000000-0008-0000-1200-0000F4080000}"/>
            </a:ext>
          </a:extLst>
        </xdr:cNvPr>
        <xdr:cNvCxnSpPr/>
      </xdr:nvCxnSpPr>
      <xdr:spPr>
        <a:xfrm flipV="1">
          <a:off x="3714750" y="182689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2293" name="Straight Arrow Connector 2292">
          <a:extLst>
            <a:ext uri="{FF2B5EF4-FFF2-40B4-BE49-F238E27FC236}">
              <a16:creationId xmlns:a16="http://schemas.microsoft.com/office/drawing/2014/main" id="{00000000-0008-0000-1200-0000F5080000}"/>
            </a:ext>
          </a:extLst>
        </xdr:cNvPr>
        <xdr:cNvCxnSpPr/>
      </xdr:nvCxnSpPr>
      <xdr:spPr>
        <a:xfrm>
          <a:off x="3799417" y="189907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2294" name="Straight Arrow Connector 2293">
          <a:extLst>
            <a:ext uri="{FF2B5EF4-FFF2-40B4-BE49-F238E27FC236}">
              <a16:creationId xmlns:a16="http://schemas.microsoft.com/office/drawing/2014/main" id="{00000000-0008-0000-1200-0000F6080000}"/>
            </a:ext>
          </a:extLst>
        </xdr:cNvPr>
        <xdr:cNvCxnSpPr/>
      </xdr:nvCxnSpPr>
      <xdr:spPr>
        <a:xfrm flipV="1">
          <a:off x="5175250" y="177884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2295" name="Straight Arrow Connector 2294">
          <a:extLst>
            <a:ext uri="{FF2B5EF4-FFF2-40B4-BE49-F238E27FC236}">
              <a16:creationId xmlns:a16="http://schemas.microsoft.com/office/drawing/2014/main" id="{00000000-0008-0000-1200-0000F7080000}"/>
            </a:ext>
          </a:extLst>
        </xdr:cNvPr>
        <xdr:cNvCxnSpPr/>
      </xdr:nvCxnSpPr>
      <xdr:spPr>
        <a:xfrm>
          <a:off x="5175250" y="182700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2296" name="Straight Arrow Connector 2295">
          <a:extLst>
            <a:ext uri="{FF2B5EF4-FFF2-40B4-BE49-F238E27FC236}">
              <a16:creationId xmlns:a16="http://schemas.microsoft.com/office/drawing/2014/main" id="{00000000-0008-0000-1200-0000F8080000}"/>
            </a:ext>
          </a:extLst>
        </xdr:cNvPr>
        <xdr:cNvCxnSpPr/>
      </xdr:nvCxnSpPr>
      <xdr:spPr>
        <a:xfrm flipV="1">
          <a:off x="6381750" y="176350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2297" name="Straight Arrow Connector 2296">
          <a:extLst>
            <a:ext uri="{FF2B5EF4-FFF2-40B4-BE49-F238E27FC236}">
              <a16:creationId xmlns:a16="http://schemas.microsoft.com/office/drawing/2014/main" id="{00000000-0008-0000-1200-0000F9080000}"/>
            </a:ext>
          </a:extLst>
        </xdr:cNvPr>
        <xdr:cNvCxnSpPr/>
      </xdr:nvCxnSpPr>
      <xdr:spPr>
        <a:xfrm>
          <a:off x="6413500" y="177927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2298" name="Straight Arrow Connector 2297">
          <a:extLst>
            <a:ext uri="{FF2B5EF4-FFF2-40B4-BE49-F238E27FC236}">
              <a16:creationId xmlns:a16="http://schemas.microsoft.com/office/drawing/2014/main" id="{00000000-0008-0000-1200-0000FA080000}"/>
            </a:ext>
          </a:extLst>
        </xdr:cNvPr>
        <xdr:cNvCxnSpPr/>
      </xdr:nvCxnSpPr>
      <xdr:spPr>
        <a:xfrm flipV="1">
          <a:off x="7609417" y="179048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2299" name="Straight Arrow Connector 2298">
          <a:extLst>
            <a:ext uri="{FF2B5EF4-FFF2-40B4-BE49-F238E27FC236}">
              <a16:creationId xmlns:a16="http://schemas.microsoft.com/office/drawing/2014/main" id="{00000000-0008-0000-1200-0000FB080000}"/>
            </a:ext>
          </a:extLst>
        </xdr:cNvPr>
        <xdr:cNvCxnSpPr/>
      </xdr:nvCxnSpPr>
      <xdr:spPr>
        <a:xfrm>
          <a:off x="7598834" y="18006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2300" name="Straight Arrow Connector 2299">
          <a:extLst>
            <a:ext uri="{FF2B5EF4-FFF2-40B4-BE49-F238E27FC236}">
              <a16:creationId xmlns:a16="http://schemas.microsoft.com/office/drawing/2014/main" id="{00000000-0008-0000-1200-0000FC080000}"/>
            </a:ext>
          </a:extLst>
        </xdr:cNvPr>
        <xdr:cNvCxnSpPr/>
      </xdr:nvCxnSpPr>
      <xdr:spPr>
        <a:xfrm flipV="1">
          <a:off x="8794750" y="178138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2301" name="Straight Arrow Connector 2300">
          <a:extLst>
            <a:ext uri="{FF2B5EF4-FFF2-40B4-BE49-F238E27FC236}">
              <a16:creationId xmlns:a16="http://schemas.microsoft.com/office/drawing/2014/main" id="{00000000-0008-0000-1200-0000FD080000}"/>
            </a:ext>
          </a:extLst>
        </xdr:cNvPr>
        <xdr:cNvCxnSpPr/>
      </xdr:nvCxnSpPr>
      <xdr:spPr>
        <a:xfrm>
          <a:off x="8784166" y="179091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2302" name="Straight Arrow Connector 2301">
          <a:extLst>
            <a:ext uri="{FF2B5EF4-FFF2-40B4-BE49-F238E27FC236}">
              <a16:creationId xmlns:a16="http://schemas.microsoft.com/office/drawing/2014/main" id="{00000000-0008-0000-1200-0000FE080000}"/>
            </a:ext>
          </a:extLst>
        </xdr:cNvPr>
        <xdr:cNvCxnSpPr/>
      </xdr:nvCxnSpPr>
      <xdr:spPr>
        <a:xfrm flipV="1">
          <a:off x="8794750" y="18213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2303" name="Straight Arrow Connector 2302">
          <a:extLst>
            <a:ext uri="{FF2B5EF4-FFF2-40B4-BE49-F238E27FC236}">
              <a16:creationId xmlns:a16="http://schemas.microsoft.com/office/drawing/2014/main" id="{00000000-0008-0000-1200-0000FF080000}"/>
            </a:ext>
          </a:extLst>
        </xdr:cNvPr>
        <xdr:cNvCxnSpPr/>
      </xdr:nvCxnSpPr>
      <xdr:spPr>
        <a:xfrm>
          <a:off x="8805333" y="183070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1368</xdr:row>
      <xdr:rowOff>0</xdr:rowOff>
    </xdr:from>
    <xdr:to>
      <xdr:col>15</xdr:col>
      <xdr:colOff>603250</xdr:colOff>
      <xdr:row>1373</xdr:row>
      <xdr:rowOff>31750</xdr:rowOff>
    </xdr:to>
    <xdr:cxnSp macro="">
      <xdr:nvCxnSpPr>
        <xdr:cNvPr id="2304" name="Straight Arrow Connector 2303">
          <a:extLst>
            <a:ext uri="{FF2B5EF4-FFF2-40B4-BE49-F238E27FC236}">
              <a16:creationId xmlns:a16="http://schemas.microsoft.com/office/drawing/2014/main" id="{00000000-0008-0000-1200-000000090000}"/>
            </a:ext>
          </a:extLst>
        </xdr:cNvPr>
        <xdr:cNvCxnSpPr/>
      </xdr:nvCxnSpPr>
      <xdr:spPr>
        <a:xfrm flipV="1">
          <a:off x="10541000" y="176593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2305" name="Straight Arrow Connector 2304">
          <a:extLst>
            <a:ext uri="{FF2B5EF4-FFF2-40B4-BE49-F238E27FC236}">
              <a16:creationId xmlns:a16="http://schemas.microsoft.com/office/drawing/2014/main" id="{00000000-0008-0000-1200-000001090000}"/>
            </a:ext>
          </a:extLst>
        </xdr:cNvPr>
        <xdr:cNvCxnSpPr/>
      </xdr:nvCxnSpPr>
      <xdr:spPr>
        <a:xfrm flipV="1">
          <a:off x="10583333" y="177217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2306" name="Straight Arrow Connector 2305">
          <a:extLst>
            <a:ext uri="{FF2B5EF4-FFF2-40B4-BE49-F238E27FC236}">
              <a16:creationId xmlns:a16="http://schemas.microsoft.com/office/drawing/2014/main" id="{00000000-0008-0000-1200-000002090000}"/>
            </a:ext>
          </a:extLst>
        </xdr:cNvPr>
        <xdr:cNvCxnSpPr/>
      </xdr:nvCxnSpPr>
      <xdr:spPr>
        <a:xfrm>
          <a:off x="10604500" y="177704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2307" name="Straight Arrow Connector 2306">
          <a:extLst>
            <a:ext uri="{FF2B5EF4-FFF2-40B4-BE49-F238E27FC236}">
              <a16:creationId xmlns:a16="http://schemas.microsoft.com/office/drawing/2014/main" id="{00000000-0008-0000-1200-000003090000}"/>
            </a:ext>
          </a:extLst>
        </xdr:cNvPr>
        <xdr:cNvCxnSpPr/>
      </xdr:nvCxnSpPr>
      <xdr:spPr>
        <a:xfrm>
          <a:off x="10519834" y="177651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1381</xdr:row>
      <xdr:rowOff>52916</xdr:rowOff>
    </xdr:from>
    <xdr:to>
      <xdr:col>16</xdr:col>
      <xdr:colOff>0</xdr:colOff>
      <xdr:row>1383</xdr:row>
      <xdr:rowOff>0</xdr:rowOff>
    </xdr:to>
    <xdr:cxnSp macro="">
      <xdr:nvCxnSpPr>
        <xdr:cNvPr id="2308" name="Straight Arrow Connector 2307">
          <a:extLst>
            <a:ext uri="{FF2B5EF4-FFF2-40B4-BE49-F238E27FC236}">
              <a16:creationId xmlns:a16="http://schemas.microsoft.com/office/drawing/2014/main" id="{00000000-0008-0000-1200-000004090000}"/>
            </a:ext>
          </a:extLst>
        </xdr:cNvPr>
        <xdr:cNvCxnSpPr/>
      </xdr:nvCxnSpPr>
      <xdr:spPr>
        <a:xfrm flipV="1">
          <a:off x="10541000" y="179122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2309" name="Straight Arrow Connector 2308">
          <a:extLst>
            <a:ext uri="{FF2B5EF4-FFF2-40B4-BE49-F238E27FC236}">
              <a16:creationId xmlns:a16="http://schemas.microsoft.com/office/drawing/2014/main" id="{00000000-0008-0000-1200-000005090000}"/>
            </a:ext>
          </a:extLst>
        </xdr:cNvPr>
        <xdr:cNvCxnSpPr/>
      </xdr:nvCxnSpPr>
      <xdr:spPr>
        <a:xfrm>
          <a:off x="10551583" y="179472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2310" name="Straight Arrow Connector 2309">
          <a:extLst>
            <a:ext uri="{FF2B5EF4-FFF2-40B4-BE49-F238E27FC236}">
              <a16:creationId xmlns:a16="http://schemas.microsoft.com/office/drawing/2014/main" id="{00000000-0008-0000-1200-000006090000}"/>
            </a:ext>
          </a:extLst>
        </xdr:cNvPr>
        <xdr:cNvCxnSpPr/>
      </xdr:nvCxnSpPr>
      <xdr:spPr>
        <a:xfrm>
          <a:off x="10530417" y="179472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1383</xdr:row>
      <xdr:rowOff>31750</xdr:rowOff>
    </xdr:from>
    <xdr:to>
      <xdr:col>16</xdr:col>
      <xdr:colOff>42334</xdr:colOff>
      <xdr:row>1390</xdr:row>
      <xdr:rowOff>63501</xdr:rowOff>
    </xdr:to>
    <xdr:cxnSp macro="">
      <xdr:nvCxnSpPr>
        <xdr:cNvPr id="2311" name="Straight Arrow Connector 2310">
          <a:extLst>
            <a:ext uri="{FF2B5EF4-FFF2-40B4-BE49-F238E27FC236}">
              <a16:creationId xmlns:a16="http://schemas.microsoft.com/office/drawing/2014/main" id="{00000000-0008-0000-1200-000007090000}"/>
            </a:ext>
          </a:extLst>
        </xdr:cNvPr>
        <xdr:cNvCxnSpPr/>
      </xdr:nvCxnSpPr>
      <xdr:spPr>
        <a:xfrm>
          <a:off x="10541000" y="179482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2312" name="Straight Arrow Connector 2311">
          <a:extLst>
            <a:ext uri="{FF2B5EF4-FFF2-40B4-BE49-F238E27FC236}">
              <a16:creationId xmlns:a16="http://schemas.microsoft.com/office/drawing/2014/main" id="{00000000-0008-0000-1200-000008090000}"/>
            </a:ext>
          </a:extLst>
        </xdr:cNvPr>
        <xdr:cNvCxnSpPr/>
      </xdr:nvCxnSpPr>
      <xdr:spPr>
        <a:xfrm flipV="1">
          <a:off x="6392333" y="186732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2313" name="Straight Arrow Connector 2312">
          <a:extLst>
            <a:ext uri="{FF2B5EF4-FFF2-40B4-BE49-F238E27FC236}">
              <a16:creationId xmlns:a16="http://schemas.microsoft.com/office/drawing/2014/main" id="{00000000-0008-0000-1200-000009090000}"/>
            </a:ext>
          </a:extLst>
        </xdr:cNvPr>
        <xdr:cNvCxnSpPr/>
      </xdr:nvCxnSpPr>
      <xdr:spPr>
        <a:xfrm>
          <a:off x="6413500" y="188764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2314" name="Straight Arrow Connector 2313">
          <a:extLst>
            <a:ext uri="{FF2B5EF4-FFF2-40B4-BE49-F238E27FC236}">
              <a16:creationId xmlns:a16="http://schemas.microsoft.com/office/drawing/2014/main" id="{00000000-0008-0000-1200-00000A090000}"/>
            </a:ext>
          </a:extLst>
        </xdr:cNvPr>
        <xdr:cNvCxnSpPr/>
      </xdr:nvCxnSpPr>
      <xdr:spPr>
        <a:xfrm flipV="1">
          <a:off x="7556500" y="189896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2315" name="Straight Arrow Connector 2314">
          <a:extLst>
            <a:ext uri="{FF2B5EF4-FFF2-40B4-BE49-F238E27FC236}">
              <a16:creationId xmlns:a16="http://schemas.microsoft.com/office/drawing/2014/main" id="{00000000-0008-0000-1200-00000B090000}"/>
            </a:ext>
          </a:extLst>
        </xdr:cNvPr>
        <xdr:cNvCxnSpPr/>
      </xdr:nvCxnSpPr>
      <xdr:spPr>
        <a:xfrm flipV="1">
          <a:off x="10530417" y="18173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2316" name="Straight Arrow Connector 2315">
          <a:extLst>
            <a:ext uri="{FF2B5EF4-FFF2-40B4-BE49-F238E27FC236}">
              <a16:creationId xmlns:a16="http://schemas.microsoft.com/office/drawing/2014/main" id="{00000000-0008-0000-1200-00000C090000}"/>
            </a:ext>
          </a:extLst>
        </xdr:cNvPr>
        <xdr:cNvCxnSpPr/>
      </xdr:nvCxnSpPr>
      <xdr:spPr>
        <a:xfrm>
          <a:off x="10572750" y="18212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2317" name="Straight Arrow Connector 2316">
          <a:extLst>
            <a:ext uri="{FF2B5EF4-FFF2-40B4-BE49-F238E27FC236}">
              <a16:creationId xmlns:a16="http://schemas.microsoft.com/office/drawing/2014/main" id="{00000000-0008-0000-1200-00000D090000}"/>
            </a:ext>
          </a:extLst>
        </xdr:cNvPr>
        <xdr:cNvCxnSpPr/>
      </xdr:nvCxnSpPr>
      <xdr:spPr>
        <a:xfrm>
          <a:off x="10551583" y="18212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2318" name="Straight Arrow Connector 2317">
          <a:extLst>
            <a:ext uri="{FF2B5EF4-FFF2-40B4-BE49-F238E27FC236}">
              <a16:creationId xmlns:a16="http://schemas.microsoft.com/office/drawing/2014/main" id="{00000000-0008-0000-1200-00000E090000}"/>
            </a:ext>
          </a:extLst>
        </xdr:cNvPr>
        <xdr:cNvCxnSpPr/>
      </xdr:nvCxnSpPr>
      <xdr:spPr>
        <a:xfrm>
          <a:off x="10583333" y="182149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2319" name="Straight Arrow Connector 2318">
          <a:extLst>
            <a:ext uri="{FF2B5EF4-FFF2-40B4-BE49-F238E27FC236}">
              <a16:creationId xmlns:a16="http://schemas.microsoft.com/office/drawing/2014/main" id="{00000000-0008-0000-1200-00000F090000}"/>
            </a:ext>
          </a:extLst>
        </xdr:cNvPr>
        <xdr:cNvCxnSpPr/>
      </xdr:nvCxnSpPr>
      <xdr:spPr>
        <a:xfrm>
          <a:off x="10562166" y="184785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2320" name="Straight Arrow Connector 2319">
          <a:extLst>
            <a:ext uri="{FF2B5EF4-FFF2-40B4-BE49-F238E27FC236}">
              <a16:creationId xmlns:a16="http://schemas.microsoft.com/office/drawing/2014/main" id="{00000000-0008-0000-1200-000010090000}"/>
            </a:ext>
          </a:extLst>
        </xdr:cNvPr>
        <xdr:cNvCxnSpPr/>
      </xdr:nvCxnSpPr>
      <xdr:spPr>
        <a:xfrm>
          <a:off x="10615083" y="18480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2321" name="Straight Arrow Connector 2320">
          <a:extLst>
            <a:ext uri="{FF2B5EF4-FFF2-40B4-BE49-F238E27FC236}">
              <a16:creationId xmlns:a16="http://schemas.microsoft.com/office/drawing/2014/main" id="{00000000-0008-0000-1200-000011090000}"/>
            </a:ext>
          </a:extLst>
        </xdr:cNvPr>
        <xdr:cNvCxnSpPr/>
      </xdr:nvCxnSpPr>
      <xdr:spPr>
        <a:xfrm>
          <a:off x="10572750" y="18483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2322" name="Straight Arrow Connector 2321">
          <a:extLst>
            <a:ext uri="{FF2B5EF4-FFF2-40B4-BE49-F238E27FC236}">
              <a16:creationId xmlns:a16="http://schemas.microsoft.com/office/drawing/2014/main" id="{00000000-0008-0000-1200-000012090000}"/>
            </a:ext>
          </a:extLst>
        </xdr:cNvPr>
        <xdr:cNvCxnSpPr/>
      </xdr:nvCxnSpPr>
      <xdr:spPr>
        <a:xfrm flipV="1">
          <a:off x="10562166" y="187568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2323" name="Straight Arrow Connector 2322">
          <a:extLst>
            <a:ext uri="{FF2B5EF4-FFF2-40B4-BE49-F238E27FC236}">
              <a16:creationId xmlns:a16="http://schemas.microsoft.com/office/drawing/2014/main" id="{00000000-0008-0000-1200-000013090000}"/>
            </a:ext>
          </a:extLst>
        </xdr:cNvPr>
        <xdr:cNvCxnSpPr/>
      </xdr:nvCxnSpPr>
      <xdr:spPr>
        <a:xfrm flipV="1">
          <a:off x="10604500" y="187928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2324" name="Straight Arrow Connector 2323">
          <a:extLst>
            <a:ext uri="{FF2B5EF4-FFF2-40B4-BE49-F238E27FC236}">
              <a16:creationId xmlns:a16="http://schemas.microsoft.com/office/drawing/2014/main" id="{00000000-0008-0000-1200-000014090000}"/>
            </a:ext>
          </a:extLst>
        </xdr:cNvPr>
        <xdr:cNvCxnSpPr/>
      </xdr:nvCxnSpPr>
      <xdr:spPr>
        <a:xfrm>
          <a:off x="10593916" y="188330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2325" name="Straight Arrow Connector 2324">
          <a:extLst>
            <a:ext uri="{FF2B5EF4-FFF2-40B4-BE49-F238E27FC236}">
              <a16:creationId xmlns:a16="http://schemas.microsoft.com/office/drawing/2014/main" id="{00000000-0008-0000-1200-000015090000}"/>
            </a:ext>
          </a:extLst>
        </xdr:cNvPr>
        <xdr:cNvCxnSpPr/>
      </xdr:nvCxnSpPr>
      <xdr:spPr>
        <a:xfrm>
          <a:off x="10572750" y="190425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2326" name="Straight Arrow Connector 2325">
          <a:extLst>
            <a:ext uri="{FF2B5EF4-FFF2-40B4-BE49-F238E27FC236}">
              <a16:creationId xmlns:a16="http://schemas.microsoft.com/office/drawing/2014/main" id="{00000000-0008-0000-1200-000016090000}"/>
            </a:ext>
          </a:extLst>
        </xdr:cNvPr>
        <xdr:cNvCxnSpPr/>
      </xdr:nvCxnSpPr>
      <xdr:spPr>
        <a:xfrm flipV="1">
          <a:off x="10583333" y="18426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2327" name="Straight Arrow Connector 2326">
          <a:extLst>
            <a:ext uri="{FF2B5EF4-FFF2-40B4-BE49-F238E27FC236}">
              <a16:creationId xmlns:a16="http://schemas.microsoft.com/office/drawing/2014/main" id="{00000000-0008-0000-1200-000017090000}"/>
            </a:ext>
          </a:extLst>
        </xdr:cNvPr>
        <xdr:cNvCxnSpPr/>
      </xdr:nvCxnSpPr>
      <xdr:spPr>
        <a:xfrm>
          <a:off x="7598834" y="190923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2328" name="Straight Arrow Connector 2327">
          <a:extLst>
            <a:ext uri="{FF2B5EF4-FFF2-40B4-BE49-F238E27FC236}">
              <a16:creationId xmlns:a16="http://schemas.microsoft.com/office/drawing/2014/main" id="{00000000-0008-0000-1200-000018090000}"/>
            </a:ext>
          </a:extLst>
        </xdr:cNvPr>
        <xdr:cNvCxnSpPr/>
      </xdr:nvCxnSpPr>
      <xdr:spPr>
        <a:xfrm flipV="1">
          <a:off x="8794750" y="188997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2329" name="Straight Arrow Connector 2328">
          <a:extLst>
            <a:ext uri="{FF2B5EF4-FFF2-40B4-BE49-F238E27FC236}">
              <a16:creationId xmlns:a16="http://schemas.microsoft.com/office/drawing/2014/main" id="{00000000-0008-0000-1200-000019090000}"/>
            </a:ext>
          </a:extLst>
        </xdr:cNvPr>
        <xdr:cNvCxnSpPr/>
      </xdr:nvCxnSpPr>
      <xdr:spPr>
        <a:xfrm>
          <a:off x="8784166" y="189949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2330" name="Straight Arrow Connector 2329">
          <a:extLst>
            <a:ext uri="{FF2B5EF4-FFF2-40B4-BE49-F238E27FC236}">
              <a16:creationId xmlns:a16="http://schemas.microsoft.com/office/drawing/2014/main" id="{00000000-0008-0000-1200-00001A090000}"/>
            </a:ext>
          </a:extLst>
        </xdr:cNvPr>
        <xdr:cNvCxnSpPr/>
      </xdr:nvCxnSpPr>
      <xdr:spPr>
        <a:xfrm flipV="1">
          <a:off x="8794750" y="192997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2331" name="Straight Arrow Connector 2330">
          <a:extLst>
            <a:ext uri="{FF2B5EF4-FFF2-40B4-BE49-F238E27FC236}">
              <a16:creationId xmlns:a16="http://schemas.microsoft.com/office/drawing/2014/main" id="{00000000-0008-0000-1200-00001B090000}"/>
            </a:ext>
          </a:extLst>
        </xdr:cNvPr>
        <xdr:cNvCxnSpPr/>
      </xdr:nvCxnSpPr>
      <xdr:spPr>
        <a:xfrm>
          <a:off x="8805333" y="193929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2332" name="Straight Arrow Connector 2331">
          <a:extLst>
            <a:ext uri="{FF2B5EF4-FFF2-40B4-BE49-F238E27FC236}">
              <a16:creationId xmlns:a16="http://schemas.microsoft.com/office/drawing/2014/main" id="{00000000-0008-0000-1200-00001C090000}"/>
            </a:ext>
          </a:extLst>
        </xdr:cNvPr>
        <xdr:cNvCxnSpPr/>
      </xdr:nvCxnSpPr>
      <xdr:spPr>
        <a:xfrm>
          <a:off x="10593916" y="188309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1437</xdr:row>
      <xdr:rowOff>52916</xdr:rowOff>
    </xdr:from>
    <xdr:to>
      <xdr:col>16</xdr:col>
      <xdr:colOff>0</xdr:colOff>
      <xdr:row>1439</xdr:row>
      <xdr:rowOff>0</xdr:rowOff>
    </xdr:to>
    <xdr:cxnSp macro="">
      <xdr:nvCxnSpPr>
        <xdr:cNvPr id="2333" name="Straight Arrow Connector 2332">
          <a:extLst>
            <a:ext uri="{FF2B5EF4-FFF2-40B4-BE49-F238E27FC236}">
              <a16:creationId xmlns:a16="http://schemas.microsoft.com/office/drawing/2014/main" id="{00000000-0008-0000-1200-00001D090000}"/>
            </a:ext>
          </a:extLst>
        </xdr:cNvPr>
        <xdr:cNvCxnSpPr/>
      </xdr:nvCxnSpPr>
      <xdr:spPr>
        <a:xfrm flipV="1">
          <a:off x="10541000" y="189981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2334" name="Straight Arrow Connector 2333">
          <a:extLst>
            <a:ext uri="{FF2B5EF4-FFF2-40B4-BE49-F238E27FC236}">
              <a16:creationId xmlns:a16="http://schemas.microsoft.com/office/drawing/2014/main" id="{00000000-0008-0000-1200-00001E090000}"/>
            </a:ext>
          </a:extLst>
        </xdr:cNvPr>
        <xdr:cNvCxnSpPr/>
      </xdr:nvCxnSpPr>
      <xdr:spPr>
        <a:xfrm>
          <a:off x="10530417" y="190330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2335" name="Straight Arrow Connector 2334">
          <a:extLst>
            <a:ext uri="{FF2B5EF4-FFF2-40B4-BE49-F238E27FC236}">
              <a16:creationId xmlns:a16="http://schemas.microsoft.com/office/drawing/2014/main" id="{00000000-0008-0000-1200-00001F090000}"/>
            </a:ext>
          </a:extLst>
        </xdr:cNvPr>
        <xdr:cNvCxnSpPr/>
      </xdr:nvCxnSpPr>
      <xdr:spPr>
        <a:xfrm>
          <a:off x="10530417" y="190309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2336" name="Straight Arrow Connector 2335">
          <a:extLst>
            <a:ext uri="{FF2B5EF4-FFF2-40B4-BE49-F238E27FC236}">
              <a16:creationId xmlns:a16="http://schemas.microsoft.com/office/drawing/2014/main" id="{00000000-0008-0000-1200-000020090000}"/>
            </a:ext>
          </a:extLst>
        </xdr:cNvPr>
        <xdr:cNvCxnSpPr/>
      </xdr:nvCxnSpPr>
      <xdr:spPr>
        <a:xfrm flipV="1">
          <a:off x="10530417" y="192595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2337" name="Straight Arrow Connector 2336">
          <a:extLst>
            <a:ext uri="{FF2B5EF4-FFF2-40B4-BE49-F238E27FC236}">
              <a16:creationId xmlns:a16="http://schemas.microsoft.com/office/drawing/2014/main" id="{00000000-0008-0000-1200-000021090000}"/>
            </a:ext>
          </a:extLst>
        </xdr:cNvPr>
        <xdr:cNvCxnSpPr/>
      </xdr:nvCxnSpPr>
      <xdr:spPr>
        <a:xfrm>
          <a:off x="10572750" y="192987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2338" name="Straight Arrow Connector 2337">
          <a:extLst>
            <a:ext uri="{FF2B5EF4-FFF2-40B4-BE49-F238E27FC236}">
              <a16:creationId xmlns:a16="http://schemas.microsoft.com/office/drawing/2014/main" id="{00000000-0008-0000-1200-000022090000}"/>
            </a:ext>
          </a:extLst>
        </xdr:cNvPr>
        <xdr:cNvCxnSpPr/>
      </xdr:nvCxnSpPr>
      <xdr:spPr>
        <a:xfrm>
          <a:off x="10551583" y="192987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2339" name="Straight Arrow Connector 2338">
          <a:extLst>
            <a:ext uri="{FF2B5EF4-FFF2-40B4-BE49-F238E27FC236}">
              <a16:creationId xmlns:a16="http://schemas.microsoft.com/office/drawing/2014/main" id="{00000000-0008-0000-1200-000023090000}"/>
            </a:ext>
          </a:extLst>
        </xdr:cNvPr>
        <xdr:cNvCxnSpPr/>
      </xdr:nvCxnSpPr>
      <xdr:spPr>
        <a:xfrm>
          <a:off x="10583333" y="193008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2344" name="Straight Arrow Connector 2343">
          <a:extLst>
            <a:ext uri="{FF2B5EF4-FFF2-40B4-BE49-F238E27FC236}">
              <a16:creationId xmlns:a16="http://schemas.microsoft.com/office/drawing/2014/main" id="{00000000-0008-0000-1200-000028090000}"/>
            </a:ext>
          </a:extLst>
        </xdr:cNvPr>
        <xdr:cNvCxnSpPr/>
      </xdr:nvCxnSpPr>
      <xdr:spPr>
        <a:xfrm>
          <a:off x="5080000" y="203739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2345" name="Straight Arrow Connector 2344">
          <a:extLst>
            <a:ext uri="{FF2B5EF4-FFF2-40B4-BE49-F238E27FC236}">
              <a16:creationId xmlns:a16="http://schemas.microsoft.com/office/drawing/2014/main" id="{00000000-0008-0000-1200-000029090000}"/>
            </a:ext>
          </a:extLst>
        </xdr:cNvPr>
        <xdr:cNvCxnSpPr/>
      </xdr:nvCxnSpPr>
      <xdr:spPr>
        <a:xfrm flipV="1">
          <a:off x="6381750" y="198067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2346" name="Straight Arrow Connector 2345">
          <a:extLst>
            <a:ext uri="{FF2B5EF4-FFF2-40B4-BE49-F238E27FC236}">
              <a16:creationId xmlns:a16="http://schemas.microsoft.com/office/drawing/2014/main" id="{00000000-0008-0000-1200-00002A090000}"/>
            </a:ext>
          </a:extLst>
        </xdr:cNvPr>
        <xdr:cNvCxnSpPr/>
      </xdr:nvCxnSpPr>
      <xdr:spPr>
        <a:xfrm>
          <a:off x="6413500" y="199644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2347" name="Straight Arrow Connector 2346">
          <a:extLst>
            <a:ext uri="{FF2B5EF4-FFF2-40B4-BE49-F238E27FC236}">
              <a16:creationId xmlns:a16="http://schemas.microsoft.com/office/drawing/2014/main" id="{00000000-0008-0000-1200-00002B090000}"/>
            </a:ext>
          </a:extLst>
        </xdr:cNvPr>
        <xdr:cNvCxnSpPr/>
      </xdr:nvCxnSpPr>
      <xdr:spPr>
        <a:xfrm flipV="1">
          <a:off x="7609417" y="200765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2348" name="Straight Arrow Connector 2347">
          <a:extLst>
            <a:ext uri="{FF2B5EF4-FFF2-40B4-BE49-F238E27FC236}">
              <a16:creationId xmlns:a16="http://schemas.microsoft.com/office/drawing/2014/main" id="{00000000-0008-0000-1200-00002C090000}"/>
            </a:ext>
          </a:extLst>
        </xdr:cNvPr>
        <xdr:cNvCxnSpPr/>
      </xdr:nvCxnSpPr>
      <xdr:spPr>
        <a:xfrm>
          <a:off x="7598834" y="201781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2349" name="Straight Arrow Connector 2348">
          <a:extLst>
            <a:ext uri="{FF2B5EF4-FFF2-40B4-BE49-F238E27FC236}">
              <a16:creationId xmlns:a16="http://schemas.microsoft.com/office/drawing/2014/main" id="{00000000-0008-0000-1200-00002D090000}"/>
            </a:ext>
          </a:extLst>
        </xdr:cNvPr>
        <xdr:cNvCxnSpPr/>
      </xdr:nvCxnSpPr>
      <xdr:spPr>
        <a:xfrm flipV="1">
          <a:off x="8794750" y="199855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2350" name="Straight Arrow Connector 2349">
          <a:extLst>
            <a:ext uri="{FF2B5EF4-FFF2-40B4-BE49-F238E27FC236}">
              <a16:creationId xmlns:a16="http://schemas.microsoft.com/office/drawing/2014/main" id="{00000000-0008-0000-1200-00002E090000}"/>
            </a:ext>
          </a:extLst>
        </xdr:cNvPr>
        <xdr:cNvCxnSpPr/>
      </xdr:nvCxnSpPr>
      <xdr:spPr>
        <a:xfrm>
          <a:off x="8784166" y="200808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2351" name="Straight Arrow Connector 2350">
          <a:extLst>
            <a:ext uri="{FF2B5EF4-FFF2-40B4-BE49-F238E27FC236}">
              <a16:creationId xmlns:a16="http://schemas.microsoft.com/office/drawing/2014/main" id="{00000000-0008-0000-1200-00002F090000}"/>
            </a:ext>
          </a:extLst>
        </xdr:cNvPr>
        <xdr:cNvCxnSpPr/>
      </xdr:nvCxnSpPr>
      <xdr:spPr>
        <a:xfrm flipV="1">
          <a:off x="8794750" y="203856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2352" name="Straight Arrow Connector 2351">
          <a:extLst>
            <a:ext uri="{FF2B5EF4-FFF2-40B4-BE49-F238E27FC236}">
              <a16:creationId xmlns:a16="http://schemas.microsoft.com/office/drawing/2014/main" id="{00000000-0008-0000-1200-000030090000}"/>
            </a:ext>
          </a:extLst>
        </xdr:cNvPr>
        <xdr:cNvCxnSpPr/>
      </xdr:nvCxnSpPr>
      <xdr:spPr>
        <a:xfrm>
          <a:off x="8805333" y="204787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1480</xdr:row>
      <xdr:rowOff>0</xdr:rowOff>
    </xdr:from>
    <xdr:to>
      <xdr:col>15</xdr:col>
      <xdr:colOff>603250</xdr:colOff>
      <xdr:row>1485</xdr:row>
      <xdr:rowOff>31750</xdr:rowOff>
    </xdr:to>
    <xdr:cxnSp macro="">
      <xdr:nvCxnSpPr>
        <xdr:cNvPr id="2353" name="Straight Arrow Connector 2352">
          <a:extLst>
            <a:ext uri="{FF2B5EF4-FFF2-40B4-BE49-F238E27FC236}">
              <a16:creationId xmlns:a16="http://schemas.microsoft.com/office/drawing/2014/main" id="{00000000-0008-0000-1200-000031090000}"/>
            </a:ext>
          </a:extLst>
        </xdr:cNvPr>
        <xdr:cNvCxnSpPr/>
      </xdr:nvCxnSpPr>
      <xdr:spPr>
        <a:xfrm flipV="1">
          <a:off x="10541000" y="198310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2354" name="Straight Arrow Connector 2353">
          <a:extLst>
            <a:ext uri="{FF2B5EF4-FFF2-40B4-BE49-F238E27FC236}">
              <a16:creationId xmlns:a16="http://schemas.microsoft.com/office/drawing/2014/main" id="{00000000-0008-0000-1200-000032090000}"/>
            </a:ext>
          </a:extLst>
        </xdr:cNvPr>
        <xdr:cNvCxnSpPr/>
      </xdr:nvCxnSpPr>
      <xdr:spPr>
        <a:xfrm flipV="1">
          <a:off x="10583333" y="198934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2355" name="Straight Arrow Connector 2354">
          <a:extLst>
            <a:ext uri="{FF2B5EF4-FFF2-40B4-BE49-F238E27FC236}">
              <a16:creationId xmlns:a16="http://schemas.microsoft.com/office/drawing/2014/main" id="{00000000-0008-0000-1200-000033090000}"/>
            </a:ext>
          </a:extLst>
        </xdr:cNvPr>
        <xdr:cNvCxnSpPr/>
      </xdr:nvCxnSpPr>
      <xdr:spPr>
        <a:xfrm>
          <a:off x="10604500" y="199421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2356" name="Straight Arrow Connector 2355">
          <a:extLst>
            <a:ext uri="{FF2B5EF4-FFF2-40B4-BE49-F238E27FC236}">
              <a16:creationId xmlns:a16="http://schemas.microsoft.com/office/drawing/2014/main" id="{00000000-0008-0000-1200-000034090000}"/>
            </a:ext>
          </a:extLst>
        </xdr:cNvPr>
        <xdr:cNvCxnSpPr/>
      </xdr:nvCxnSpPr>
      <xdr:spPr>
        <a:xfrm>
          <a:off x="10519834" y="199368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1493</xdr:row>
      <xdr:rowOff>52916</xdr:rowOff>
    </xdr:from>
    <xdr:to>
      <xdr:col>16</xdr:col>
      <xdr:colOff>0</xdr:colOff>
      <xdr:row>1495</xdr:row>
      <xdr:rowOff>0</xdr:rowOff>
    </xdr:to>
    <xdr:cxnSp macro="">
      <xdr:nvCxnSpPr>
        <xdr:cNvPr id="2357" name="Straight Arrow Connector 2356">
          <a:extLst>
            <a:ext uri="{FF2B5EF4-FFF2-40B4-BE49-F238E27FC236}">
              <a16:creationId xmlns:a16="http://schemas.microsoft.com/office/drawing/2014/main" id="{00000000-0008-0000-1200-000035090000}"/>
            </a:ext>
          </a:extLst>
        </xdr:cNvPr>
        <xdr:cNvCxnSpPr/>
      </xdr:nvCxnSpPr>
      <xdr:spPr>
        <a:xfrm flipV="1">
          <a:off x="10541000" y="200839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2358" name="Straight Arrow Connector 2357">
          <a:extLst>
            <a:ext uri="{FF2B5EF4-FFF2-40B4-BE49-F238E27FC236}">
              <a16:creationId xmlns:a16="http://schemas.microsoft.com/office/drawing/2014/main" id="{00000000-0008-0000-1200-000036090000}"/>
            </a:ext>
          </a:extLst>
        </xdr:cNvPr>
        <xdr:cNvCxnSpPr/>
      </xdr:nvCxnSpPr>
      <xdr:spPr>
        <a:xfrm>
          <a:off x="10551583" y="201189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2359" name="Straight Arrow Connector 2358">
          <a:extLst>
            <a:ext uri="{FF2B5EF4-FFF2-40B4-BE49-F238E27FC236}">
              <a16:creationId xmlns:a16="http://schemas.microsoft.com/office/drawing/2014/main" id="{00000000-0008-0000-1200-000037090000}"/>
            </a:ext>
          </a:extLst>
        </xdr:cNvPr>
        <xdr:cNvCxnSpPr/>
      </xdr:nvCxnSpPr>
      <xdr:spPr>
        <a:xfrm>
          <a:off x="10530417" y="201189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2360" name="Straight Arrow Connector 2359">
          <a:extLst>
            <a:ext uri="{FF2B5EF4-FFF2-40B4-BE49-F238E27FC236}">
              <a16:creationId xmlns:a16="http://schemas.microsoft.com/office/drawing/2014/main" id="{00000000-0008-0000-1200-000038090000}"/>
            </a:ext>
          </a:extLst>
        </xdr:cNvPr>
        <xdr:cNvCxnSpPr/>
      </xdr:nvCxnSpPr>
      <xdr:spPr>
        <a:xfrm>
          <a:off x="10541000" y="201199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2361" name="Straight Arrow Connector 2360">
          <a:extLst>
            <a:ext uri="{FF2B5EF4-FFF2-40B4-BE49-F238E27FC236}">
              <a16:creationId xmlns:a16="http://schemas.microsoft.com/office/drawing/2014/main" id="{00000000-0008-0000-1200-000039090000}"/>
            </a:ext>
          </a:extLst>
        </xdr:cNvPr>
        <xdr:cNvCxnSpPr/>
      </xdr:nvCxnSpPr>
      <xdr:spPr>
        <a:xfrm flipV="1">
          <a:off x="6392333" y="208449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2362" name="Straight Arrow Connector 2361">
          <a:extLst>
            <a:ext uri="{FF2B5EF4-FFF2-40B4-BE49-F238E27FC236}">
              <a16:creationId xmlns:a16="http://schemas.microsoft.com/office/drawing/2014/main" id="{00000000-0008-0000-1200-00003A090000}"/>
            </a:ext>
          </a:extLst>
        </xdr:cNvPr>
        <xdr:cNvCxnSpPr/>
      </xdr:nvCxnSpPr>
      <xdr:spPr>
        <a:xfrm>
          <a:off x="6413500" y="210481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2363" name="Straight Arrow Connector 2362">
          <a:extLst>
            <a:ext uri="{FF2B5EF4-FFF2-40B4-BE49-F238E27FC236}">
              <a16:creationId xmlns:a16="http://schemas.microsoft.com/office/drawing/2014/main" id="{00000000-0008-0000-1200-00003B090000}"/>
            </a:ext>
          </a:extLst>
        </xdr:cNvPr>
        <xdr:cNvCxnSpPr/>
      </xdr:nvCxnSpPr>
      <xdr:spPr>
        <a:xfrm flipV="1">
          <a:off x="7556500" y="211613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2364" name="Straight Arrow Connector 2363">
          <a:extLst>
            <a:ext uri="{FF2B5EF4-FFF2-40B4-BE49-F238E27FC236}">
              <a16:creationId xmlns:a16="http://schemas.microsoft.com/office/drawing/2014/main" id="{00000000-0008-0000-1200-00003C090000}"/>
            </a:ext>
          </a:extLst>
        </xdr:cNvPr>
        <xdr:cNvCxnSpPr/>
      </xdr:nvCxnSpPr>
      <xdr:spPr>
        <a:xfrm flipV="1">
          <a:off x="10530417" y="203454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2365" name="Straight Arrow Connector 2364">
          <a:extLst>
            <a:ext uri="{FF2B5EF4-FFF2-40B4-BE49-F238E27FC236}">
              <a16:creationId xmlns:a16="http://schemas.microsoft.com/office/drawing/2014/main" id="{00000000-0008-0000-1200-00003D090000}"/>
            </a:ext>
          </a:extLst>
        </xdr:cNvPr>
        <xdr:cNvCxnSpPr/>
      </xdr:nvCxnSpPr>
      <xdr:spPr>
        <a:xfrm>
          <a:off x="10572750" y="203845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2366" name="Straight Arrow Connector 2365">
          <a:extLst>
            <a:ext uri="{FF2B5EF4-FFF2-40B4-BE49-F238E27FC236}">
              <a16:creationId xmlns:a16="http://schemas.microsoft.com/office/drawing/2014/main" id="{00000000-0008-0000-1200-00003E090000}"/>
            </a:ext>
          </a:extLst>
        </xdr:cNvPr>
        <xdr:cNvCxnSpPr/>
      </xdr:nvCxnSpPr>
      <xdr:spPr>
        <a:xfrm>
          <a:off x="10551583" y="203845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2367" name="Straight Arrow Connector 2366">
          <a:extLst>
            <a:ext uri="{FF2B5EF4-FFF2-40B4-BE49-F238E27FC236}">
              <a16:creationId xmlns:a16="http://schemas.microsoft.com/office/drawing/2014/main" id="{00000000-0008-0000-1200-00003F090000}"/>
            </a:ext>
          </a:extLst>
        </xdr:cNvPr>
        <xdr:cNvCxnSpPr/>
      </xdr:nvCxnSpPr>
      <xdr:spPr>
        <a:xfrm>
          <a:off x="10583333" y="203866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2368" name="Straight Arrow Connector 2367">
          <a:extLst>
            <a:ext uri="{FF2B5EF4-FFF2-40B4-BE49-F238E27FC236}">
              <a16:creationId xmlns:a16="http://schemas.microsoft.com/office/drawing/2014/main" id="{00000000-0008-0000-1200-000040090000}"/>
            </a:ext>
          </a:extLst>
        </xdr:cNvPr>
        <xdr:cNvCxnSpPr/>
      </xdr:nvCxnSpPr>
      <xdr:spPr>
        <a:xfrm>
          <a:off x="10562166" y="206502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2369" name="Straight Arrow Connector 2368">
          <a:extLst>
            <a:ext uri="{FF2B5EF4-FFF2-40B4-BE49-F238E27FC236}">
              <a16:creationId xmlns:a16="http://schemas.microsoft.com/office/drawing/2014/main" id="{00000000-0008-0000-1200-000041090000}"/>
            </a:ext>
          </a:extLst>
        </xdr:cNvPr>
        <xdr:cNvCxnSpPr/>
      </xdr:nvCxnSpPr>
      <xdr:spPr>
        <a:xfrm>
          <a:off x="10615083" y="206523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2370" name="Straight Arrow Connector 2369">
          <a:extLst>
            <a:ext uri="{FF2B5EF4-FFF2-40B4-BE49-F238E27FC236}">
              <a16:creationId xmlns:a16="http://schemas.microsoft.com/office/drawing/2014/main" id="{00000000-0008-0000-1200-000042090000}"/>
            </a:ext>
          </a:extLst>
        </xdr:cNvPr>
        <xdr:cNvCxnSpPr/>
      </xdr:nvCxnSpPr>
      <xdr:spPr>
        <a:xfrm>
          <a:off x="10572750" y="206554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2371" name="Straight Arrow Connector 2370">
          <a:extLst>
            <a:ext uri="{FF2B5EF4-FFF2-40B4-BE49-F238E27FC236}">
              <a16:creationId xmlns:a16="http://schemas.microsoft.com/office/drawing/2014/main" id="{00000000-0008-0000-1200-000043090000}"/>
            </a:ext>
          </a:extLst>
        </xdr:cNvPr>
        <xdr:cNvCxnSpPr/>
      </xdr:nvCxnSpPr>
      <xdr:spPr>
        <a:xfrm flipV="1">
          <a:off x="10562166" y="209285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2372" name="Straight Arrow Connector 2371">
          <a:extLst>
            <a:ext uri="{FF2B5EF4-FFF2-40B4-BE49-F238E27FC236}">
              <a16:creationId xmlns:a16="http://schemas.microsoft.com/office/drawing/2014/main" id="{00000000-0008-0000-1200-000044090000}"/>
            </a:ext>
          </a:extLst>
        </xdr:cNvPr>
        <xdr:cNvCxnSpPr/>
      </xdr:nvCxnSpPr>
      <xdr:spPr>
        <a:xfrm flipV="1">
          <a:off x="10604500" y="209645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2373" name="Straight Arrow Connector 2372">
          <a:extLst>
            <a:ext uri="{FF2B5EF4-FFF2-40B4-BE49-F238E27FC236}">
              <a16:creationId xmlns:a16="http://schemas.microsoft.com/office/drawing/2014/main" id="{00000000-0008-0000-1200-000045090000}"/>
            </a:ext>
          </a:extLst>
        </xdr:cNvPr>
        <xdr:cNvCxnSpPr/>
      </xdr:nvCxnSpPr>
      <xdr:spPr>
        <a:xfrm>
          <a:off x="10593916" y="210047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2374" name="Straight Arrow Connector 2373">
          <a:extLst>
            <a:ext uri="{FF2B5EF4-FFF2-40B4-BE49-F238E27FC236}">
              <a16:creationId xmlns:a16="http://schemas.microsoft.com/office/drawing/2014/main" id="{00000000-0008-0000-1200-000046090000}"/>
            </a:ext>
          </a:extLst>
        </xdr:cNvPr>
        <xdr:cNvCxnSpPr/>
      </xdr:nvCxnSpPr>
      <xdr:spPr>
        <a:xfrm>
          <a:off x="10572750" y="212142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2375" name="Straight Arrow Connector 2374">
          <a:extLst>
            <a:ext uri="{FF2B5EF4-FFF2-40B4-BE49-F238E27FC236}">
              <a16:creationId xmlns:a16="http://schemas.microsoft.com/office/drawing/2014/main" id="{00000000-0008-0000-1200-000047090000}"/>
            </a:ext>
          </a:extLst>
        </xdr:cNvPr>
        <xdr:cNvCxnSpPr/>
      </xdr:nvCxnSpPr>
      <xdr:spPr>
        <a:xfrm flipV="1">
          <a:off x="10583333" y="205983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2376" name="Straight Arrow Connector 2375">
          <a:extLst>
            <a:ext uri="{FF2B5EF4-FFF2-40B4-BE49-F238E27FC236}">
              <a16:creationId xmlns:a16="http://schemas.microsoft.com/office/drawing/2014/main" id="{00000000-0008-0000-1200-000048090000}"/>
            </a:ext>
          </a:extLst>
        </xdr:cNvPr>
        <xdr:cNvCxnSpPr/>
      </xdr:nvCxnSpPr>
      <xdr:spPr>
        <a:xfrm>
          <a:off x="7598834" y="212640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2377" name="Straight Arrow Connector 2376">
          <a:extLst>
            <a:ext uri="{FF2B5EF4-FFF2-40B4-BE49-F238E27FC236}">
              <a16:creationId xmlns:a16="http://schemas.microsoft.com/office/drawing/2014/main" id="{00000000-0008-0000-1200-000049090000}"/>
            </a:ext>
          </a:extLst>
        </xdr:cNvPr>
        <xdr:cNvCxnSpPr/>
      </xdr:nvCxnSpPr>
      <xdr:spPr>
        <a:xfrm flipV="1">
          <a:off x="8794750" y="210714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2378" name="Straight Arrow Connector 2377">
          <a:extLst>
            <a:ext uri="{FF2B5EF4-FFF2-40B4-BE49-F238E27FC236}">
              <a16:creationId xmlns:a16="http://schemas.microsoft.com/office/drawing/2014/main" id="{00000000-0008-0000-1200-00004A090000}"/>
            </a:ext>
          </a:extLst>
        </xdr:cNvPr>
        <xdr:cNvCxnSpPr/>
      </xdr:nvCxnSpPr>
      <xdr:spPr>
        <a:xfrm>
          <a:off x="8784166" y="211666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2379" name="Straight Arrow Connector 2378">
          <a:extLst>
            <a:ext uri="{FF2B5EF4-FFF2-40B4-BE49-F238E27FC236}">
              <a16:creationId xmlns:a16="http://schemas.microsoft.com/office/drawing/2014/main" id="{00000000-0008-0000-1200-00004B090000}"/>
            </a:ext>
          </a:extLst>
        </xdr:cNvPr>
        <xdr:cNvCxnSpPr/>
      </xdr:nvCxnSpPr>
      <xdr:spPr>
        <a:xfrm flipV="1">
          <a:off x="8794750" y="214714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2380" name="Straight Arrow Connector 2379">
          <a:extLst>
            <a:ext uri="{FF2B5EF4-FFF2-40B4-BE49-F238E27FC236}">
              <a16:creationId xmlns:a16="http://schemas.microsoft.com/office/drawing/2014/main" id="{00000000-0008-0000-1200-00004C090000}"/>
            </a:ext>
          </a:extLst>
        </xdr:cNvPr>
        <xdr:cNvCxnSpPr/>
      </xdr:nvCxnSpPr>
      <xdr:spPr>
        <a:xfrm>
          <a:off x="8805333" y="215646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2381" name="Straight Arrow Connector 2380">
          <a:extLst>
            <a:ext uri="{FF2B5EF4-FFF2-40B4-BE49-F238E27FC236}">
              <a16:creationId xmlns:a16="http://schemas.microsoft.com/office/drawing/2014/main" id="{00000000-0008-0000-1200-00004D090000}"/>
            </a:ext>
          </a:extLst>
        </xdr:cNvPr>
        <xdr:cNvCxnSpPr/>
      </xdr:nvCxnSpPr>
      <xdr:spPr>
        <a:xfrm>
          <a:off x="10593916" y="210026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1549</xdr:row>
      <xdr:rowOff>52916</xdr:rowOff>
    </xdr:from>
    <xdr:to>
      <xdr:col>16</xdr:col>
      <xdr:colOff>0</xdr:colOff>
      <xdr:row>1551</xdr:row>
      <xdr:rowOff>0</xdr:rowOff>
    </xdr:to>
    <xdr:cxnSp macro="">
      <xdr:nvCxnSpPr>
        <xdr:cNvPr id="2382" name="Straight Arrow Connector 2381">
          <a:extLst>
            <a:ext uri="{FF2B5EF4-FFF2-40B4-BE49-F238E27FC236}">
              <a16:creationId xmlns:a16="http://schemas.microsoft.com/office/drawing/2014/main" id="{00000000-0008-0000-1200-00004E090000}"/>
            </a:ext>
          </a:extLst>
        </xdr:cNvPr>
        <xdr:cNvCxnSpPr/>
      </xdr:nvCxnSpPr>
      <xdr:spPr>
        <a:xfrm flipV="1">
          <a:off x="10541000" y="211698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2383" name="Straight Arrow Connector 2382">
          <a:extLst>
            <a:ext uri="{FF2B5EF4-FFF2-40B4-BE49-F238E27FC236}">
              <a16:creationId xmlns:a16="http://schemas.microsoft.com/office/drawing/2014/main" id="{00000000-0008-0000-1200-00004F090000}"/>
            </a:ext>
          </a:extLst>
        </xdr:cNvPr>
        <xdr:cNvCxnSpPr/>
      </xdr:nvCxnSpPr>
      <xdr:spPr>
        <a:xfrm>
          <a:off x="10530417" y="212047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2384" name="Straight Arrow Connector 2383">
          <a:extLst>
            <a:ext uri="{FF2B5EF4-FFF2-40B4-BE49-F238E27FC236}">
              <a16:creationId xmlns:a16="http://schemas.microsoft.com/office/drawing/2014/main" id="{00000000-0008-0000-1200-000050090000}"/>
            </a:ext>
          </a:extLst>
        </xdr:cNvPr>
        <xdr:cNvCxnSpPr/>
      </xdr:nvCxnSpPr>
      <xdr:spPr>
        <a:xfrm>
          <a:off x="10530417" y="212026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2385" name="Straight Arrow Connector 2384">
          <a:extLst>
            <a:ext uri="{FF2B5EF4-FFF2-40B4-BE49-F238E27FC236}">
              <a16:creationId xmlns:a16="http://schemas.microsoft.com/office/drawing/2014/main" id="{00000000-0008-0000-1200-000051090000}"/>
            </a:ext>
          </a:extLst>
        </xdr:cNvPr>
        <xdr:cNvCxnSpPr/>
      </xdr:nvCxnSpPr>
      <xdr:spPr>
        <a:xfrm flipV="1">
          <a:off x="10530417" y="214312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2386" name="Straight Arrow Connector 2385">
          <a:extLst>
            <a:ext uri="{FF2B5EF4-FFF2-40B4-BE49-F238E27FC236}">
              <a16:creationId xmlns:a16="http://schemas.microsoft.com/office/drawing/2014/main" id="{00000000-0008-0000-1200-000052090000}"/>
            </a:ext>
          </a:extLst>
        </xdr:cNvPr>
        <xdr:cNvCxnSpPr/>
      </xdr:nvCxnSpPr>
      <xdr:spPr>
        <a:xfrm>
          <a:off x="10572750" y="214704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2387" name="Straight Arrow Connector 2386">
          <a:extLst>
            <a:ext uri="{FF2B5EF4-FFF2-40B4-BE49-F238E27FC236}">
              <a16:creationId xmlns:a16="http://schemas.microsoft.com/office/drawing/2014/main" id="{00000000-0008-0000-1200-000053090000}"/>
            </a:ext>
          </a:extLst>
        </xdr:cNvPr>
        <xdr:cNvCxnSpPr/>
      </xdr:nvCxnSpPr>
      <xdr:spPr>
        <a:xfrm>
          <a:off x="10551583" y="214704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2388" name="Straight Arrow Connector 2387">
          <a:extLst>
            <a:ext uri="{FF2B5EF4-FFF2-40B4-BE49-F238E27FC236}">
              <a16:creationId xmlns:a16="http://schemas.microsoft.com/office/drawing/2014/main" id="{00000000-0008-0000-1200-000054090000}"/>
            </a:ext>
          </a:extLst>
        </xdr:cNvPr>
        <xdr:cNvCxnSpPr/>
      </xdr:nvCxnSpPr>
      <xdr:spPr>
        <a:xfrm>
          <a:off x="10583333" y="214725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2389" name="Straight Arrow Connector 2388">
          <a:extLst>
            <a:ext uri="{FF2B5EF4-FFF2-40B4-BE49-F238E27FC236}">
              <a16:creationId xmlns:a16="http://schemas.microsoft.com/office/drawing/2014/main" id="{00000000-0008-0000-1200-000055090000}"/>
            </a:ext>
          </a:extLst>
        </xdr:cNvPr>
        <xdr:cNvCxnSpPr/>
      </xdr:nvCxnSpPr>
      <xdr:spPr>
        <a:xfrm>
          <a:off x="10562166" y="217360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2390" name="Straight Arrow Connector 2389">
          <a:extLst>
            <a:ext uri="{FF2B5EF4-FFF2-40B4-BE49-F238E27FC236}">
              <a16:creationId xmlns:a16="http://schemas.microsoft.com/office/drawing/2014/main" id="{00000000-0008-0000-1200-000056090000}"/>
            </a:ext>
          </a:extLst>
        </xdr:cNvPr>
        <xdr:cNvCxnSpPr/>
      </xdr:nvCxnSpPr>
      <xdr:spPr>
        <a:xfrm>
          <a:off x="10615083" y="217381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2391" name="Straight Arrow Connector 2390">
          <a:extLst>
            <a:ext uri="{FF2B5EF4-FFF2-40B4-BE49-F238E27FC236}">
              <a16:creationId xmlns:a16="http://schemas.microsoft.com/office/drawing/2014/main" id="{00000000-0008-0000-1200-000057090000}"/>
            </a:ext>
          </a:extLst>
        </xdr:cNvPr>
        <xdr:cNvCxnSpPr/>
      </xdr:nvCxnSpPr>
      <xdr:spPr>
        <a:xfrm>
          <a:off x="10572750" y="217413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2392" name="Straight Arrow Connector 2391">
          <a:extLst>
            <a:ext uri="{FF2B5EF4-FFF2-40B4-BE49-F238E27FC236}">
              <a16:creationId xmlns:a16="http://schemas.microsoft.com/office/drawing/2014/main" id="{00000000-0008-0000-1200-000058090000}"/>
            </a:ext>
          </a:extLst>
        </xdr:cNvPr>
        <xdr:cNvCxnSpPr/>
      </xdr:nvCxnSpPr>
      <xdr:spPr>
        <a:xfrm flipV="1">
          <a:off x="10583333" y="216841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2393" name="Straight Arrow Connector 2392">
          <a:extLst>
            <a:ext uri="{FF2B5EF4-FFF2-40B4-BE49-F238E27FC236}">
              <a16:creationId xmlns:a16="http://schemas.microsoft.com/office/drawing/2014/main" id="{00000000-0008-0000-1200-000059090000}"/>
            </a:ext>
          </a:extLst>
        </xdr:cNvPr>
        <xdr:cNvCxnSpPr/>
      </xdr:nvCxnSpPr>
      <xdr:spPr>
        <a:xfrm flipV="1">
          <a:off x="5207000" y="199580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2394" name="Straight Arrow Connector 2393">
          <a:extLst>
            <a:ext uri="{FF2B5EF4-FFF2-40B4-BE49-F238E27FC236}">
              <a16:creationId xmlns:a16="http://schemas.microsoft.com/office/drawing/2014/main" id="{00000000-0008-0000-1200-00005A090000}"/>
            </a:ext>
          </a:extLst>
        </xdr:cNvPr>
        <xdr:cNvCxnSpPr/>
      </xdr:nvCxnSpPr>
      <xdr:spPr>
        <a:xfrm flipV="1">
          <a:off x="3714750" y="226123501"/>
          <a:ext cx="666750"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2395" name="Straight Arrow Connector 2394">
          <a:extLst>
            <a:ext uri="{FF2B5EF4-FFF2-40B4-BE49-F238E27FC236}">
              <a16:creationId xmlns:a16="http://schemas.microsoft.com/office/drawing/2014/main" id="{00000000-0008-0000-1200-00005B090000}"/>
            </a:ext>
          </a:extLst>
        </xdr:cNvPr>
        <xdr:cNvCxnSpPr/>
      </xdr:nvCxnSpPr>
      <xdr:spPr>
        <a:xfrm>
          <a:off x="3799417" y="233341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2396" name="Straight Arrow Connector 2395">
          <a:extLst>
            <a:ext uri="{FF2B5EF4-FFF2-40B4-BE49-F238E27FC236}">
              <a16:creationId xmlns:a16="http://schemas.microsoft.com/office/drawing/2014/main" id="{00000000-0008-0000-1200-00005C090000}"/>
            </a:ext>
          </a:extLst>
        </xdr:cNvPr>
        <xdr:cNvCxnSpPr/>
      </xdr:nvCxnSpPr>
      <xdr:spPr>
        <a:xfrm flipV="1">
          <a:off x="5175250" y="221318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2397" name="Straight Arrow Connector 2396">
          <a:extLst>
            <a:ext uri="{FF2B5EF4-FFF2-40B4-BE49-F238E27FC236}">
              <a16:creationId xmlns:a16="http://schemas.microsoft.com/office/drawing/2014/main" id="{00000000-0008-0000-1200-00005D090000}"/>
            </a:ext>
          </a:extLst>
        </xdr:cNvPr>
        <xdr:cNvCxnSpPr/>
      </xdr:nvCxnSpPr>
      <xdr:spPr>
        <a:xfrm>
          <a:off x="5175250" y="226134084"/>
          <a:ext cx="624417"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2398" name="Straight Arrow Connector 2397">
          <a:extLst>
            <a:ext uri="{FF2B5EF4-FFF2-40B4-BE49-F238E27FC236}">
              <a16:creationId xmlns:a16="http://schemas.microsoft.com/office/drawing/2014/main" id="{00000000-0008-0000-1200-00005E090000}"/>
            </a:ext>
          </a:extLst>
        </xdr:cNvPr>
        <xdr:cNvCxnSpPr/>
      </xdr:nvCxnSpPr>
      <xdr:spPr>
        <a:xfrm flipV="1">
          <a:off x="6381750" y="219784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2399" name="Straight Arrow Connector 2398">
          <a:extLst>
            <a:ext uri="{FF2B5EF4-FFF2-40B4-BE49-F238E27FC236}">
              <a16:creationId xmlns:a16="http://schemas.microsoft.com/office/drawing/2014/main" id="{00000000-0008-0000-1200-00005F090000}"/>
            </a:ext>
          </a:extLst>
        </xdr:cNvPr>
        <xdr:cNvCxnSpPr/>
      </xdr:nvCxnSpPr>
      <xdr:spPr>
        <a:xfrm>
          <a:off x="6413500" y="221361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2400" name="Straight Arrow Connector 2399">
          <a:extLst>
            <a:ext uri="{FF2B5EF4-FFF2-40B4-BE49-F238E27FC236}">
              <a16:creationId xmlns:a16="http://schemas.microsoft.com/office/drawing/2014/main" id="{00000000-0008-0000-1200-000060090000}"/>
            </a:ext>
          </a:extLst>
        </xdr:cNvPr>
        <xdr:cNvCxnSpPr/>
      </xdr:nvCxnSpPr>
      <xdr:spPr>
        <a:xfrm flipV="1">
          <a:off x="7609417" y="222482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2401" name="Straight Arrow Connector 2400">
          <a:extLst>
            <a:ext uri="{FF2B5EF4-FFF2-40B4-BE49-F238E27FC236}">
              <a16:creationId xmlns:a16="http://schemas.microsoft.com/office/drawing/2014/main" id="{00000000-0008-0000-1200-000061090000}"/>
            </a:ext>
          </a:extLst>
        </xdr:cNvPr>
        <xdr:cNvCxnSpPr/>
      </xdr:nvCxnSpPr>
      <xdr:spPr>
        <a:xfrm>
          <a:off x="7598834" y="223498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2402" name="Straight Arrow Connector 2401">
          <a:extLst>
            <a:ext uri="{FF2B5EF4-FFF2-40B4-BE49-F238E27FC236}">
              <a16:creationId xmlns:a16="http://schemas.microsoft.com/office/drawing/2014/main" id="{00000000-0008-0000-1200-000062090000}"/>
            </a:ext>
          </a:extLst>
        </xdr:cNvPr>
        <xdr:cNvCxnSpPr/>
      </xdr:nvCxnSpPr>
      <xdr:spPr>
        <a:xfrm flipV="1">
          <a:off x="8794750" y="221572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2403" name="Straight Arrow Connector 2402">
          <a:extLst>
            <a:ext uri="{FF2B5EF4-FFF2-40B4-BE49-F238E27FC236}">
              <a16:creationId xmlns:a16="http://schemas.microsoft.com/office/drawing/2014/main" id="{00000000-0008-0000-1200-000063090000}"/>
            </a:ext>
          </a:extLst>
        </xdr:cNvPr>
        <xdr:cNvCxnSpPr/>
      </xdr:nvCxnSpPr>
      <xdr:spPr>
        <a:xfrm>
          <a:off x="8784166" y="222525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2404" name="Straight Arrow Connector 2403">
          <a:extLst>
            <a:ext uri="{FF2B5EF4-FFF2-40B4-BE49-F238E27FC236}">
              <a16:creationId xmlns:a16="http://schemas.microsoft.com/office/drawing/2014/main" id="{00000000-0008-0000-1200-000064090000}"/>
            </a:ext>
          </a:extLst>
        </xdr:cNvPr>
        <xdr:cNvCxnSpPr/>
      </xdr:nvCxnSpPr>
      <xdr:spPr>
        <a:xfrm flipV="1">
          <a:off x="8794750" y="225573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2405" name="Straight Arrow Connector 2404">
          <a:extLst>
            <a:ext uri="{FF2B5EF4-FFF2-40B4-BE49-F238E27FC236}">
              <a16:creationId xmlns:a16="http://schemas.microsoft.com/office/drawing/2014/main" id="{00000000-0008-0000-1200-000065090000}"/>
            </a:ext>
          </a:extLst>
        </xdr:cNvPr>
        <xdr:cNvCxnSpPr/>
      </xdr:nvCxnSpPr>
      <xdr:spPr>
        <a:xfrm>
          <a:off x="8805333" y="226504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1592</xdr:row>
      <xdr:rowOff>0</xdr:rowOff>
    </xdr:from>
    <xdr:to>
      <xdr:col>15</xdr:col>
      <xdr:colOff>603250</xdr:colOff>
      <xdr:row>1597</xdr:row>
      <xdr:rowOff>31750</xdr:rowOff>
    </xdr:to>
    <xdr:cxnSp macro="">
      <xdr:nvCxnSpPr>
        <xdr:cNvPr id="2406" name="Straight Arrow Connector 2405">
          <a:extLst>
            <a:ext uri="{FF2B5EF4-FFF2-40B4-BE49-F238E27FC236}">
              <a16:creationId xmlns:a16="http://schemas.microsoft.com/office/drawing/2014/main" id="{00000000-0008-0000-1200-000066090000}"/>
            </a:ext>
          </a:extLst>
        </xdr:cNvPr>
        <xdr:cNvCxnSpPr/>
      </xdr:nvCxnSpPr>
      <xdr:spPr>
        <a:xfrm flipV="1">
          <a:off x="10541000" y="220027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2407" name="Straight Arrow Connector 2406">
          <a:extLst>
            <a:ext uri="{FF2B5EF4-FFF2-40B4-BE49-F238E27FC236}">
              <a16:creationId xmlns:a16="http://schemas.microsoft.com/office/drawing/2014/main" id="{00000000-0008-0000-1200-000067090000}"/>
            </a:ext>
          </a:extLst>
        </xdr:cNvPr>
        <xdr:cNvCxnSpPr/>
      </xdr:nvCxnSpPr>
      <xdr:spPr>
        <a:xfrm flipV="1">
          <a:off x="10583333" y="220651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2408" name="Straight Arrow Connector 2407">
          <a:extLst>
            <a:ext uri="{FF2B5EF4-FFF2-40B4-BE49-F238E27FC236}">
              <a16:creationId xmlns:a16="http://schemas.microsoft.com/office/drawing/2014/main" id="{00000000-0008-0000-1200-000068090000}"/>
            </a:ext>
          </a:extLst>
        </xdr:cNvPr>
        <xdr:cNvCxnSpPr/>
      </xdr:nvCxnSpPr>
      <xdr:spPr>
        <a:xfrm>
          <a:off x="10604500" y="221138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2409" name="Straight Arrow Connector 2408">
          <a:extLst>
            <a:ext uri="{FF2B5EF4-FFF2-40B4-BE49-F238E27FC236}">
              <a16:creationId xmlns:a16="http://schemas.microsoft.com/office/drawing/2014/main" id="{00000000-0008-0000-1200-000069090000}"/>
            </a:ext>
          </a:extLst>
        </xdr:cNvPr>
        <xdr:cNvCxnSpPr/>
      </xdr:nvCxnSpPr>
      <xdr:spPr>
        <a:xfrm>
          <a:off x="10519834" y="221085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1605</xdr:row>
      <xdr:rowOff>52916</xdr:rowOff>
    </xdr:from>
    <xdr:to>
      <xdr:col>16</xdr:col>
      <xdr:colOff>0</xdr:colOff>
      <xdr:row>1607</xdr:row>
      <xdr:rowOff>0</xdr:rowOff>
    </xdr:to>
    <xdr:cxnSp macro="">
      <xdr:nvCxnSpPr>
        <xdr:cNvPr id="2410" name="Straight Arrow Connector 2409">
          <a:extLst>
            <a:ext uri="{FF2B5EF4-FFF2-40B4-BE49-F238E27FC236}">
              <a16:creationId xmlns:a16="http://schemas.microsoft.com/office/drawing/2014/main" id="{00000000-0008-0000-1200-00006A090000}"/>
            </a:ext>
          </a:extLst>
        </xdr:cNvPr>
        <xdr:cNvCxnSpPr/>
      </xdr:nvCxnSpPr>
      <xdr:spPr>
        <a:xfrm flipV="1">
          <a:off x="10541000" y="222556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2411" name="Straight Arrow Connector 2410">
          <a:extLst>
            <a:ext uri="{FF2B5EF4-FFF2-40B4-BE49-F238E27FC236}">
              <a16:creationId xmlns:a16="http://schemas.microsoft.com/office/drawing/2014/main" id="{00000000-0008-0000-1200-00006B090000}"/>
            </a:ext>
          </a:extLst>
        </xdr:cNvPr>
        <xdr:cNvCxnSpPr/>
      </xdr:nvCxnSpPr>
      <xdr:spPr>
        <a:xfrm>
          <a:off x="10551583" y="222906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2412" name="Straight Arrow Connector 2411">
          <a:extLst>
            <a:ext uri="{FF2B5EF4-FFF2-40B4-BE49-F238E27FC236}">
              <a16:creationId xmlns:a16="http://schemas.microsoft.com/office/drawing/2014/main" id="{00000000-0008-0000-1200-00006C090000}"/>
            </a:ext>
          </a:extLst>
        </xdr:cNvPr>
        <xdr:cNvCxnSpPr/>
      </xdr:nvCxnSpPr>
      <xdr:spPr>
        <a:xfrm>
          <a:off x="10530417" y="222906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2413" name="Straight Arrow Connector 2412">
          <a:extLst>
            <a:ext uri="{FF2B5EF4-FFF2-40B4-BE49-F238E27FC236}">
              <a16:creationId xmlns:a16="http://schemas.microsoft.com/office/drawing/2014/main" id="{00000000-0008-0000-1200-00006D090000}"/>
            </a:ext>
          </a:extLst>
        </xdr:cNvPr>
        <xdr:cNvCxnSpPr/>
      </xdr:nvCxnSpPr>
      <xdr:spPr>
        <a:xfrm>
          <a:off x="10541000" y="222916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2414" name="Straight Arrow Connector 2413">
          <a:extLst>
            <a:ext uri="{FF2B5EF4-FFF2-40B4-BE49-F238E27FC236}">
              <a16:creationId xmlns:a16="http://schemas.microsoft.com/office/drawing/2014/main" id="{00000000-0008-0000-1200-00006E090000}"/>
            </a:ext>
          </a:extLst>
        </xdr:cNvPr>
        <xdr:cNvCxnSpPr/>
      </xdr:nvCxnSpPr>
      <xdr:spPr>
        <a:xfrm flipV="1">
          <a:off x="6392333" y="230166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2415" name="Straight Arrow Connector 2414">
          <a:extLst>
            <a:ext uri="{FF2B5EF4-FFF2-40B4-BE49-F238E27FC236}">
              <a16:creationId xmlns:a16="http://schemas.microsoft.com/office/drawing/2014/main" id="{00000000-0008-0000-1200-00006F090000}"/>
            </a:ext>
          </a:extLst>
        </xdr:cNvPr>
        <xdr:cNvCxnSpPr/>
      </xdr:nvCxnSpPr>
      <xdr:spPr>
        <a:xfrm>
          <a:off x="6413500" y="232198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2416" name="Straight Arrow Connector 2415">
          <a:extLst>
            <a:ext uri="{FF2B5EF4-FFF2-40B4-BE49-F238E27FC236}">
              <a16:creationId xmlns:a16="http://schemas.microsoft.com/office/drawing/2014/main" id="{00000000-0008-0000-1200-000070090000}"/>
            </a:ext>
          </a:extLst>
        </xdr:cNvPr>
        <xdr:cNvCxnSpPr/>
      </xdr:nvCxnSpPr>
      <xdr:spPr>
        <a:xfrm flipV="1">
          <a:off x="7556500" y="233330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2417" name="Straight Arrow Connector 2416">
          <a:extLst>
            <a:ext uri="{FF2B5EF4-FFF2-40B4-BE49-F238E27FC236}">
              <a16:creationId xmlns:a16="http://schemas.microsoft.com/office/drawing/2014/main" id="{00000000-0008-0000-1200-000071090000}"/>
            </a:ext>
          </a:extLst>
        </xdr:cNvPr>
        <xdr:cNvCxnSpPr/>
      </xdr:nvCxnSpPr>
      <xdr:spPr>
        <a:xfrm flipV="1">
          <a:off x="10530417" y="225171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2418" name="Straight Arrow Connector 2417">
          <a:extLst>
            <a:ext uri="{FF2B5EF4-FFF2-40B4-BE49-F238E27FC236}">
              <a16:creationId xmlns:a16="http://schemas.microsoft.com/office/drawing/2014/main" id="{00000000-0008-0000-1200-000072090000}"/>
            </a:ext>
          </a:extLst>
        </xdr:cNvPr>
        <xdr:cNvCxnSpPr/>
      </xdr:nvCxnSpPr>
      <xdr:spPr>
        <a:xfrm>
          <a:off x="10572750" y="225562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2419" name="Straight Arrow Connector 2418">
          <a:extLst>
            <a:ext uri="{FF2B5EF4-FFF2-40B4-BE49-F238E27FC236}">
              <a16:creationId xmlns:a16="http://schemas.microsoft.com/office/drawing/2014/main" id="{00000000-0008-0000-1200-000073090000}"/>
            </a:ext>
          </a:extLst>
        </xdr:cNvPr>
        <xdr:cNvCxnSpPr/>
      </xdr:nvCxnSpPr>
      <xdr:spPr>
        <a:xfrm>
          <a:off x="10551583" y="225562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2420" name="Straight Arrow Connector 2419">
          <a:extLst>
            <a:ext uri="{FF2B5EF4-FFF2-40B4-BE49-F238E27FC236}">
              <a16:creationId xmlns:a16="http://schemas.microsoft.com/office/drawing/2014/main" id="{00000000-0008-0000-1200-000074090000}"/>
            </a:ext>
          </a:extLst>
        </xdr:cNvPr>
        <xdr:cNvCxnSpPr/>
      </xdr:nvCxnSpPr>
      <xdr:spPr>
        <a:xfrm>
          <a:off x="10583333" y="225583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2421" name="Straight Arrow Connector 2420">
          <a:extLst>
            <a:ext uri="{FF2B5EF4-FFF2-40B4-BE49-F238E27FC236}">
              <a16:creationId xmlns:a16="http://schemas.microsoft.com/office/drawing/2014/main" id="{00000000-0008-0000-1200-000075090000}"/>
            </a:ext>
          </a:extLst>
        </xdr:cNvPr>
        <xdr:cNvCxnSpPr/>
      </xdr:nvCxnSpPr>
      <xdr:spPr>
        <a:xfrm>
          <a:off x="10562166" y="228219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2422" name="Straight Arrow Connector 2421">
          <a:extLst>
            <a:ext uri="{FF2B5EF4-FFF2-40B4-BE49-F238E27FC236}">
              <a16:creationId xmlns:a16="http://schemas.microsoft.com/office/drawing/2014/main" id="{00000000-0008-0000-1200-000076090000}"/>
            </a:ext>
          </a:extLst>
        </xdr:cNvPr>
        <xdr:cNvCxnSpPr/>
      </xdr:nvCxnSpPr>
      <xdr:spPr>
        <a:xfrm>
          <a:off x="10615083" y="228240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2423" name="Straight Arrow Connector 2422">
          <a:extLst>
            <a:ext uri="{FF2B5EF4-FFF2-40B4-BE49-F238E27FC236}">
              <a16:creationId xmlns:a16="http://schemas.microsoft.com/office/drawing/2014/main" id="{00000000-0008-0000-1200-000077090000}"/>
            </a:ext>
          </a:extLst>
        </xdr:cNvPr>
        <xdr:cNvCxnSpPr/>
      </xdr:nvCxnSpPr>
      <xdr:spPr>
        <a:xfrm>
          <a:off x="10572750" y="228271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2424" name="Straight Arrow Connector 2423">
          <a:extLst>
            <a:ext uri="{FF2B5EF4-FFF2-40B4-BE49-F238E27FC236}">
              <a16:creationId xmlns:a16="http://schemas.microsoft.com/office/drawing/2014/main" id="{00000000-0008-0000-1200-000078090000}"/>
            </a:ext>
          </a:extLst>
        </xdr:cNvPr>
        <xdr:cNvCxnSpPr/>
      </xdr:nvCxnSpPr>
      <xdr:spPr>
        <a:xfrm flipV="1">
          <a:off x="10562166" y="231002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2425" name="Straight Arrow Connector 2424">
          <a:extLst>
            <a:ext uri="{FF2B5EF4-FFF2-40B4-BE49-F238E27FC236}">
              <a16:creationId xmlns:a16="http://schemas.microsoft.com/office/drawing/2014/main" id="{00000000-0008-0000-1200-000079090000}"/>
            </a:ext>
          </a:extLst>
        </xdr:cNvPr>
        <xdr:cNvCxnSpPr/>
      </xdr:nvCxnSpPr>
      <xdr:spPr>
        <a:xfrm flipV="1">
          <a:off x="10604500" y="231362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2426" name="Straight Arrow Connector 2425">
          <a:extLst>
            <a:ext uri="{FF2B5EF4-FFF2-40B4-BE49-F238E27FC236}">
              <a16:creationId xmlns:a16="http://schemas.microsoft.com/office/drawing/2014/main" id="{00000000-0008-0000-1200-00007A090000}"/>
            </a:ext>
          </a:extLst>
        </xdr:cNvPr>
        <xdr:cNvCxnSpPr/>
      </xdr:nvCxnSpPr>
      <xdr:spPr>
        <a:xfrm>
          <a:off x="10593916" y="231764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2427" name="Straight Arrow Connector 2426">
          <a:extLst>
            <a:ext uri="{FF2B5EF4-FFF2-40B4-BE49-F238E27FC236}">
              <a16:creationId xmlns:a16="http://schemas.microsoft.com/office/drawing/2014/main" id="{00000000-0008-0000-1200-00007B090000}"/>
            </a:ext>
          </a:extLst>
        </xdr:cNvPr>
        <xdr:cNvCxnSpPr/>
      </xdr:nvCxnSpPr>
      <xdr:spPr>
        <a:xfrm>
          <a:off x="10572750" y="233859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2428" name="Straight Arrow Connector 2427">
          <a:extLst>
            <a:ext uri="{FF2B5EF4-FFF2-40B4-BE49-F238E27FC236}">
              <a16:creationId xmlns:a16="http://schemas.microsoft.com/office/drawing/2014/main" id="{00000000-0008-0000-1200-00007C090000}"/>
            </a:ext>
          </a:extLst>
        </xdr:cNvPr>
        <xdr:cNvCxnSpPr/>
      </xdr:nvCxnSpPr>
      <xdr:spPr>
        <a:xfrm flipV="1">
          <a:off x="10583333" y="227700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2429" name="Straight Arrow Connector 2428">
          <a:extLst>
            <a:ext uri="{FF2B5EF4-FFF2-40B4-BE49-F238E27FC236}">
              <a16:creationId xmlns:a16="http://schemas.microsoft.com/office/drawing/2014/main" id="{00000000-0008-0000-1200-00007D090000}"/>
            </a:ext>
          </a:extLst>
        </xdr:cNvPr>
        <xdr:cNvCxnSpPr/>
      </xdr:nvCxnSpPr>
      <xdr:spPr>
        <a:xfrm>
          <a:off x="7598834" y="234357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2430" name="Straight Arrow Connector 2429">
          <a:extLst>
            <a:ext uri="{FF2B5EF4-FFF2-40B4-BE49-F238E27FC236}">
              <a16:creationId xmlns:a16="http://schemas.microsoft.com/office/drawing/2014/main" id="{00000000-0008-0000-1200-00007E090000}"/>
            </a:ext>
          </a:extLst>
        </xdr:cNvPr>
        <xdr:cNvCxnSpPr/>
      </xdr:nvCxnSpPr>
      <xdr:spPr>
        <a:xfrm flipV="1">
          <a:off x="8794750" y="232431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2431" name="Straight Arrow Connector 2430">
          <a:extLst>
            <a:ext uri="{FF2B5EF4-FFF2-40B4-BE49-F238E27FC236}">
              <a16:creationId xmlns:a16="http://schemas.microsoft.com/office/drawing/2014/main" id="{00000000-0008-0000-1200-00007F090000}"/>
            </a:ext>
          </a:extLst>
        </xdr:cNvPr>
        <xdr:cNvCxnSpPr/>
      </xdr:nvCxnSpPr>
      <xdr:spPr>
        <a:xfrm>
          <a:off x="8784166" y="233383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2432" name="Straight Arrow Connector 2431">
          <a:extLst>
            <a:ext uri="{FF2B5EF4-FFF2-40B4-BE49-F238E27FC236}">
              <a16:creationId xmlns:a16="http://schemas.microsoft.com/office/drawing/2014/main" id="{00000000-0008-0000-1200-000080090000}"/>
            </a:ext>
          </a:extLst>
        </xdr:cNvPr>
        <xdr:cNvCxnSpPr/>
      </xdr:nvCxnSpPr>
      <xdr:spPr>
        <a:xfrm flipV="1">
          <a:off x="8794750" y="236431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2433" name="Straight Arrow Connector 2432">
          <a:extLst>
            <a:ext uri="{FF2B5EF4-FFF2-40B4-BE49-F238E27FC236}">
              <a16:creationId xmlns:a16="http://schemas.microsoft.com/office/drawing/2014/main" id="{00000000-0008-0000-1200-000081090000}"/>
            </a:ext>
          </a:extLst>
        </xdr:cNvPr>
        <xdr:cNvCxnSpPr/>
      </xdr:nvCxnSpPr>
      <xdr:spPr>
        <a:xfrm>
          <a:off x="8805333" y="237363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2434" name="Straight Arrow Connector 2433">
          <a:extLst>
            <a:ext uri="{FF2B5EF4-FFF2-40B4-BE49-F238E27FC236}">
              <a16:creationId xmlns:a16="http://schemas.microsoft.com/office/drawing/2014/main" id="{00000000-0008-0000-1200-000082090000}"/>
            </a:ext>
          </a:extLst>
        </xdr:cNvPr>
        <xdr:cNvCxnSpPr/>
      </xdr:nvCxnSpPr>
      <xdr:spPr>
        <a:xfrm>
          <a:off x="10593916" y="231743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1661</xdr:row>
      <xdr:rowOff>52916</xdr:rowOff>
    </xdr:from>
    <xdr:to>
      <xdr:col>16</xdr:col>
      <xdr:colOff>0</xdr:colOff>
      <xdr:row>1663</xdr:row>
      <xdr:rowOff>0</xdr:rowOff>
    </xdr:to>
    <xdr:cxnSp macro="">
      <xdr:nvCxnSpPr>
        <xdr:cNvPr id="2435" name="Straight Arrow Connector 2434">
          <a:extLst>
            <a:ext uri="{FF2B5EF4-FFF2-40B4-BE49-F238E27FC236}">
              <a16:creationId xmlns:a16="http://schemas.microsoft.com/office/drawing/2014/main" id="{00000000-0008-0000-1200-000083090000}"/>
            </a:ext>
          </a:extLst>
        </xdr:cNvPr>
        <xdr:cNvCxnSpPr/>
      </xdr:nvCxnSpPr>
      <xdr:spPr>
        <a:xfrm flipV="1">
          <a:off x="10541000" y="233415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2436" name="Straight Arrow Connector 2435">
          <a:extLst>
            <a:ext uri="{FF2B5EF4-FFF2-40B4-BE49-F238E27FC236}">
              <a16:creationId xmlns:a16="http://schemas.microsoft.com/office/drawing/2014/main" id="{00000000-0008-0000-1200-000084090000}"/>
            </a:ext>
          </a:extLst>
        </xdr:cNvPr>
        <xdr:cNvCxnSpPr/>
      </xdr:nvCxnSpPr>
      <xdr:spPr>
        <a:xfrm>
          <a:off x="10530417" y="233764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2437" name="Straight Arrow Connector 2436">
          <a:extLst>
            <a:ext uri="{FF2B5EF4-FFF2-40B4-BE49-F238E27FC236}">
              <a16:creationId xmlns:a16="http://schemas.microsoft.com/office/drawing/2014/main" id="{00000000-0008-0000-1200-000085090000}"/>
            </a:ext>
          </a:extLst>
        </xdr:cNvPr>
        <xdr:cNvCxnSpPr/>
      </xdr:nvCxnSpPr>
      <xdr:spPr>
        <a:xfrm>
          <a:off x="10530417" y="233743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2438" name="Straight Arrow Connector 2437">
          <a:extLst>
            <a:ext uri="{FF2B5EF4-FFF2-40B4-BE49-F238E27FC236}">
              <a16:creationId xmlns:a16="http://schemas.microsoft.com/office/drawing/2014/main" id="{00000000-0008-0000-1200-000086090000}"/>
            </a:ext>
          </a:extLst>
        </xdr:cNvPr>
        <xdr:cNvCxnSpPr/>
      </xdr:nvCxnSpPr>
      <xdr:spPr>
        <a:xfrm flipV="1">
          <a:off x="10530417" y="236029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2439" name="Straight Arrow Connector 2438">
          <a:extLst>
            <a:ext uri="{FF2B5EF4-FFF2-40B4-BE49-F238E27FC236}">
              <a16:creationId xmlns:a16="http://schemas.microsoft.com/office/drawing/2014/main" id="{00000000-0008-0000-1200-000087090000}"/>
            </a:ext>
          </a:extLst>
        </xdr:cNvPr>
        <xdr:cNvCxnSpPr/>
      </xdr:nvCxnSpPr>
      <xdr:spPr>
        <a:xfrm>
          <a:off x="10572750" y="236421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2440" name="Straight Arrow Connector 2439">
          <a:extLst>
            <a:ext uri="{FF2B5EF4-FFF2-40B4-BE49-F238E27FC236}">
              <a16:creationId xmlns:a16="http://schemas.microsoft.com/office/drawing/2014/main" id="{00000000-0008-0000-1200-000088090000}"/>
            </a:ext>
          </a:extLst>
        </xdr:cNvPr>
        <xdr:cNvCxnSpPr/>
      </xdr:nvCxnSpPr>
      <xdr:spPr>
        <a:xfrm>
          <a:off x="10551583" y="236421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2441" name="Straight Arrow Connector 2440">
          <a:extLst>
            <a:ext uri="{FF2B5EF4-FFF2-40B4-BE49-F238E27FC236}">
              <a16:creationId xmlns:a16="http://schemas.microsoft.com/office/drawing/2014/main" id="{00000000-0008-0000-1200-000089090000}"/>
            </a:ext>
          </a:extLst>
        </xdr:cNvPr>
        <xdr:cNvCxnSpPr/>
      </xdr:nvCxnSpPr>
      <xdr:spPr>
        <a:xfrm>
          <a:off x="10583333" y="236442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2442" name="Straight Arrow Connector 2441">
          <a:extLst>
            <a:ext uri="{FF2B5EF4-FFF2-40B4-BE49-F238E27FC236}">
              <a16:creationId xmlns:a16="http://schemas.microsoft.com/office/drawing/2014/main" id="{00000000-0008-0000-1200-00008A090000}"/>
            </a:ext>
          </a:extLst>
        </xdr:cNvPr>
        <xdr:cNvCxnSpPr/>
      </xdr:nvCxnSpPr>
      <xdr:spPr>
        <a:xfrm>
          <a:off x="10562166" y="239077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2443" name="Straight Arrow Connector 2442">
          <a:extLst>
            <a:ext uri="{FF2B5EF4-FFF2-40B4-BE49-F238E27FC236}">
              <a16:creationId xmlns:a16="http://schemas.microsoft.com/office/drawing/2014/main" id="{00000000-0008-0000-1200-00008B090000}"/>
            </a:ext>
          </a:extLst>
        </xdr:cNvPr>
        <xdr:cNvCxnSpPr/>
      </xdr:nvCxnSpPr>
      <xdr:spPr>
        <a:xfrm>
          <a:off x="10615083" y="239098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2444" name="Straight Arrow Connector 2443">
          <a:extLst>
            <a:ext uri="{FF2B5EF4-FFF2-40B4-BE49-F238E27FC236}">
              <a16:creationId xmlns:a16="http://schemas.microsoft.com/office/drawing/2014/main" id="{00000000-0008-0000-1200-00008C090000}"/>
            </a:ext>
          </a:extLst>
        </xdr:cNvPr>
        <xdr:cNvCxnSpPr/>
      </xdr:nvCxnSpPr>
      <xdr:spPr>
        <a:xfrm>
          <a:off x="10572750" y="239130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2445" name="Straight Arrow Connector 2444">
          <a:extLst>
            <a:ext uri="{FF2B5EF4-FFF2-40B4-BE49-F238E27FC236}">
              <a16:creationId xmlns:a16="http://schemas.microsoft.com/office/drawing/2014/main" id="{00000000-0008-0000-1200-00008D090000}"/>
            </a:ext>
          </a:extLst>
        </xdr:cNvPr>
        <xdr:cNvCxnSpPr/>
      </xdr:nvCxnSpPr>
      <xdr:spPr>
        <a:xfrm flipV="1">
          <a:off x="10583333" y="238558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2446" name="Straight Arrow Connector 2445">
          <a:extLst>
            <a:ext uri="{FF2B5EF4-FFF2-40B4-BE49-F238E27FC236}">
              <a16:creationId xmlns:a16="http://schemas.microsoft.com/office/drawing/2014/main" id="{00000000-0008-0000-1200-00008E090000}"/>
            </a:ext>
          </a:extLst>
        </xdr:cNvPr>
        <xdr:cNvCxnSpPr/>
      </xdr:nvCxnSpPr>
      <xdr:spPr>
        <a:xfrm>
          <a:off x="5080000" y="247173750"/>
          <a:ext cx="7196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2447" name="Straight Arrow Connector 2446">
          <a:extLst>
            <a:ext uri="{FF2B5EF4-FFF2-40B4-BE49-F238E27FC236}">
              <a16:creationId xmlns:a16="http://schemas.microsoft.com/office/drawing/2014/main" id="{00000000-0008-0000-1200-00008F090000}"/>
            </a:ext>
          </a:extLst>
        </xdr:cNvPr>
        <xdr:cNvCxnSpPr/>
      </xdr:nvCxnSpPr>
      <xdr:spPr>
        <a:xfrm flipV="1">
          <a:off x="6381750" y="24150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2448" name="Straight Arrow Connector 2447">
          <a:extLst>
            <a:ext uri="{FF2B5EF4-FFF2-40B4-BE49-F238E27FC236}">
              <a16:creationId xmlns:a16="http://schemas.microsoft.com/office/drawing/2014/main" id="{00000000-0008-0000-1200-000090090000}"/>
            </a:ext>
          </a:extLst>
        </xdr:cNvPr>
        <xdr:cNvCxnSpPr/>
      </xdr:nvCxnSpPr>
      <xdr:spPr>
        <a:xfrm>
          <a:off x="6413500" y="24307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2449" name="Straight Arrow Connector 2448">
          <a:extLst>
            <a:ext uri="{FF2B5EF4-FFF2-40B4-BE49-F238E27FC236}">
              <a16:creationId xmlns:a16="http://schemas.microsoft.com/office/drawing/2014/main" id="{00000000-0008-0000-1200-000091090000}"/>
            </a:ext>
          </a:extLst>
        </xdr:cNvPr>
        <xdr:cNvCxnSpPr/>
      </xdr:nvCxnSpPr>
      <xdr:spPr>
        <a:xfrm flipV="1">
          <a:off x="7609417" y="24419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2450" name="Straight Arrow Connector 2449">
          <a:extLst>
            <a:ext uri="{FF2B5EF4-FFF2-40B4-BE49-F238E27FC236}">
              <a16:creationId xmlns:a16="http://schemas.microsoft.com/office/drawing/2014/main" id="{00000000-0008-0000-1200-000092090000}"/>
            </a:ext>
          </a:extLst>
        </xdr:cNvPr>
        <xdr:cNvCxnSpPr/>
      </xdr:nvCxnSpPr>
      <xdr:spPr>
        <a:xfrm>
          <a:off x="7598834" y="24521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2451" name="Straight Arrow Connector 2450">
          <a:extLst>
            <a:ext uri="{FF2B5EF4-FFF2-40B4-BE49-F238E27FC236}">
              <a16:creationId xmlns:a16="http://schemas.microsoft.com/office/drawing/2014/main" id="{00000000-0008-0000-1200-000093090000}"/>
            </a:ext>
          </a:extLst>
        </xdr:cNvPr>
        <xdr:cNvCxnSpPr/>
      </xdr:nvCxnSpPr>
      <xdr:spPr>
        <a:xfrm flipV="1">
          <a:off x="8794750" y="2432896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2452" name="Straight Arrow Connector 2451">
          <a:extLst>
            <a:ext uri="{FF2B5EF4-FFF2-40B4-BE49-F238E27FC236}">
              <a16:creationId xmlns:a16="http://schemas.microsoft.com/office/drawing/2014/main" id="{00000000-0008-0000-1200-000094090000}"/>
            </a:ext>
          </a:extLst>
        </xdr:cNvPr>
        <xdr:cNvCxnSpPr/>
      </xdr:nvCxnSpPr>
      <xdr:spPr>
        <a:xfrm>
          <a:off x="8784166" y="2442421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2453" name="Straight Arrow Connector 2452">
          <a:extLst>
            <a:ext uri="{FF2B5EF4-FFF2-40B4-BE49-F238E27FC236}">
              <a16:creationId xmlns:a16="http://schemas.microsoft.com/office/drawing/2014/main" id="{00000000-0008-0000-1200-000095090000}"/>
            </a:ext>
          </a:extLst>
        </xdr:cNvPr>
        <xdr:cNvCxnSpPr/>
      </xdr:nvCxnSpPr>
      <xdr:spPr>
        <a:xfrm flipV="1">
          <a:off x="8794750" y="24729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2454" name="Straight Arrow Connector 2453">
          <a:extLst>
            <a:ext uri="{FF2B5EF4-FFF2-40B4-BE49-F238E27FC236}">
              <a16:creationId xmlns:a16="http://schemas.microsoft.com/office/drawing/2014/main" id="{00000000-0008-0000-1200-000096090000}"/>
            </a:ext>
          </a:extLst>
        </xdr:cNvPr>
        <xdr:cNvCxnSpPr/>
      </xdr:nvCxnSpPr>
      <xdr:spPr>
        <a:xfrm>
          <a:off x="8805333" y="2482215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1704</xdr:row>
      <xdr:rowOff>0</xdr:rowOff>
    </xdr:from>
    <xdr:to>
      <xdr:col>15</xdr:col>
      <xdr:colOff>603250</xdr:colOff>
      <xdr:row>1709</xdr:row>
      <xdr:rowOff>31750</xdr:rowOff>
    </xdr:to>
    <xdr:cxnSp macro="">
      <xdr:nvCxnSpPr>
        <xdr:cNvPr id="2455" name="Straight Arrow Connector 2454">
          <a:extLst>
            <a:ext uri="{FF2B5EF4-FFF2-40B4-BE49-F238E27FC236}">
              <a16:creationId xmlns:a16="http://schemas.microsoft.com/office/drawing/2014/main" id="{00000000-0008-0000-1200-000097090000}"/>
            </a:ext>
          </a:extLst>
        </xdr:cNvPr>
        <xdr:cNvCxnSpPr/>
      </xdr:nvCxnSpPr>
      <xdr:spPr>
        <a:xfrm flipV="1">
          <a:off x="10541000" y="24174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2456" name="Straight Arrow Connector 2455">
          <a:extLst>
            <a:ext uri="{FF2B5EF4-FFF2-40B4-BE49-F238E27FC236}">
              <a16:creationId xmlns:a16="http://schemas.microsoft.com/office/drawing/2014/main" id="{00000000-0008-0000-1200-000098090000}"/>
            </a:ext>
          </a:extLst>
        </xdr:cNvPr>
        <xdr:cNvCxnSpPr/>
      </xdr:nvCxnSpPr>
      <xdr:spPr>
        <a:xfrm flipV="1">
          <a:off x="10583333" y="24236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2457" name="Straight Arrow Connector 2456">
          <a:extLst>
            <a:ext uri="{FF2B5EF4-FFF2-40B4-BE49-F238E27FC236}">
              <a16:creationId xmlns:a16="http://schemas.microsoft.com/office/drawing/2014/main" id="{00000000-0008-0000-1200-000099090000}"/>
            </a:ext>
          </a:extLst>
        </xdr:cNvPr>
        <xdr:cNvCxnSpPr/>
      </xdr:nvCxnSpPr>
      <xdr:spPr>
        <a:xfrm>
          <a:off x="10604500" y="24285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2458" name="Straight Arrow Connector 2457">
          <a:extLst>
            <a:ext uri="{FF2B5EF4-FFF2-40B4-BE49-F238E27FC236}">
              <a16:creationId xmlns:a16="http://schemas.microsoft.com/office/drawing/2014/main" id="{00000000-0008-0000-1200-00009A090000}"/>
            </a:ext>
          </a:extLst>
        </xdr:cNvPr>
        <xdr:cNvCxnSpPr/>
      </xdr:nvCxnSpPr>
      <xdr:spPr>
        <a:xfrm>
          <a:off x="10519834" y="242802834"/>
          <a:ext cx="624416"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1717</xdr:row>
      <xdr:rowOff>52916</xdr:rowOff>
    </xdr:from>
    <xdr:to>
      <xdr:col>16</xdr:col>
      <xdr:colOff>0</xdr:colOff>
      <xdr:row>1719</xdr:row>
      <xdr:rowOff>0</xdr:rowOff>
    </xdr:to>
    <xdr:cxnSp macro="">
      <xdr:nvCxnSpPr>
        <xdr:cNvPr id="2459" name="Straight Arrow Connector 2458">
          <a:extLst>
            <a:ext uri="{FF2B5EF4-FFF2-40B4-BE49-F238E27FC236}">
              <a16:creationId xmlns:a16="http://schemas.microsoft.com/office/drawing/2014/main" id="{00000000-0008-0000-1200-00009B090000}"/>
            </a:ext>
          </a:extLst>
        </xdr:cNvPr>
        <xdr:cNvCxnSpPr/>
      </xdr:nvCxnSpPr>
      <xdr:spPr>
        <a:xfrm flipV="1">
          <a:off x="10541000" y="2442739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2460" name="Straight Arrow Connector 2459">
          <a:extLst>
            <a:ext uri="{FF2B5EF4-FFF2-40B4-BE49-F238E27FC236}">
              <a16:creationId xmlns:a16="http://schemas.microsoft.com/office/drawing/2014/main" id="{00000000-0008-0000-1200-00009C090000}"/>
            </a:ext>
          </a:extLst>
        </xdr:cNvPr>
        <xdr:cNvCxnSpPr/>
      </xdr:nvCxnSpPr>
      <xdr:spPr>
        <a:xfrm>
          <a:off x="10551583" y="24462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2461" name="Straight Arrow Connector 2460">
          <a:extLst>
            <a:ext uri="{FF2B5EF4-FFF2-40B4-BE49-F238E27FC236}">
              <a16:creationId xmlns:a16="http://schemas.microsoft.com/office/drawing/2014/main" id="{00000000-0008-0000-1200-00009D090000}"/>
            </a:ext>
          </a:extLst>
        </xdr:cNvPr>
        <xdr:cNvCxnSpPr/>
      </xdr:nvCxnSpPr>
      <xdr:spPr>
        <a:xfrm>
          <a:off x="10530417" y="244623167"/>
          <a:ext cx="656166"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2462" name="Straight Arrow Connector 2461">
          <a:extLst>
            <a:ext uri="{FF2B5EF4-FFF2-40B4-BE49-F238E27FC236}">
              <a16:creationId xmlns:a16="http://schemas.microsoft.com/office/drawing/2014/main" id="{00000000-0008-0000-1200-00009E090000}"/>
            </a:ext>
          </a:extLst>
        </xdr:cNvPr>
        <xdr:cNvCxnSpPr/>
      </xdr:nvCxnSpPr>
      <xdr:spPr>
        <a:xfrm>
          <a:off x="10541000" y="244633750"/>
          <a:ext cx="645584"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2463" name="Straight Arrow Connector 2462">
          <a:extLst>
            <a:ext uri="{FF2B5EF4-FFF2-40B4-BE49-F238E27FC236}">
              <a16:creationId xmlns:a16="http://schemas.microsoft.com/office/drawing/2014/main" id="{00000000-0008-0000-1200-00009F090000}"/>
            </a:ext>
          </a:extLst>
        </xdr:cNvPr>
        <xdr:cNvCxnSpPr/>
      </xdr:nvCxnSpPr>
      <xdr:spPr>
        <a:xfrm flipV="1">
          <a:off x="6392333" y="25188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2464" name="Straight Arrow Connector 2463">
          <a:extLst>
            <a:ext uri="{FF2B5EF4-FFF2-40B4-BE49-F238E27FC236}">
              <a16:creationId xmlns:a16="http://schemas.microsoft.com/office/drawing/2014/main" id="{00000000-0008-0000-1200-0000A0090000}"/>
            </a:ext>
          </a:extLst>
        </xdr:cNvPr>
        <xdr:cNvCxnSpPr/>
      </xdr:nvCxnSpPr>
      <xdr:spPr>
        <a:xfrm>
          <a:off x="6413500" y="25391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2465" name="Straight Arrow Connector 2464">
          <a:extLst>
            <a:ext uri="{FF2B5EF4-FFF2-40B4-BE49-F238E27FC236}">
              <a16:creationId xmlns:a16="http://schemas.microsoft.com/office/drawing/2014/main" id="{00000000-0008-0000-1200-0000A1090000}"/>
            </a:ext>
          </a:extLst>
        </xdr:cNvPr>
        <xdr:cNvCxnSpPr/>
      </xdr:nvCxnSpPr>
      <xdr:spPr>
        <a:xfrm flipV="1">
          <a:off x="7556500" y="255047750"/>
          <a:ext cx="603250"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2466" name="Straight Arrow Connector 2465">
          <a:extLst>
            <a:ext uri="{FF2B5EF4-FFF2-40B4-BE49-F238E27FC236}">
              <a16:creationId xmlns:a16="http://schemas.microsoft.com/office/drawing/2014/main" id="{00000000-0008-0000-1200-0000A2090000}"/>
            </a:ext>
          </a:extLst>
        </xdr:cNvPr>
        <xdr:cNvCxnSpPr/>
      </xdr:nvCxnSpPr>
      <xdr:spPr>
        <a:xfrm flipV="1">
          <a:off x="10530417" y="24688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2467" name="Straight Arrow Connector 2466">
          <a:extLst>
            <a:ext uri="{FF2B5EF4-FFF2-40B4-BE49-F238E27FC236}">
              <a16:creationId xmlns:a16="http://schemas.microsoft.com/office/drawing/2014/main" id="{00000000-0008-0000-1200-0000A3090000}"/>
            </a:ext>
          </a:extLst>
        </xdr:cNvPr>
        <xdr:cNvCxnSpPr/>
      </xdr:nvCxnSpPr>
      <xdr:spPr>
        <a:xfrm>
          <a:off x="10572750" y="24727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2468" name="Straight Arrow Connector 2467">
          <a:extLst>
            <a:ext uri="{FF2B5EF4-FFF2-40B4-BE49-F238E27FC236}">
              <a16:creationId xmlns:a16="http://schemas.microsoft.com/office/drawing/2014/main" id="{00000000-0008-0000-1200-0000A4090000}"/>
            </a:ext>
          </a:extLst>
        </xdr:cNvPr>
        <xdr:cNvCxnSpPr/>
      </xdr:nvCxnSpPr>
      <xdr:spPr>
        <a:xfrm>
          <a:off x="10551583" y="24727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2469" name="Straight Arrow Connector 2468">
          <a:extLst>
            <a:ext uri="{FF2B5EF4-FFF2-40B4-BE49-F238E27FC236}">
              <a16:creationId xmlns:a16="http://schemas.microsoft.com/office/drawing/2014/main" id="{00000000-0008-0000-1200-0000A5090000}"/>
            </a:ext>
          </a:extLst>
        </xdr:cNvPr>
        <xdr:cNvCxnSpPr/>
      </xdr:nvCxnSpPr>
      <xdr:spPr>
        <a:xfrm>
          <a:off x="10583333" y="2473007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2470" name="Straight Arrow Connector 2469">
          <a:extLst>
            <a:ext uri="{FF2B5EF4-FFF2-40B4-BE49-F238E27FC236}">
              <a16:creationId xmlns:a16="http://schemas.microsoft.com/office/drawing/2014/main" id="{00000000-0008-0000-1200-0000A6090000}"/>
            </a:ext>
          </a:extLst>
        </xdr:cNvPr>
        <xdr:cNvCxnSpPr/>
      </xdr:nvCxnSpPr>
      <xdr:spPr>
        <a:xfrm>
          <a:off x="10562166" y="2499360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2471" name="Straight Arrow Connector 2470">
          <a:extLst>
            <a:ext uri="{FF2B5EF4-FFF2-40B4-BE49-F238E27FC236}">
              <a16:creationId xmlns:a16="http://schemas.microsoft.com/office/drawing/2014/main" id="{00000000-0008-0000-1200-0000A7090000}"/>
            </a:ext>
          </a:extLst>
        </xdr:cNvPr>
        <xdr:cNvCxnSpPr/>
      </xdr:nvCxnSpPr>
      <xdr:spPr>
        <a:xfrm>
          <a:off x="10615083" y="24995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2472" name="Straight Arrow Connector 2471">
          <a:extLst>
            <a:ext uri="{FF2B5EF4-FFF2-40B4-BE49-F238E27FC236}">
              <a16:creationId xmlns:a16="http://schemas.microsoft.com/office/drawing/2014/main" id="{00000000-0008-0000-1200-0000A8090000}"/>
            </a:ext>
          </a:extLst>
        </xdr:cNvPr>
        <xdr:cNvCxnSpPr/>
      </xdr:nvCxnSpPr>
      <xdr:spPr>
        <a:xfrm>
          <a:off x="10572750" y="24998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2473" name="Straight Arrow Connector 2472">
          <a:extLst>
            <a:ext uri="{FF2B5EF4-FFF2-40B4-BE49-F238E27FC236}">
              <a16:creationId xmlns:a16="http://schemas.microsoft.com/office/drawing/2014/main" id="{00000000-0008-0000-1200-0000A9090000}"/>
            </a:ext>
          </a:extLst>
        </xdr:cNvPr>
        <xdr:cNvCxnSpPr/>
      </xdr:nvCxnSpPr>
      <xdr:spPr>
        <a:xfrm flipV="1">
          <a:off x="10562166" y="25271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2474" name="Straight Arrow Connector 2473">
          <a:extLst>
            <a:ext uri="{FF2B5EF4-FFF2-40B4-BE49-F238E27FC236}">
              <a16:creationId xmlns:a16="http://schemas.microsoft.com/office/drawing/2014/main" id="{00000000-0008-0000-1200-0000AA090000}"/>
            </a:ext>
          </a:extLst>
        </xdr:cNvPr>
        <xdr:cNvCxnSpPr/>
      </xdr:nvCxnSpPr>
      <xdr:spPr>
        <a:xfrm flipV="1">
          <a:off x="10604500" y="25307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2475" name="Straight Arrow Connector 2474">
          <a:extLst>
            <a:ext uri="{FF2B5EF4-FFF2-40B4-BE49-F238E27FC236}">
              <a16:creationId xmlns:a16="http://schemas.microsoft.com/office/drawing/2014/main" id="{00000000-0008-0000-1200-0000AB090000}"/>
            </a:ext>
          </a:extLst>
        </xdr:cNvPr>
        <xdr:cNvCxnSpPr/>
      </xdr:nvCxnSpPr>
      <xdr:spPr>
        <a:xfrm>
          <a:off x="10593916" y="25348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2476" name="Straight Arrow Connector 2475">
          <a:extLst>
            <a:ext uri="{FF2B5EF4-FFF2-40B4-BE49-F238E27FC236}">
              <a16:creationId xmlns:a16="http://schemas.microsoft.com/office/drawing/2014/main" id="{00000000-0008-0000-1200-0000AC090000}"/>
            </a:ext>
          </a:extLst>
        </xdr:cNvPr>
        <xdr:cNvCxnSpPr/>
      </xdr:nvCxnSpPr>
      <xdr:spPr>
        <a:xfrm>
          <a:off x="10572750" y="255576916"/>
          <a:ext cx="571500"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2477" name="Straight Arrow Connector 2476">
          <a:extLst>
            <a:ext uri="{FF2B5EF4-FFF2-40B4-BE49-F238E27FC236}">
              <a16:creationId xmlns:a16="http://schemas.microsoft.com/office/drawing/2014/main" id="{00000000-0008-0000-1200-0000AD090000}"/>
            </a:ext>
          </a:extLst>
        </xdr:cNvPr>
        <xdr:cNvCxnSpPr/>
      </xdr:nvCxnSpPr>
      <xdr:spPr>
        <a:xfrm flipV="1">
          <a:off x="10583333" y="24941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2478" name="Straight Arrow Connector 2477">
          <a:extLst>
            <a:ext uri="{FF2B5EF4-FFF2-40B4-BE49-F238E27FC236}">
              <a16:creationId xmlns:a16="http://schemas.microsoft.com/office/drawing/2014/main" id="{00000000-0008-0000-1200-0000AE090000}"/>
            </a:ext>
          </a:extLst>
        </xdr:cNvPr>
        <xdr:cNvCxnSpPr/>
      </xdr:nvCxnSpPr>
      <xdr:spPr>
        <a:xfrm>
          <a:off x="7598834" y="25607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2479" name="Straight Arrow Connector 2478">
          <a:extLst>
            <a:ext uri="{FF2B5EF4-FFF2-40B4-BE49-F238E27FC236}">
              <a16:creationId xmlns:a16="http://schemas.microsoft.com/office/drawing/2014/main" id="{00000000-0008-0000-1200-0000AF090000}"/>
            </a:ext>
          </a:extLst>
        </xdr:cNvPr>
        <xdr:cNvCxnSpPr/>
      </xdr:nvCxnSpPr>
      <xdr:spPr>
        <a:xfrm flipV="1">
          <a:off x="8794750" y="254148167"/>
          <a:ext cx="592667"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2480" name="Straight Arrow Connector 2479">
          <a:extLst>
            <a:ext uri="{FF2B5EF4-FFF2-40B4-BE49-F238E27FC236}">
              <a16:creationId xmlns:a16="http://schemas.microsoft.com/office/drawing/2014/main" id="{00000000-0008-0000-1200-0000B0090000}"/>
            </a:ext>
          </a:extLst>
        </xdr:cNvPr>
        <xdr:cNvCxnSpPr/>
      </xdr:nvCxnSpPr>
      <xdr:spPr>
        <a:xfrm>
          <a:off x="8784166" y="255100666"/>
          <a:ext cx="60325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2481" name="Straight Arrow Connector 2480">
          <a:extLst>
            <a:ext uri="{FF2B5EF4-FFF2-40B4-BE49-F238E27FC236}">
              <a16:creationId xmlns:a16="http://schemas.microsoft.com/office/drawing/2014/main" id="{00000000-0008-0000-1200-0000B1090000}"/>
            </a:ext>
          </a:extLst>
        </xdr:cNvPr>
        <xdr:cNvCxnSpPr/>
      </xdr:nvCxnSpPr>
      <xdr:spPr>
        <a:xfrm flipV="1">
          <a:off x="8794750" y="25814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2482" name="Straight Arrow Connector 2481">
          <a:extLst>
            <a:ext uri="{FF2B5EF4-FFF2-40B4-BE49-F238E27FC236}">
              <a16:creationId xmlns:a16="http://schemas.microsoft.com/office/drawing/2014/main" id="{00000000-0008-0000-1200-0000B2090000}"/>
            </a:ext>
          </a:extLst>
        </xdr:cNvPr>
        <xdr:cNvCxnSpPr/>
      </xdr:nvCxnSpPr>
      <xdr:spPr>
        <a:xfrm>
          <a:off x="8805333" y="259080000"/>
          <a:ext cx="603251"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2483" name="Straight Arrow Connector 2482">
          <a:extLst>
            <a:ext uri="{FF2B5EF4-FFF2-40B4-BE49-F238E27FC236}">
              <a16:creationId xmlns:a16="http://schemas.microsoft.com/office/drawing/2014/main" id="{00000000-0008-0000-1200-0000B3090000}"/>
            </a:ext>
          </a:extLst>
        </xdr:cNvPr>
        <xdr:cNvCxnSpPr/>
      </xdr:nvCxnSpPr>
      <xdr:spPr>
        <a:xfrm>
          <a:off x="10593916" y="25346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1773</xdr:row>
      <xdr:rowOff>52916</xdr:rowOff>
    </xdr:from>
    <xdr:to>
      <xdr:col>16</xdr:col>
      <xdr:colOff>0</xdr:colOff>
      <xdr:row>1775</xdr:row>
      <xdr:rowOff>0</xdr:rowOff>
    </xdr:to>
    <xdr:cxnSp macro="">
      <xdr:nvCxnSpPr>
        <xdr:cNvPr id="2484" name="Straight Arrow Connector 2483">
          <a:extLst>
            <a:ext uri="{FF2B5EF4-FFF2-40B4-BE49-F238E27FC236}">
              <a16:creationId xmlns:a16="http://schemas.microsoft.com/office/drawing/2014/main" id="{00000000-0008-0000-1200-0000B4090000}"/>
            </a:ext>
          </a:extLst>
        </xdr:cNvPr>
        <xdr:cNvCxnSpPr/>
      </xdr:nvCxnSpPr>
      <xdr:spPr>
        <a:xfrm flipV="1">
          <a:off x="10541000" y="255132416"/>
          <a:ext cx="603250"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2485" name="Straight Arrow Connector 2484">
          <a:extLst>
            <a:ext uri="{FF2B5EF4-FFF2-40B4-BE49-F238E27FC236}">
              <a16:creationId xmlns:a16="http://schemas.microsoft.com/office/drawing/2014/main" id="{00000000-0008-0000-1200-0000B5090000}"/>
            </a:ext>
          </a:extLst>
        </xdr:cNvPr>
        <xdr:cNvCxnSpPr/>
      </xdr:nvCxnSpPr>
      <xdr:spPr>
        <a:xfrm>
          <a:off x="10530417" y="25548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2486" name="Straight Arrow Connector 2485">
          <a:extLst>
            <a:ext uri="{FF2B5EF4-FFF2-40B4-BE49-F238E27FC236}">
              <a16:creationId xmlns:a16="http://schemas.microsoft.com/office/drawing/2014/main" id="{00000000-0008-0000-1200-0000B6090000}"/>
            </a:ext>
          </a:extLst>
        </xdr:cNvPr>
        <xdr:cNvCxnSpPr/>
      </xdr:nvCxnSpPr>
      <xdr:spPr>
        <a:xfrm>
          <a:off x="10530417" y="255460500"/>
          <a:ext cx="613833"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2487" name="Straight Arrow Connector 2486">
          <a:extLst>
            <a:ext uri="{FF2B5EF4-FFF2-40B4-BE49-F238E27FC236}">
              <a16:creationId xmlns:a16="http://schemas.microsoft.com/office/drawing/2014/main" id="{00000000-0008-0000-1200-0000B7090000}"/>
            </a:ext>
          </a:extLst>
        </xdr:cNvPr>
        <xdr:cNvCxnSpPr/>
      </xdr:nvCxnSpPr>
      <xdr:spPr>
        <a:xfrm flipV="1">
          <a:off x="10530417" y="257746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2488" name="Straight Arrow Connector 2487">
          <a:extLst>
            <a:ext uri="{FF2B5EF4-FFF2-40B4-BE49-F238E27FC236}">
              <a16:creationId xmlns:a16="http://schemas.microsoft.com/office/drawing/2014/main" id="{00000000-0008-0000-1200-0000B8090000}"/>
            </a:ext>
          </a:extLst>
        </xdr:cNvPr>
        <xdr:cNvCxnSpPr/>
      </xdr:nvCxnSpPr>
      <xdr:spPr>
        <a:xfrm>
          <a:off x="10572750" y="258138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2489" name="Straight Arrow Connector 2488">
          <a:extLst>
            <a:ext uri="{FF2B5EF4-FFF2-40B4-BE49-F238E27FC236}">
              <a16:creationId xmlns:a16="http://schemas.microsoft.com/office/drawing/2014/main" id="{00000000-0008-0000-1200-0000B9090000}"/>
            </a:ext>
          </a:extLst>
        </xdr:cNvPr>
        <xdr:cNvCxnSpPr/>
      </xdr:nvCxnSpPr>
      <xdr:spPr>
        <a:xfrm>
          <a:off x="10551583" y="25813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2490" name="Straight Arrow Connector 2489">
          <a:extLst>
            <a:ext uri="{FF2B5EF4-FFF2-40B4-BE49-F238E27FC236}">
              <a16:creationId xmlns:a16="http://schemas.microsoft.com/office/drawing/2014/main" id="{00000000-0008-0000-1200-0000BA090000}"/>
            </a:ext>
          </a:extLst>
        </xdr:cNvPr>
        <xdr:cNvCxnSpPr/>
      </xdr:nvCxnSpPr>
      <xdr:spPr>
        <a:xfrm>
          <a:off x="10583333" y="258159250"/>
          <a:ext cx="582084"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2491" name="Straight Arrow Connector 2490">
          <a:extLst>
            <a:ext uri="{FF2B5EF4-FFF2-40B4-BE49-F238E27FC236}">
              <a16:creationId xmlns:a16="http://schemas.microsoft.com/office/drawing/2014/main" id="{00000000-0008-0000-1200-0000BB090000}"/>
            </a:ext>
          </a:extLst>
        </xdr:cNvPr>
        <xdr:cNvCxnSpPr/>
      </xdr:nvCxnSpPr>
      <xdr:spPr>
        <a:xfrm>
          <a:off x="10562166" y="260794500"/>
          <a:ext cx="582084"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2492" name="Straight Arrow Connector 2491">
          <a:extLst>
            <a:ext uri="{FF2B5EF4-FFF2-40B4-BE49-F238E27FC236}">
              <a16:creationId xmlns:a16="http://schemas.microsoft.com/office/drawing/2014/main" id="{00000000-0008-0000-1200-0000BC090000}"/>
            </a:ext>
          </a:extLst>
        </xdr:cNvPr>
        <xdr:cNvCxnSpPr/>
      </xdr:nvCxnSpPr>
      <xdr:spPr>
        <a:xfrm>
          <a:off x="10615083" y="26081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2493" name="Straight Arrow Connector 2492">
          <a:extLst>
            <a:ext uri="{FF2B5EF4-FFF2-40B4-BE49-F238E27FC236}">
              <a16:creationId xmlns:a16="http://schemas.microsoft.com/office/drawing/2014/main" id="{00000000-0008-0000-1200-0000BD090000}"/>
            </a:ext>
          </a:extLst>
        </xdr:cNvPr>
        <xdr:cNvCxnSpPr/>
      </xdr:nvCxnSpPr>
      <xdr:spPr>
        <a:xfrm>
          <a:off x="10572750" y="26084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2494" name="Straight Arrow Connector 2493">
          <a:extLst>
            <a:ext uri="{FF2B5EF4-FFF2-40B4-BE49-F238E27FC236}">
              <a16:creationId xmlns:a16="http://schemas.microsoft.com/office/drawing/2014/main" id="{00000000-0008-0000-1200-0000BE090000}"/>
            </a:ext>
          </a:extLst>
        </xdr:cNvPr>
        <xdr:cNvCxnSpPr/>
      </xdr:nvCxnSpPr>
      <xdr:spPr>
        <a:xfrm flipV="1">
          <a:off x="10583333" y="26027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2495" name="Straight Arrow Connector 2494">
          <a:extLst>
            <a:ext uri="{FF2B5EF4-FFF2-40B4-BE49-F238E27FC236}">
              <a16:creationId xmlns:a16="http://schemas.microsoft.com/office/drawing/2014/main" id="{00000000-0008-0000-1200-0000BF090000}"/>
            </a:ext>
          </a:extLst>
        </xdr:cNvPr>
        <xdr:cNvCxnSpPr/>
      </xdr:nvCxnSpPr>
      <xdr:spPr>
        <a:xfrm flipV="1">
          <a:off x="5207000" y="243014500"/>
          <a:ext cx="635000"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194</xdr:row>
      <xdr:rowOff>116416</xdr:rowOff>
    </xdr:from>
    <xdr:to>
      <xdr:col>16</xdr:col>
      <xdr:colOff>0</xdr:colOff>
      <xdr:row>201</xdr:row>
      <xdr:rowOff>74084</xdr:rowOff>
    </xdr:to>
    <xdr:cxnSp macro="">
      <xdr:nvCxnSpPr>
        <xdr:cNvPr id="2523" name="Straight Arrow Connector 2522">
          <a:extLst>
            <a:ext uri="{FF2B5EF4-FFF2-40B4-BE49-F238E27FC236}">
              <a16:creationId xmlns:a16="http://schemas.microsoft.com/office/drawing/2014/main" id="{00000000-0008-0000-1200-0000DB090000}"/>
            </a:ext>
          </a:extLst>
        </xdr:cNvPr>
        <xdr:cNvCxnSpPr/>
      </xdr:nvCxnSpPr>
      <xdr:spPr>
        <a:xfrm>
          <a:off x="11313583" y="15546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207</xdr:row>
      <xdr:rowOff>31750</xdr:rowOff>
    </xdr:from>
    <xdr:to>
      <xdr:col>16</xdr:col>
      <xdr:colOff>21167</xdr:colOff>
      <xdr:row>214</xdr:row>
      <xdr:rowOff>95250</xdr:rowOff>
    </xdr:to>
    <xdr:cxnSp macro="">
      <xdr:nvCxnSpPr>
        <xdr:cNvPr id="2537" name="Straight Arrow Connector 2536">
          <a:extLst>
            <a:ext uri="{FF2B5EF4-FFF2-40B4-BE49-F238E27FC236}">
              <a16:creationId xmlns:a16="http://schemas.microsoft.com/office/drawing/2014/main" id="{00000000-0008-0000-1200-0000E9090000}"/>
            </a:ext>
          </a:extLst>
        </xdr:cNvPr>
        <xdr:cNvCxnSpPr/>
      </xdr:nvCxnSpPr>
      <xdr:spPr>
        <a:xfrm>
          <a:off x="11324166" y="18129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333</xdr:row>
      <xdr:rowOff>21167</xdr:rowOff>
    </xdr:from>
    <xdr:to>
      <xdr:col>15</xdr:col>
      <xdr:colOff>592666</xdr:colOff>
      <xdr:row>334</xdr:row>
      <xdr:rowOff>84667</xdr:rowOff>
    </xdr:to>
    <xdr:cxnSp macro="">
      <xdr:nvCxnSpPr>
        <xdr:cNvPr id="2548" name="Straight Arrow Connector 2547">
          <a:extLst>
            <a:ext uri="{FF2B5EF4-FFF2-40B4-BE49-F238E27FC236}">
              <a16:creationId xmlns:a16="http://schemas.microsoft.com/office/drawing/2014/main" id="{00000000-0008-0000-1200-0000F4090000}"/>
            </a:ext>
          </a:extLst>
        </xdr:cNvPr>
        <xdr:cNvCxnSpPr/>
      </xdr:nvCxnSpPr>
      <xdr:spPr>
        <a:xfrm>
          <a:off x="11271250"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418</xdr:row>
      <xdr:rowOff>116416</xdr:rowOff>
    </xdr:from>
    <xdr:to>
      <xdr:col>16</xdr:col>
      <xdr:colOff>0</xdr:colOff>
      <xdr:row>425</xdr:row>
      <xdr:rowOff>74084</xdr:rowOff>
    </xdr:to>
    <xdr:cxnSp macro="">
      <xdr:nvCxnSpPr>
        <xdr:cNvPr id="2580" name="Straight Arrow Connector 2579">
          <a:extLst>
            <a:ext uri="{FF2B5EF4-FFF2-40B4-BE49-F238E27FC236}">
              <a16:creationId xmlns:a16="http://schemas.microsoft.com/office/drawing/2014/main" id="{00000000-0008-0000-1200-0000140A0000}"/>
            </a:ext>
          </a:extLst>
        </xdr:cNvPr>
        <xdr:cNvCxnSpPr/>
      </xdr:nvCxnSpPr>
      <xdr:spPr>
        <a:xfrm>
          <a:off x="11313583" y="58980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418</xdr:row>
      <xdr:rowOff>0</xdr:rowOff>
    </xdr:from>
    <xdr:to>
      <xdr:col>16</xdr:col>
      <xdr:colOff>0</xdr:colOff>
      <xdr:row>422</xdr:row>
      <xdr:rowOff>42334</xdr:rowOff>
    </xdr:to>
    <xdr:cxnSp macro="">
      <xdr:nvCxnSpPr>
        <xdr:cNvPr id="2590" name="Straight Arrow Connector 2589">
          <a:extLst>
            <a:ext uri="{FF2B5EF4-FFF2-40B4-BE49-F238E27FC236}">
              <a16:creationId xmlns:a16="http://schemas.microsoft.com/office/drawing/2014/main" id="{00000000-0008-0000-1200-00001E0A0000}"/>
            </a:ext>
          </a:extLst>
        </xdr:cNvPr>
        <xdr:cNvCxnSpPr/>
      </xdr:nvCxnSpPr>
      <xdr:spPr>
        <a:xfrm>
          <a:off x="11271250" y="58864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459</xdr:row>
      <xdr:rowOff>10584</xdr:rowOff>
    </xdr:from>
    <xdr:to>
      <xdr:col>1</xdr:col>
      <xdr:colOff>603250</xdr:colOff>
      <xdr:row>552</xdr:row>
      <xdr:rowOff>158750</xdr:rowOff>
    </xdr:to>
    <xdr:cxnSp macro="">
      <xdr:nvCxnSpPr>
        <xdr:cNvPr id="2610" name="Straight Arrow Connector 2609">
          <a:extLst>
            <a:ext uri="{FF2B5EF4-FFF2-40B4-BE49-F238E27FC236}">
              <a16:creationId xmlns:a16="http://schemas.microsoft.com/office/drawing/2014/main" id="{00000000-0008-0000-1200-0000320A0000}"/>
            </a:ext>
          </a:extLst>
        </xdr:cNvPr>
        <xdr:cNvCxnSpPr/>
      </xdr:nvCxnSpPr>
      <xdr:spPr>
        <a:xfrm flipV="1">
          <a:off x="603250" y="963084"/>
          <a:ext cx="613833"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555</xdr:row>
      <xdr:rowOff>169333</xdr:rowOff>
    </xdr:from>
    <xdr:to>
      <xdr:col>1</xdr:col>
      <xdr:colOff>603250</xdr:colOff>
      <xdr:row>597</xdr:row>
      <xdr:rowOff>148167</xdr:rowOff>
    </xdr:to>
    <xdr:cxnSp macro="">
      <xdr:nvCxnSpPr>
        <xdr:cNvPr id="2611" name="Straight Arrow Connector 2610">
          <a:extLst>
            <a:ext uri="{FF2B5EF4-FFF2-40B4-BE49-F238E27FC236}">
              <a16:creationId xmlns:a16="http://schemas.microsoft.com/office/drawing/2014/main" id="{00000000-0008-0000-1200-0000330A0000}"/>
            </a:ext>
          </a:extLst>
        </xdr:cNvPr>
        <xdr:cNvCxnSpPr/>
      </xdr:nvCxnSpPr>
      <xdr:spPr>
        <a:xfrm>
          <a:off x="603250" y="19790833"/>
          <a:ext cx="613833"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531</xdr:row>
      <xdr:rowOff>158750</xdr:rowOff>
    </xdr:from>
    <xdr:to>
      <xdr:col>3</xdr:col>
      <xdr:colOff>603250</xdr:colOff>
      <xdr:row>598</xdr:row>
      <xdr:rowOff>10583</xdr:rowOff>
    </xdr:to>
    <xdr:cxnSp macro="">
      <xdr:nvCxnSpPr>
        <xdr:cNvPr id="2612" name="Straight Arrow Connector 2611">
          <a:extLst>
            <a:ext uri="{FF2B5EF4-FFF2-40B4-BE49-F238E27FC236}">
              <a16:creationId xmlns:a16="http://schemas.microsoft.com/office/drawing/2014/main" id="{00000000-0008-0000-1200-0000340A0000}"/>
            </a:ext>
          </a:extLst>
        </xdr:cNvPr>
        <xdr:cNvCxnSpPr/>
      </xdr:nvCxnSpPr>
      <xdr:spPr>
        <a:xfrm flipV="1">
          <a:off x="2381251"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600</xdr:row>
      <xdr:rowOff>10583</xdr:rowOff>
    </xdr:from>
    <xdr:to>
      <xdr:col>4</xdr:col>
      <xdr:colOff>63500</xdr:colOff>
      <xdr:row>751</xdr:row>
      <xdr:rowOff>158750</xdr:rowOff>
    </xdr:to>
    <xdr:cxnSp macro="">
      <xdr:nvCxnSpPr>
        <xdr:cNvPr id="2613" name="Straight Arrow Connector 2612">
          <a:extLst>
            <a:ext uri="{FF2B5EF4-FFF2-40B4-BE49-F238E27FC236}">
              <a16:creationId xmlns:a16="http://schemas.microsoft.com/office/drawing/2014/main" id="{00000000-0008-0000-1200-0000350A0000}"/>
            </a:ext>
          </a:extLst>
        </xdr:cNvPr>
        <xdr:cNvCxnSpPr/>
      </xdr:nvCxnSpPr>
      <xdr:spPr>
        <a:xfrm>
          <a:off x="2391834" y="28395083"/>
          <a:ext cx="656166"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494</xdr:row>
      <xdr:rowOff>1</xdr:rowOff>
    </xdr:from>
    <xdr:to>
      <xdr:col>6</xdr:col>
      <xdr:colOff>0</xdr:colOff>
      <xdr:row>528</xdr:row>
      <xdr:rowOff>116417</xdr:rowOff>
    </xdr:to>
    <xdr:cxnSp macro="">
      <xdr:nvCxnSpPr>
        <xdr:cNvPr id="2614" name="Straight Arrow Connector 2613">
          <a:extLst>
            <a:ext uri="{FF2B5EF4-FFF2-40B4-BE49-F238E27FC236}">
              <a16:creationId xmlns:a16="http://schemas.microsoft.com/office/drawing/2014/main" id="{00000000-0008-0000-1200-0000360A0000}"/>
            </a:ext>
          </a:extLst>
        </xdr:cNvPr>
        <xdr:cNvCxnSpPr/>
      </xdr:nvCxnSpPr>
      <xdr:spPr>
        <a:xfrm flipV="1">
          <a:off x="3810000" y="78105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531</xdr:row>
      <xdr:rowOff>169334</xdr:rowOff>
    </xdr:from>
    <xdr:to>
      <xdr:col>5</xdr:col>
      <xdr:colOff>571500</xdr:colOff>
      <xdr:row>600</xdr:row>
      <xdr:rowOff>0</xdr:rowOff>
    </xdr:to>
    <xdr:cxnSp macro="">
      <xdr:nvCxnSpPr>
        <xdr:cNvPr id="2615" name="Straight Arrow Connector 2614">
          <a:extLst>
            <a:ext uri="{FF2B5EF4-FFF2-40B4-BE49-F238E27FC236}">
              <a16:creationId xmlns:a16="http://schemas.microsoft.com/office/drawing/2014/main" id="{00000000-0008-0000-1200-0000370A0000}"/>
            </a:ext>
          </a:extLst>
        </xdr:cNvPr>
        <xdr:cNvCxnSpPr/>
      </xdr:nvCxnSpPr>
      <xdr:spPr>
        <a:xfrm>
          <a:off x="389466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494</xdr:row>
      <xdr:rowOff>10584</xdr:rowOff>
    </xdr:from>
    <xdr:to>
      <xdr:col>8</xdr:col>
      <xdr:colOff>21167</xdr:colOff>
      <xdr:row>522</xdr:row>
      <xdr:rowOff>148166</xdr:rowOff>
    </xdr:to>
    <xdr:cxnSp macro="">
      <xdr:nvCxnSpPr>
        <xdr:cNvPr id="2617" name="Straight Arrow Connector 2616">
          <a:extLst>
            <a:ext uri="{FF2B5EF4-FFF2-40B4-BE49-F238E27FC236}">
              <a16:creationId xmlns:a16="http://schemas.microsoft.com/office/drawing/2014/main" id="{00000000-0008-0000-1200-0000390A0000}"/>
            </a:ext>
          </a:extLst>
        </xdr:cNvPr>
        <xdr:cNvCxnSpPr/>
      </xdr:nvCxnSpPr>
      <xdr:spPr>
        <a:xfrm>
          <a:off x="5461000" y="78210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481</xdr:row>
      <xdr:rowOff>42333</xdr:rowOff>
    </xdr:from>
    <xdr:to>
      <xdr:col>11</xdr:col>
      <xdr:colOff>603250</xdr:colOff>
      <xdr:row>493</xdr:row>
      <xdr:rowOff>10583</xdr:rowOff>
    </xdr:to>
    <xdr:cxnSp macro="">
      <xdr:nvCxnSpPr>
        <xdr:cNvPr id="2621" name="Straight Arrow Connector 2620">
          <a:extLst>
            <a:ext uri="{FF2B5EF4-FFF2-40B4-BE49-F238E27FC236}">
              <a16:creationId xmlns:a16="http://schemas.microsoft.com/office/drawing/2014/main" id="{00000000-0008-0000-1200-00003D0A0000}"/>
            </a:ext>
          </a:extLst>
        </xdr:cNvPr>
        <xdr:cNvCxnSpPr/>
      </xdr:nvCxnSpPr>
      <xdr:spPr>
        <a:xfrm>
          <a:off x="7926917"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491</xdr:row>
      <xdr:rowOff>21167</xdr:rowOff>
    </xdr:from>
    <xdr:to>
      <xdr:col>13</xdr:col>
      <xdr:colOff>592667</xdr:colOff>
      <xdr:row>493</xdr:row>
      <xdr:rowOff>63500</xdr:rowOff>
    </xdr:to>
    <xdr:cxnSp macro="">
      <xdr:nvCxnSpPr>
        <xdr:cNvPr id="2624" name="Straight Arrow Connector 2623">
          <a:extLst>
            <a:ext uri="{FF2B5EF4-FFF2-40B4-BE49-F238E27FC236}">
              <a16:creationId xmlns:a16="http://schemas.microsoft.com/office/drawing/2014/main" id="{00000000-0008-0000-1200-0000400A0000}"/>
            </a:ext>
          </a:extLst>
        </xdr:cNvPr>
        <xdr:cNvCxnSpPr/>
      </xdr:nvCxnSpPr>
      <xdr:spPr>
        <a:xfrm flipV="1">
          <a:off x="952500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496</xdr:row>
      <xdr:rowOff>0</xdr:rowOff>
    </xdr:from>
    <xdr:to>
      <xdr:col>14</xdr:col>
      <xdr:colOff>10584</xdr:colOff>
      <xdr:row>504</xdr:row>
      <xdr:rowOff>148167</xdr:rowOff>
    </xdr:to>
    <xdr:cxnSp macro="">
      <xdr:nvCxnSpPr>
        <xdr:cNvPr id="2625" name="Straight Arrow Connector 2624">
          <a:extLst>
            <a:ext uri="{FF2B5EF4-FFF2-40B4-BE49-F238E27FC236}">
              <a16:creationId xmlns:a16="http://schemas.microsoft.com/office/drawing/2014/main" id="{00000000-0008-0000-1200-0000410A0000}"/>
            </a:ext>
          </a:extLst>
        </xdr:cNvPr>
        <xdr:cNvCxnSpPr/>
      </xdr:nvCxnSpPr>
      <xdr:spPr>
        <a:xfrm>
          <a:off x="9535583" y="8191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515</xdr:row>
      <xdr:rowOff>42333</xdr:rowOff>
    </xdr:from>
    <xdr:to>
      <xdr:col>9</xdr:col>
      <xdr:colOff>592666</xdr:colOff>
      <xdr:row>523</xdr:row>
      <xdr:rowOff>42333</xdr:rowOff>
    </xdr:to>
    <xdr:cxnSp macro="">
      <xdr:nvCxnSpPr>
        <xdr:cNvPr id="2634" name="Straight Arrow Connector 2633">
          <a:extLst>
            <a:ext uri="{FF2B5EF4-FFF2-40B4-BE49-F238E27FC236}">
              <a16:creationId xmlns:a16="http://schemas.microsoft.com/office/drawing/2014/main" id="{00000000-0008-0000-1200-00004A0A0000}"/>
            </a:ext>
          </a:extLst>
        </xdr:cNvPr>
        <xdr:cNvCxnSpPr/>
      </xdr:nvCxnSpPr>
      <xdr:spPr>
        <a:xfrm flipV="1">
          <a:off x="6699250"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525</xdr:row>
      <xdr:rowOff>169334</xdr:rowOff>
    </xdr:from>
    <xdr:to>
      <xdr:col>9</xdr:col>
      <xdr:colOff>603250</xdr:colOff>
      <xdr:row>534</xdr:row>
      <xdr:rowOff>31750</xdr:rowOff>
    </xdr:to>
    <xdr:cxnSp macro="">
      <xdr:nvCxnSpPr>
        <xdr:cNvPr id="2635" name="Straight Arrow Connector 2634">
          <a:extLst>
            <a:ext uri="{FF2B5EF4-FFF2-40B4-BE49-F238E27FC236}">
              <a16:creationId xmlns:a16="http://schemas.microsoft.com/office/drawing/2014/main" id="{00000000-0008-0000-1200-00004B0A0000}"/>
            </a:ext>
          </a:extLst>
        </xdr:cNvPr>
        <xdr:cNvCxnSpPr/>
      </xdr:nvCxnSpPr>
      <xdr:spPr>
        <a:xfrm>
          <a:off x="6720417"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489</xdr:row>
      <xdr:rowOff>0</xdr:rowOff>
    </xdr:from>
    <xdr:to>
      <xdr:col>15</xdr:col>
      <xdr:colOff>603250</xdr:colOff>
      <xdr:row>491</xdr:row>
      <xdr:rowOff>1</xdr:rowOff>
    </xdr:to>
    <xdr:cxnSp macro="">
      <xdr:nvCxnSpPr>
        <xdr:cNvPr id="2637" name="Straight Arrow Connector 2636">
          <a:extLst>
            <a:ext uri="{FF2B5EF4-FFF2-40B4-BE49-F238E27FC236}">
              <a16:creationId xmlns:a16="http://schemas.microsoft.com/office/drawing/2014/main" id="{00000000-0008-0000-1200-00004D0A0000}"/>
            </a:ext>
          </a:extLst>
        </xdr:cNvPr>
        <xdr:cNvCxnSpPr/>
      </xdr:nvCxnSpPr>
      <xdr:spPr>
        <a:xfrm flipV="1">
          <a:off x="11271250"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491</xdr:row>
      <xdr:rowOff>10584</xdr:rowOff>
    </xdr:from>
    <xdr:to>
      <xdr:col>15</xdr:col>
      <xdr:colOff>592666</xdr:colOff>
      <xdr:row>492</xdr:row>
      <xdr:rowOff>95250</xdr:rowOff>
    </xdr:to>
    <xdr:cxnSp macro="">
      <xdr:nvCxnSpPr>
        <xdr:cNvPr id="2638" name="Straight Arrow Connector 2637">
          <a:extLst>
            <a:ext uri="{FF2B5EF4-FFF2-40B4-BE49-F238E27FC236}">
              <a16:creationId xmlns:a16="http://schemas.microsoft.com/office/drawing/2014/main" id="{00000000-0008-0000-1200-00004E0A0000}"/>
            </a:ext>
          </a:extLst>
        </xdr:cNvPr>
        <xdr:cNvCxnSpPr/>
      </xdr:nvCxnSpPr>
      <xdr:spPr>
        <a:xfrm>
          <a:off x="11313583"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491</xdr:row>
      <xdr:rowOff>10584</xdr:rowOff>
    </xdr:from>
    <xdr:to>
      <xdr:col>15</xdr:col>
      <xdr:colOff>560916</xdr:colOff>
      <xdr:row>495</xdr:row>
      <xdr:rowOff>52917</xdr:rowOff>
    </xdr:to>
    <xdr:cxnSp macro="">
      <xdr:nvCxnSpPr>
        <xdr:cNvPr id="2639" name="Straight Arrow Connector 2638">
          <a:extLst>
            <a:ext uri="{FF2B5EF4-FFF2-40B4-BE49-F238E27FC236}">
              <a16:creationId xmlns:a16="http://schemas.microsoft.com/office/drawing/2014/main" id="{00000000-0008-0000-1200-00004F0A0000}"/>
            </a:ext>
          </a:extLst>
        </xdr:cNvPr>
        <xdr:cNvCxnSpPr/>
      </xdr:nvCxnSpPr>
      <xdr:spPr>
        <a:xfrm>
          <a:off x="11292416"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491</xdr:row>
      <xdr:rowOff>31750</xdr:rowOff>
    </xdr:from>
    <xdr:to>
      <xdr:col>16</xdr:col>
      <xdr:colOff>21167</xdr:colOff>
      <xdr:row>498</xdr:row>
      <xdr:rowOff>95250</xdr:rowOff>
    </xdr:to>
    <xdr:cxnSp macro="">
      <xdr:nvCxnSpPr>
        <xdr:cNvPr id="2640" name="Straight Arrow Connector 2639">
          <a:extLst>
            <a:ext uri="{FF2B5EF4-FFF2-40B4-BE49-F238E27FC236}">
              <a16:creationId xmlns:a16="http://schemas.microsoft.com/office/drawing/2014/main" id="{00000000-0008-0000-1200-0000500A0000}"/>
            </a:ext>
          </a:extLst>
        </xdr:cNvPr>
        <xdr:cNvCxnSpPr/>
      </xdr:nvCxnSpPr>
      <xdr:spPr>
        <a:xfrm>
          <a:off x="11324166" y="727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505</xdr:row>
      <xdr:rowOff>0</xdr:rowOff>
    </xdr:from>
    <xdr:to>
      <xdr:col>16</xdr:col>
      <xdr:colOff>0</xdr:colOff>
      <xdr:row>505</xdr:row>
      <xdr:rowOff>42334</xdr:rowOff>
    </xdr:to>
    <xdr:cxnSp macro="">
      <xdr:nvCxnSpPr>
        <xdr:cNvPr id="2641" name="Straight Arrow Connector 2640">
          <a:extLst>
            <a:ext uri="{FF2B5EF4-FFF2-40B4-BE49-F238E27FC236}">
              <a16:creationId xmlns:a16="http://schemas.microsoft.com/office/drawing/2014/main" id="{00000000-0008-0000-1200-0000510A0000}"/>
            </a:ext>
          </a:extLst>
        </xdr:cNvPr>
        <xdr:cNvCxnSpPr/>
      </xdr:nvCxnSpPr>
      <xdr:spPr>
        <a:xfrm>
          <a:off x="11302999" y="9906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505</xdr:row>
      <xdr:rowOff>21166</xdr:rowOff>
    </xdr:from>
    <xdr:to>
      <xdr:col>15</xdr:col>
      <xdr:colOff>560916</xdr:colOff>
      <xdr:row>508</xdr:row>
      <xdr:rowOff>84667</xdr:rowOff>
    </xdr:to>
    <xdr:cxnSp macro="">
      <xdr:nvCxnSpPr>
        <xdr:cNvPr id="2642" name="Straight Arrow Connector 2641">
          <a:extLst>
            <a:ext uri="{FF2B5EF4-FFF2-40B4-BE49-F238E27FC236}">
              <a16:creationId xmlns:a16="http://schemas.microsoft.com/office/drawing/2014/main" id="{00000000-0008-0000-1200-0000520A0000}"/>
            </a:ext>
          </a:extLst>
        </xdr:cNvPr>
        <xdr:cNvCxnSpPr/>
      </xdr:nvCxnSpPr>
      <xdr:spPr>
        <a:xfrm>
          <a:off x="11355916"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505</xdr:row>
      <xdr:rowOff>52916</xdr:rowOff>
    </xdr:from>
    <xdr:to>
      <xdr:col>15</xdr:col>
      <xdr:colOff>592666</xdr:colOff>
      <xdr:row>511</xdr:row>
      <xdr:rowOff>63501</xdr:rowOff>
    </xdr:to>
    <xdr:cxnSp macro="">
      <xdr:nvCxnSpPr>
        <xdr:cNvPr id="2643" name="Straight Arrow Connector 2642">
          <a:extLst>
            <a:ext uri="{FF2B5EF4-FFF2-40B4-BE49-F238E27FC236}">
              <a16:creationId xmlns:a16="http://schemas.microsoft.com/office/drawing/2014/main" id="{00000000-0008-0000-1200-0000530A0000}"/>
            </a:ext>
          </a:extLst>
        </xdr:cNvPr>
        <xdr:cNvCxnSpPr/>
      </xdr:nvCxnSpPr>
      <xdr:spPr>
        <a:xfrm>
          <a:off x="11313583"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534</xdr:row>
      <xdr:rowOff>116416</xdr:rowOff>
    </xdr:from>
    <xdr:to>
      <xdr:col>16</xdr:col>
      <xdr:colOff>0</xdr:colOff>
      <xdr:row>541</xdr:row>
      <xdr:rowOff>74084</xdr:rowOff>
    </xdr:to>
    <xdr:cxnSp macro="">
      <xdr:nvCxnSpPr>
        <xdr:cNvPr id="2647" name="Straight Arrow Connector 2646">
          <a:extLst>
            <a:ext uri="{FF2B5EF4-FFF2-40B4-BE49-F238E27FC236}">
              <a16:creationId xmlns:a16="http://schemas.microsoft.com/office/drawing/2014/main" id="{00000000-0008-0000-1200-0000570A0000}"/>
            </a:ext>
          </a:extLst>
        </xdr:cNvPr>
        <xdr:cNvCxnSpPr/>
      </xdr:nvCxnSpPr>
      <xdr:spPr>
        <a:xfrm>
          <a:off x="11313583" y="15546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502</xdr:row>
      <xdr:rowOff>52917</xdr:rowOff>
    </xdr:from>
    <xdr:to>
      <xdr:col>15</xdr:col>
      <xdr:colOff>603250</xdr:colOff>
      <xdr:row>504</xdr:row>
      <xdr:rowOff>148167</xdr:rowOff>
    </xdr:to>
    <xdr:cxnSp macro="">
      <xdr:nvCxnSpPr>
        <xdr:cNvPr id="2648" name="Straight Arrow Connector 2647">
          <a:extLst>
            <a:ext uri="{FF2B5EF4-FFF2-40B4-BE49-F238E27FC236}">
              <a16:creationId xmlns:a16="http://schemas.microsoft.com/office/drawing/2014/main" id="{00000000-0008-0000-1200-0000580A0000}"/>
            </a:ext>
          </a:extLst>
        </xdr:cNvPr>
        <xdr:cNvCxnSpPr/>
      </xdr:nvCxnSpPr>
      <xdr:spPr>
        <a:xfrm flipV="1">
          <a:off x="11324166"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547</xdr:row>
      <xdr:rowOff>31750</xdr:rowOff>
    </xdr:from>
    <xdr:to>
      <xdr:col>16</xdr:col>
      <xdr:colOff>21167</xdr:colOff>
      <xdr:row>554</xdr:row>
      <xdr:rowOff>95250</xdr:rowOff>
    </xdr:to>
    <xdr:cxnSp macro="">
      <xdr:nvCxnSpPr>
        <xdr:cNvPr id="2661" name="Straight Arrow Connector 2660">
          <a:extLst>
            <a:ext uri="{FF2B5EF4-FFF2-40B4-BE49-F238E27FC236}">
              <a16:creationId xmlns:a16="http://schemas.microsoft.com/office/drawing/2014/main" id="{00000000-0008-0000-1200-0000650A0000}"/>
            </a:ext>
          </a:extLst>
        </xdr:cNvPr>
        <xdr:cNvCxnSpPr/>
      </xdr:nvCxnSpPr>
      <xdr:spPr>
        <a:xfrm>
          <a:off x="11324166" y="18129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602</xdr:row>
      <xdr:rowOff>95250</xdr:rowOff>
    </xdr:from>
    <xdr:to>
      <xdr:col>8</xdr:col>
      <xdr:colOff>21167</xdr:colOff>
      <xdr:row>634</xdr:row>
      <xdr:rowOff>148166</xdr:rowOff>
    </xdr:to>
    <xdr:cxnSp macro="">
      <xdr:nvCxnSpPr>
        <xdr:cNvPr id="2666" name="Straight Arrow Connector 2665">
          <a:extLst>
            <a:ext uri="{FF2B5EF4-FFF2-40B4-BE49-F238E27FC236}">
              <a16:creationId xmlns:a16="http://schemas.microsoft.com/office/drawing/2014/main" id="{00000000-0008-0000-1200-00006A0A0000}"/>
            </a:ext>
          </a:extLst>
        </xdr:cNvPr>
        <xdr:cNvCxnSpPr/>
      </xdr:nvCxnSpPr>
      <xdr:spPr>
        <a:xfrm>
          <a:off x="5185833" y="288607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573</xdr:row>
      <xdr:rowOff>137583</xdr:rowOff>
    </xdr:from>
    <xdr:to>
      <xdr:col>9</xdr:col>
      <xdr:colOff>603250</xdr:colOff>
      <xdr:row>579</xdr:row>
      <xdr:rowOff>21166</xdr:rowOff>
    </xdr:to>
    <xdr:cxnSp macro="">
      <xdr:nvCxnSpPr>
        <xdr:cNvPr id="2667" name="Straight Arrow Connector 2666">
          <a:extLst>
            <a:ext uri="{FF2B5EF4-FFF2-40B4-BE49-F238E27FC236}">
              <a16:creationId xmlns:a16="http://schemas.microsoft.com/office/drawing/2014/main" id="{00000000-0008-0000-1200-00006B0A0000}"/>
            </a:ext>
          </a:extLst>
        </xdr:cNvPr>
        <xdr:cNvCxnSpPr/>
      </xdr:nvCxnSpPr>
      <xdr:spPr>
        <a:xfrm flipV="1">
          <a:off x="6688667"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582</xdr:row>
      <xdr:rowOff>0</xdr:rowOff>
    </xdr:from>
    <xdr:to>
      <xdr:col>9</xdr:col>
      <xdr:colOff>582083</xdr:colOff>
      <xdr:row>590</xdr:row>
      <xdr:rowOff>10583</xdr:rowOff>
    </xdr:to>
    <xdr:cxnSp macro="">
      <xdr:nvCxnSpPr>
        <xdr:cNvPr id="2668" name="Straight Arrow Connector 2667">
          <a:extLst>
            <a:ext uri="{FF2B5EF4-FFF2-40B4-BE49-F238E27FC236}">
              <a16:creationId xmlns:a16="http://schemas.microsoft.com/office/drawing/2014/main" id="{00000000-0008-0000-1200-00006C0A0000}"/>
            </a:ext>
          </a:extLst>
        </xdr:cNvPr>
        <xdr:cNvCxnSpPr/>
      </xdr:nvCxnSpPr>
      <xdr:spPr>
        <a:xfrm>
          <a:off x="6720417"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587</xdr:row>
      <xdr:rowOff>169333</xdr:rowOff>
    </xdr:from>
    <xdr:to>
      <xdr:col>11</xdr:col>
      <xdr:colOff>603250</xdr:colOff>
      <xdr:row>590</xdr:row>
      <xdr:rowOff>21167</xdr:rowOff>
    </xdr:to>
    <xdr:cxnSp macro="">
      <xdr:nvCxnSpPr>
        <xdr:cNvPr id="2669" name="Straight Arrow Connector 2668">
          <a:extLst>
            <a:ext uri="{FF2B5EF4-FFF2-40B4-BE49-F238E27FC236}">
              <a16:creationId xmlns:a16="http://schemas.microsoft.com/office/drawing/2014/main" id="{00000000-0008-0000-1200-00006D0A0000}"/>
            </a:ext>
          </a:extLst>
        </xdr:cNvPr>
        <xdr:cNvCxnSpPr/>
      </xdr:nvCxnSpPr>
      <xdr:spPr>
        <a:xfrm flipV="1">
          <a:off x="7937500"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593</xdr:row>
      <xdr:rowOff>42333</xdr:rowOff>
    </xdr:from>
    <xdr:to>
      <xdr:col>11</xdr:col>
      <xdr:colOff>603250</xdr:colOff>
      <xdr:row>605</xdr:row>
      <xdr:rowOff>10583</xdr:rowOff>
    </xdr:to>
    <xdr:cxnSp macro="">
      <xdr:nvCxnSpPr>
        <xdr:cNvPr id="2670" name="Straight Arrow Connector 2669">
          <a:extLst>
            <a:ext uri="{FF2B5EF4-FFF2-40B4-BE49-F238E27FC236}">
              <a16:creationId xmlns:a16="http://schemas.microsoft.com/office/drawing/2014/main" id="{00000000-0008-0000-1200-00006E0A0000}"/>
            </a:ext>
          </a:extLst>
        </xdr:cNvPr>
        <xdr:cNvCxnSpPr/>
      </xdr:nvCxnSpPr>
      <xdr:spPr>
        <a:xfrm>
          <a:off x="7926917"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583</xdr:row>
      <xdr:rowOff>21167</xdr:rowOff>
    </xdr:from>
    <xdr:to>
      <xdr:col>13</xdr:col>
      <xdr:colOff>592667</xdr:colOff>
      <xdr:row>585</xdr:row>
      <xdr:rowOff>0</xdr:rowOff>
    </xdr:to>
    <xdr:cxnSp macro="">
      <xdr:nvCxnSpPr>
        <xdr:cNvPr id="2671" name="Straight Arrow Connector 2670">
          <a:extLst>
            <a:ext uri="{FF2B5EF4-FFF2-40B4-BE49-F238E27FC236}">
              <a16:creationId xmlns:a16="http://schemas.microsoft.com/office/drawing/2014/main" id="{00000000-0008-0000-1200-00006F0A0000}"/>
            </a:ext>
          </a:extLst>
        </xdr:cNvPr>
        <xdr:cNvCxnSpPr/>
      </xdr:nvCxnSpPr>
      <xdr:spPr>
        <a:xfrm flipV="1">
          <a:off x="9133417" y="24976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588</xdr:row>
      <xdr:rowOff>21166</xdr:rowOff>
    </xdr:from>
    <xdr:to>
      <xdr:col>13</xdr:col>
      <xdr:colOff>592667</xdr:colOff>
      <xdr:row>589</xdr:row>
      <xdr:rowOff>169334</xdr:rowOff>
    </xdr:to>
    <xdr:cxnSp macro="">
      <xdr:nvCxnSpPr>
        <xdr:cNvPr id="2672" name="Straight Arrow Connector 2671">
          <a:extLst>
            <a:ext uri="{FF2B5EF4-FFF2-40B4-BE49-F238E27FC236}">
              <a16:creationId xmlns:a16="http://schemas.microsoft.com/office/drawing/2014/main" id="{00000000-0008-0000-1200-0000700A0000}"/>
            </a:ext>
          </a:extLst>
        </xdr:cNvPr>
        <xdr:cNvCxnSpPr/>
      </xdr:nvCxnSpPr>
      <xdr:spPr>
        <a:xfrm>
          <a:off x="9122833" y="25929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603</xdr:row>
      <xdr:rowOff>21167</xdr:rowOff>
    </xdr:from>
    <xdr:to>
      <xdr:col>13</xdr:col>
      <xdr:colOff>592667</xdr:colOff>
      <xdr:row>605</xdr:row>
      <xdr:rowOff>63500</xdr:rowOff>
    </xdr:to>
    <xdr:cxnSp macro="">
      <xdr:nvCxnSpPr>
        <xdr:cNvPr id="2673" name="Straight Arrow Connector 2672">
          <a:extLst>
            <a:ext uri="{FF2B5EF4-FFF2-40B4-BE49-F238E27FC236}">
              <a16:creationId xmlns:a16="http://schemas.microsoft.com/office/drawing/2014/main" id="{00000000-0008-0000-1200-0000710A0000}"/>
            </a:ext>
          </a:extLst>
        </xdr:cNvPr>
        <xdr:cNvCxnSpPr/>
      </xdr:nvCxnSpPr>
      <xdr:spPr>
        <a:xfrm flipV="1">
          <a:off x="952500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608</xdr:row>
      <xdr:rowOff>0</xdr:rowOff>
    </xdr:from>
    <xdr:to>
      <xdr:col>14</xdr:col>
      <xdr:colOff>10584</xdr:colOff>
      <xdr:row>616</xdr:row>
      <xdr:rowOff>148167</xdr:rowOff>
    </xdr:to>
    <xdr:cxnSp macro="">
      <xdr:nvCxnSpPr>
        <xdr:cNvPr id="2674" name="Straight Arrow Connector 2673">
          <a:extLst>
            <a:ext uri="{FF2B5EF4-FFF2-40B4-BE49-F238E27FC236}">
              <a16:creationId xmlns:a16="http://schemas.microsoft.com/office/drawing/2014/main" id="{00000000-0008-0000-1200-0000720A0000}"/>
            </a:ext>
          </a:extLst>
        </xdr:cNvPr>
        <xdr:cNvCxnSpPr/>
      </xdr:nvCxnSpPr>
      <xdr:spPr>
        <a:xfrm>
          <a:off x="9535583" y="29908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575</xdr:row>
      <xdr:rowOff>0</xdr:rowOff>
    </xdr:from>
    <xdr:to>
      <xdr:col>15</xdr:col>
      <xdr:colOff>603250</xdr:colOff>
      <xdr:row>580</xdr:row>
      <xdr:rowOff>31750</xdr:rowOff>
    </xdr:to>
    <xdr:cxnSp macro="">
      <xdr:nvCxnSpPr>
        <xdr:cNvPr id="2675" name="Straight Arrow Connector 2674">
          <a:extLst>
            <a:ext uri="{FF2B5EF4-FFF2-40B4-BE49-F238E27FC236}">
              <a16:creationId xmlns:a16="http://schemas.microsoft.com/office/drawing/2014/main" id="{00000000-0008-0000-1200-0000730A0000}"/>
            </a:ext>
          </a:extLst>
        </xdr:cNvPr>
        <xdr:cNvCxnSpPr/>
      </xdr:nvCxnSpPr>
      <xdr:spPr>
        <a:xfrm flipV="1">
          <a:off x="11281833"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578</xdr:row>
      <xdr:rowOff>52917</xdr:rowOff>
    </xdr:from>
    <xdr:to>
      <xdr:col>15</xdr:col>
      <xdr:colOff>603250</xdr:colOff>
      <xdr:row>580</xdr:row>
      <xdr:rowOff>95250</xdr:rowOff>
    </xdr:to>
    <xdr:cxnSp macro="">
      <xdr:nvCxnSpPr>
        <xdr:cNvPr id="2676" name="Straight Arrow Connector 2675">
          <a:extLst>
            <a:ext uri="{FF2B5EF4-FFF2-40B4-BE49-F238E27FC236}">
              <a16:creationId xmlns:a16="http://schemas.microsoft.com/office/drawing/2014/main" id="{00000000-0008-0000-1200-0000740A0000}"/>
            </a:ext>
          </a:extLst>
        </xdr:cNvPr>
        <xdr:cNvCxnSpPr/>
      </xdr:nvCxnSpPr>
      <xdr:spPr>
        <a:xfrm flipV="1">
          <a:off x="11324166"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580</xdr:row>
      <xdr:rowOff>158750</xdr:rowOff>
    </xdr:from>
    <xdr:to>
      <xdr:col>15</xdr:col>
      <xdr:colOff>582083</xdr:colOff>
      <xdr:row>581</xdr:row>
      <xdr:rowOff>137583</xdr:rowOff>
    </xdr:to>
    <xdr:cxnSp macro="">
      <xdr:nvCxnSpPr>
        <xdr:cNvPr id="2677" name="Straight Arrow Connector 2676">
          <a:extLst>
            <a:ext uri="{FF2B5EF4-FFF2-40B4-BE49-F238E27FC236}">
              <a16:creationId xmlns:a16="http://schemas.microsoft.com/office/drawing/2014/main" id="{00000000-0008-0000-1200-0000750A0000}"/>
            </a:ext>
          </a:extLst>
        </xdr:cNvPr>
        <xdr:cNvCxnSpPr/>
      </xdr:nvCxnSpPr>
      <xdr:spPr>
        <a:xfrm>
          <a:off x="11345333"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580</xdr:row>
      <xdr:rowOff>105834</xdr:rowOff>
    </xdr:from>
    <xdr:to>
      <xdr:col>16</xdr:col>
      <xdr:colOff>0</xdr:colOff>
      <xdr:row>584</xdr:row>
      <xdr:rowOff>84667</xdr:rowOff>
    </xdr:to>
    <xdr:cxnSp macro="">
      <xdr:nvCxnSpPr>
        <xdr:cNvPr id="2678" name="Straight Arrow Connector 2677">
          <a:extLst>
            <a:ext uri="{FF2B5EF4-FFF2-40B4-BE49-F238E27FC236}">
              <a16:creationId xmlns:a16="http://schemas.microsoft.com/office/drawing/2014/main" id="{00000000-0008-0000-1200-0000760A0000}"/>
            </a:ext>
          </a:extLst>
        </xdr:cNvPr>
        <xdr:cNvCxnSpPr/>
      </xdr:nvCxnSpPr>
      <xdr:spPr>
        <a:xfrm>
          <a:off x="11260667" y="24489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588</xdr:row>
      <xdr:rowOff>52916</xdr:rowOff>
    </xdr:from>
    <xdr:to>
      <xdr:col>16</xdr:col>
      <xdr:colOff>0</xdr:colOff>
      <xdr:row>590</xdr:row>
      <xdr:rowOff>0</xdr:rowOff>
    </xdr:to>
    <xdr:cxnSp macro="">
      <xdr:nvCxnSpPr>
        <xdr:cNvPr id="2679" name="Straight Arrow Connector 2678">
          <a:extLst>
            <a:ext uri="{FF2B5EF4-FFF2-40B4-BE49-F238E27FC236}">
              <a16:creationId xmlns:a16="http://schemas.microsoft.com/office/drawing/2014/main" id="{00000000-0008-0000-1200-0000770A0000}"/>
            </a:ext>
          </a:extLst>
        </xdr:cNvPr>
        <xdr:cNvCxnSpPr/>
      </xdr:nvCxnSpPr>
      <xdr:spPr>
        <a:xfrm flipV="1">
          <a:off x="11281833" y="25960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590</xdr:row>
      <xdr:rowOff>21167</xdr:rowOff>
    </xdr:from>
    <xdr:to>
      <xdr:col>15</xdr:col>
      <xdr:colOff>582083</xdr:colOff>
      <xdr:row>591</xdr:row>
      <xdr:rowOff>42333</xdr:rowOff>
    </xdr:to>
    <xdr:cxnSp macro="">
      <xdr:nvCxnSpPr>
        <xdr:cNvPr id="2680" name="Straight Arrow Connector 2679">
          <a:extLst>
            <a:ext uri="{FF2B5EF4-FFF2-40B4-BE49-F238E27FC236}">
              <a16:creationId xmlns:a16="http://schemas.microsoft.com/office/drawing/2014/main" id="{00000000-0008-0000-1200-0000780A0000}"/>
            </a:ext>
          </a:extLst>
        </xdr:cNvPr>
        <xdr:cNvCxnSpPr/>
      </xdr:nvCxnSpPr>
      <xdr:spPr>
        <a:xfrm>
          <a:off x="11292416"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590</xdr:row>
      <xdr:rowOff>21167</xdr:rowOff>
    </xdr:from>
    <xdr:to>
      <xdr:col>16</xdr:col>
      <xdr:colOff>42333</xdr:colOff>
      <xdr:row>595</xdr:row>
      <xdr:rowOff>21168</xdr:rowOff>
    </xdr:to>
    <xdr:cxnSp macro="">
      <xdr:nvCxnSpPr>
        <xdr:cNvPr id="2681" name="Straight Arrow Connector 2680">
          <a:extLst>
            <a:ext uri="{FF2B5EF4-FFF2-40B4-BE49-F238E27FC236}">
              <a16:creationId xmlns:a16="http://schemas.microsoft.com/office/drawing/2014/main" id="{00000000-0008-0000-1200-0000790A0000}"/>
            </a:ext>
          </a:extLst>
        </xdr:cNvPr>
        <xdr:cNvCxnSpPr/>
      </xdr:nvCxnSpPr>
      <xdr:spPr>
        <a:xfrm>
          <a:off x="11271250" y="26310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682" name="Straight Arrow Connector 2681">
          <a:extLst>
            <a:ext uri="{FF2B5EF4-FFF2-40B4-BE49-F238E27FC236}">
              <a16:creationId xmlns:a16="http://schemas.microsoft.com/office/drawing/2014/main" id="{00000000-0008-0000-1200-00007A0A0000}"/>
            </a:ext>
          </a:extLst>
        </xdr:cNvPr>
        <xdr:cNvCxnSpPr/>
      </xdr:nvCxnSpPr>
      <xdr:spPr>
        <a:xfrm>
          <a:off x="11281833" y="263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627</xdr:row>
      <xdr:rowOff>42333</xdr:rowOff>
    </xdr:from>
    <xdr:to>
      <xdr:col>9</xdr:col>
      <xdr:colOff>592666</xdr:colOff>
      <xdr:row>635</xdr:row>
      <xdr:rowOff>42333</xdr:rowOff>
    </xdr:to>
    <xdr:cxnSp macro="">
      <xdr:nvCxnSpPr>
        <xdr:cNvPr id="2683" name="Straight Arrow Connector 2682">
          <a:extLst>
            <a:ext uri="{FF2B5EF4-FFF2-40B4-BE49-F238E27FC236}">
              <a16:creationId xmlns:a16="http://schemas.microsoft.com/office/drawing/2014/main" id="{00000000-0008-0000-1200-00007B0A0000}"/>
            </a:ext>
          </a:extLst>
        </xdr:cNvPr>
        <xdr:cNvCxnSpPr/>
      </xdr:nvCxnSpPr>
      <xdr:spPr>
        <a:xfrm flipV="1">
          <a:off x="6699250"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637</xdr:row>
      <xdr:rowOff>169334</xdr:rowOff>
    </xdr:from>
    <xdr:to>
      <xdr:col>9</xdr:col>
      <xdr:colOff>603250</xdr:colOff>
      <xdr:row>646</xdr:row>
      <xdr:rowOff>31750</xdr:rowOff>
    </xdr:to>
    <xdr:cxnSp macro="">
      <xdr:nvCxnSpPr>
        <xdr:cNvPr id="2684" name="Straight Arrow Connector 2683">
          <a:extLst>
            <a:ext uri="{FF2B5EF4-FFF2-40B4-BE49-F238E27FC236}">
              <a16:creationId xmlns:a16="http://schemas.microsoft.com/office/drawing/2014/main" id="{00000000-0008-0000-1200-00007C0A0000}"/>
            </a:ext>
          </a:extLst>
        </xdr:cNvPr>
        <xdr:cNvCxnSpPr/>
      </xdr:nvCxnSpPr>
      <xdr:spPr>
        <a:xfrm>
          <a:off x="6720417"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643</xdr:row>
      <xdr:rowOff>158750</xdr:rowOff>
    </xdr:from>
    <xdr:to>
      <xdr:col>11</xdr:col>
      <xdr:colOff>571500</xdr:colOff>
      <xdr:row>646</xdr:row>
      <xdr:rowOff>0</xdr:rowOff>
    </xdr:to>
    <xdr:cxnSp macro="">
      <xdr:nvCxnSpPr>
        <xdr:cNvPr id="2685" name="Straight Arrow Connector 2684">
          <a:extLst>
            <a:ext uri="{FF2B5EF4-FFF2-40B4-BE49-F238E27FC236}">
              <a16:creationId xmlns:a16="http://schemas.microsoft.com/office/drawing/2014/main" id="{00000000-0008-0000-1200-00007D0A0000}"/>
            </a:ext>
          </a:extLst>
        </xdr:cNvPr>
        <xdr:cNvCxnSpPr/>
      </xdr:nvCxnSpPr>
      <xdr:spPr>
        <a:xfrm flipV="1">
          <a:off x="7874000" y="36734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601</xdr:row>
      <xdr:rowOff>0</xdr:rowOff>
    </xdr:from>
    <xdr:to>
      <xdr:col>15</xdr:col>
      <xdr:colOff>603250</xdr:colOff>
      <xdr:row>603</xdr:row>
      <xdr:rowOff>1</xdr:rowOff>
    </xdr:to>
    <xdr:cxnSp macro="">
      <xdr:nvCxnSpPr>
        <xdr:cNvPr id="2686" name="Straight Arrow Connector 2685">
          <a:extLst>
            <a:ext uri="{FF2B5EF4-FFF2-40B4-BE49-F238E27FC236}">
              <a16:creationId xmlns:a16="http://schemas.microsoft.com/office/drawing/2014/main" id="{00000000-0008-0000-1200-00007E0A0000}"/>
            </a:ext>
          </a:extLst>
        </xdr:cNvPr>
        <xdr:cNvCxnSpPr/>
      </xdr:nvCxnSpPr>
      <xdr:spPr>
        <a:xfrm flipV="1">
          <a:off x="11271250"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603</xdr:row>
      <xdr:rowOff>10584</xdr:rowOff>
    </xdr:from>
    <xdr:to>
      <xdr:col>15</xdr:col>
      <xdr:colOff>592666</xdr:colOff>
      <xdr:row>604</xdr:row>
      <xdr:rowOff>95250</xdr:rowOff>
    </xdr:to>
    <xdr:cxnSp macro="">
      <xdr:nvCxnSpPr>
        <xdr:cNvPr id="2687" name="Straight Arrow Connector 2686">
          <a:extLst>
            <a:ext uri="{FF2B5EF4-FFF2-40B4-BE49-F238E27FC236}">
              <a16:creationId xmlns:a16="http://schemas.microsoft.com/office/drawing/2014/main" id="{00000000-0008-0000-1200-00007F0A0000}"/>
            </a:ext>
          </a:extLst>
        </xdr:cNvPr>
        <xdr:cNvCxnSpPr/>
      </xdr:nvCxnSpPr>
      <xdr:spPr>
        <a:xfrm>
          <a:off x="11313583"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603</xdr:row>
      <xdr:rowOff>10584</xdr:rowOff>
    </xdr:from>
    <xdr:to>
      <xdr:col>15</xdr:col>
      <xdr:colOff>560916</xdr:colOff>
      <xdr:row>607</xdr:row>
      <xdr:rowOff>52917</xdr:rowOff>
    </xdr:to>
    <xdr:cxnSp macro="">
      <xdr:nvCxnSpPr>
        <xdr:cNvPr id="2688" name="Straight Arrow Connector 2687">
          <a:extLst>
            <a:ext uri="{FF2B5EF4-FFF2-40B4-BE49-F238E27FC236}">
              <a16:creationId xmlns:a16="http://schemas.microsoft.com/office/drawing/2014/main" id="{00000000-0008-0000-1200-0000800A0000}"/>
            </a:ext>
          </a:extLst>
        </xdr:cNvPr>
        <xdr:cNvCxnSpPr/>
      </xdr:nvCxnSpPr>
      <xdr:spPr>
        <a:xfrm>
          <a:off x="11292416"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689" name="Straight Arrow Connector 2688">
          <a:extLst>
            <a:ext uri="{FF2B5EF4-FFF2-40B4-BE49-F238E27FC236}">
              <a16:creationId xmlns:a16="http://schemas.microsoft.com/office/drawing/2014/main" id="{00000000-0008-0000-1200-0000810A0000}"/>
            </a:ext>
          </a:extLst>
        </xdr:cNvPr>
        <xdr:cNvCxnSpPr/>
      </xdr:nvCxnSpPr>
      <xdr:spPr>
        <a:xfrm>
          <a:off x="11324166" y="28987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617</xdr:row>
      <xdr:rowOff>0</xdr:rowOff>
    </xdr:from>
    <xdr:to>
      <xdr:col>16</xdr:col>
      <xdr:colOff>0</xdr:colOff>
      <xdr:row>617</xdr:row>
      <xdr:rowOff>42334</xdr:rowOff>
    </xdr:to>
    <xdr:cxnSp macro="">
      <xdr:nvCxnSpPr>
        <xdr:cNvPr id="2690" name="Straight Arrow Connector 2689">
          <a:extLst>
            <a:ext uri="{FF2B5EF4-FFF2-40B4-BE49-F238E27FC236}">
              <a16:creationId xmlns:a16="http://schemas.microsoft.com/office/drawing/2014/main" id="{00000000-0008-0000-1200-0000820A0000}"/>
            </a:ext>
          </a:extLst>
        </xdr:cNvPr>
        <xdr:cNvCxnSpPr/>
      </xdr:nvCxnSpPr>
      <xdr:spPr>
        <a:xfrm>
          <a:off x="11302999" y="31623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617</xdr:row>
      <xdr:rowOff>21166</xdr:rowOff>
    </xdr:from>
    <xdr:to>
      <xdr:col>15</xdr:col>
      <xdr:colOff>560916</xdr:colOff>
      <xdr:row>620</xdr:row>
      <xdr:rowOff>84667</xdr:rowOff>
    </xdr:to>
    <xdr:cxnSp macro="">
      <xdr:nvCxnSpPr>
        <xdr:cNvPr id="2691" name="Straight Arrow Connector 2690">
          <a:extLst>
            <a:ext uri="{FF2B5EF4-FFF2-40B4-BE49-F238E27FC236}">
              <a16:creationId xmlns:a16="http://schemas.microsoft.com/office/drawing/2014/main" id="{00000000-0008-0000-1200-0000830A0000}"/>
            </a:ext>
          </a:extLst>
        </xdr:cNvPr>
        <xdr:cNvCxnSpPr/>
      </xdr:nvCxnSpPr>
      <xdr:spPr>
        <a:xfrm>
          <a:off x="11355916"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617</xdr:row>
      <xdr:rowOff>52916</xdr:rowOff>
    </xdr:from>
    <xdr:to>
      <xdr:col>15</xdr:col>
      <xdr:colOff>592666</xdr:colOff>
      <xdr:row>623</xdr:row>
      <xdr:rowOff>63501</xdr:rowOff>
    </xdr:to>
    <xdr:cxnSp macro="">
      <xdr:nvCxnSpPr>
        <xdr:cNvPr id="2692" name="Straight Arrow Connector 2691">
          <a:extLst>
            <a:ext uri="{FF2B5EF4-FFF2-40B4-BE49-F238E27FC236}">
              <a16:creationId xmlns:a16="http://schemas.microsoft.com/office/drawing/2014/main" id="{00000000-0008-0000-1200-0000840A0000}"/>
            </a:ext>
          </a:extLst>
        </xdr:cNvPr>
        <xdr:cNvCxnSpPr/>
      </xdr:nvCxnSpPr>
      <xdr:spPr>
        <a:xfrm>
          <a:off x="11313583"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631</xdr:row>
      <xdr:rowOff>116416</xdr:rowOff>
    </xdr:from>
    <xdr:to>
      <xdr:col>15</xdr:col>
      <xdr:colOff>592666</xdr:colOff>
      <xdr:row>634</xdr:row>
      <xdr:rowOff>158750</xdr:rowOff>
    </xdr:to>
    <xdr:cxnSp macro="">
      <xdr:nvCxnSpPr>
        <xdr:cNvPr id="2693" name="Straight Arrow Connector 2692">
          <a:extLst>
            <a:ext uri="{FF2B5EF4-FFF2-40B4-BE49-F238E27FC236}">
              <a16:creationId xmlns:a16="http://schemas.microsoft.com/office/drawing/2014/main" id="{00000000-0008-0000-1200-0000850A0000}"/>
            </a:ext>
          </a:extLst>
        </xdr:cNvPr>
        <xdr:cNvCxnSpPr/>
      </xdr:nvCxnSpPr>
      <xdr:spPr>
        <a:xfrm flipV="1">
          <a:off x="11302999"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633</xdr:row>
      <xdr:rowOff>95250</xdr:rowOff>
    </xdr:from>
    <xdr:to>
      <xdr:col>15</xdr:col>
      <xdr:colOff>582083</xdr:colOff>
      <xdr:row>635</xdr:row>
      <xdr:rowOff>52917</xdr:rowOff>
    </xdr:to>
    <xdr:cxnSp macro="">
      <xdr:nvCxnSpPr>
        <xdr:cNvPr id="2694" name="Straight Arrow Connector 2693">
          <a:extLst>
            <a:ext uri="{FF2B5EF4-FFF2-40B4-BE49-F238E27FC236}">
              <a16:creationId xmlns:a16="http://schemas.microsoft.com/office/drawing/2014/main" id="{00000000-0008-0000-1200-0000860A0000}"/>
            </a:ext>
          </a:extLst>
        </xdr:cNvPr>
        <xdr:cNvCxnSpPr/>
      </xdr:nvCxnSpPr>
      <xdr:spPr>
        <a:xfrm flipV="1">
          <a:off x="11345333"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116417</xdr:rowOff>
    </xdr:from>
    <xdr:to>
      <xdr:col>15</xdr:col>
      <xdr:colOff>592666</xdr:colOff>
      <xdr:row>639</xdr:row>
      <xdr:rowOff>95250</xdr:rowOff>
    </xdr:to>
    <xdr:cxnSp macro="">
      <xdr:nvCxnSpPr>
        <xdr:cNvPr id="2695" name="Straight Arrow Connector 2694">
          <a:extLst>
            <a:ext uri="{FF2B5EF4-FFF2-40B4-BE49-F238E27FC236}">
              <a16:creationId xmlns:a16="http://schemas.microsoft.com/office/drawing/2014/main" id="{00000000-0008-0000-1200-0000870A0000}"/>
            </a:ext>
          </a:extLst>
        </xdr:cNvPr>
        <xdr:cNvCxnSpPr/>
      </xdr:nvCxnSpPr>
      <xdr:spPr>
        <a:xfrm>
          <a:off x="11334749"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646</xdr:row>
      <xdr:rowOff>116416</xdr:rowOff>
    </xdr:from>
    <xdr:to>
      <xdr:col>16</xdr:col>
      <xdr:colOff>0</xdr:colOff>
      <xdr:row>653</xdr:row>
      <xdr:rowOff>74084</xdr:rowOff>
    </xdr:to>
    <xdr:cxnSp macro="">
      <xdr:nvCxnSpPr>
        <xdr:cNvPr id="2696" name="Straight Arrow Connector 2695">
          <a:extLst>
            <a:ext uri="{FF2B5EF4-FFF2-40B4-BE49-F238E27FC236}">
              <a16:creationId xmlns:a16="http://schemas.microsoft.com/office/drawing/2014/main" id="{00000000-0008-0000-1200-0000880A0000}"/>
            </a:ext>
          </a:extLst>
        </xdr:cNvPr>
        <xdr:cNvCxnSpPr/>
      </xdr:nvCxnSpPr>
      <xdr:spPr>
        <a:xfrm>
          <a:off x="11313583" y="37263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614</xdr:row>
      <xdr:rowOff>52917</xdr:rowOff>
    </xdr:from>
    <xdr:to>
      <xdr:col>15</xdr:col>
      <xdr:colOff>603250</xdr:colOff>
      <xdr:row>616</xdr:row>
      <xdr:rowOff>148167</xdr:rowOff>
    </xdr:to>
    <xdr:cxnSp macro="">
      <xdr:nvCxnSpPr>
        <xdr:cNvPr id="2697" name="Straight Arrow Connector 2696">
          <a:extLst>
            <a:ext uri="{FF2B5EF4-FFF2-40B4-BE49-F238E27FC236}">
              <a16:creationId xmlns:a16="http://schemas.microsoft.com/office/drawing/2014/main" id="{00000000-0008-0000-1200-0000890A0000}"/>
            </a:ext>
          </a:extLst>
        </xdr:cNvPr>
        <xdr:cNvCxnSpPr/>
      </xdr:nvCxnSpPr>
      <xdr:spPr>
        <a:xfrm flipV="1">
          <a:off x="11324166"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649</xdr:row>
      <xdr:rowOff>42333</xdr:rowOff>
    </xdr:from>
    <xdr:to>
      <xdr:col>11</xdr:col>
      <xdr:colOff>603250</xdr:colOff>
      <xdr:row>661</xdr:row>
      <xdr:rowOff>10583</xdr:rowOff>
    </xdr:to>
    <xdr:cxnSp macro="">
      <xdr:nvCxnSpPr>
        <xdr:cNvPr id="2698" name="Straight Arrow Connector 2697">
          <a:extLst>
            <a:ext uri="{FF2B5EF4-FFF2-40B4-BE49-F238E27FC236}">
              <a16:creationId xmlns:a16="http://schemas.microsoft.com/office/drawing/2014/main" id="{00000000-0008-0000-1200-00008A0A0000}"/>
            </a:ext>
          </a:extLst>
        </xdr:cNvPr>
        <xdr:cNvCxnSpPr/>
      </xdr:nvCxnSpPr>
      <xdr:spPr>
        <a:xfrm>
          <a:off x="7926917"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639</xdr:row>
      <xdr:rowOff>21167</xdr:rowOff>
    </xdr:from>
    <xdr:to>
      <xdr:col>13</xdr:col>
      <xdr:colOff>592667</xdr:colOff>
      <xdr:row>641</xdr:row>
      <xdr:rowOff>0</xdr:rowOff>
    </xdr:to>
    <xdr:cxnSp macro="">
      <xdr:nvCxnSpPr>
        <xdr:cNvPr id="2699" name="Straight Arrow Connector 2698">
          <a:extLst>
            <a:ext uri="{FF2B5EF4-FFF2-40B4-BE49-F238E27FC236}">
              <a16:creationId xmlns:a16="http://schemas.microsoft.com/office/drawing/2014/main" id="{00000000-0008-0000-1200-00008B0A0000}"/>
            </a:ext>
          </a:extLst>
        </xdr:cNvPr>
        <xdr:cNvCxnSpPr/>
      </xdr:nvCxnSpPr>
      <xdr:spPr>
        <a:xfrm flipV="1">
          <a:off x="9133417" y="35835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644</xdr:row>
      <xdr:rowOff>21166</xdr:rowOff>
    </xdr:from>
    <xdr:to>
      <xdr:col>13</xdr:col>
      <xdr:colOff>592667</xdr:colOff>
      <xdr:row>645</xdr:row>
      <xdr:rowOff>169334</xdr:rowOff>
    </xdr:to>
    <xdr:cxnSp macro="">
      <xdr:nvCxnSpPr>
        <xdr:cNvPr id="2700" name="Straight Arrow Connector 2699">
          <a:extLst>
            <a:ext uri="{FF2B5EF4-FFF2-40B4-BE49-F238E27FC236}">
              <a16:creationId xmlns:a16="http://schemas.microsoft.com/office/drawing/2014/main" id="{00000000-0008-0000-1200-00008C0A0000}"/>
            </a:ext>
          </a:extLst>
        </xdr:cNvPr>
        <xdr:cNvCxnSpPr/>
      </xdr:nvCxnSpPr>
      <xdr:spPr>
        <a:xfrm>
          <a:off x="9122833" y="36787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659</xdr:row>
      <xdr:rowOff>21167</xdr:rowOff>
    </xdr:from>
    <xdr:to>
      <xdr:col>13</xdr:col>
      <xdr:colOff>592667</xdr:colOff>
      <xdr:row>661</xdr:row>
      <xdr:rowOff>63500</xdr:rowOff>
    </xdr:to>
    <xdr:cxnSp macro="">
      <xdr:nvCxnSpPr>
        <xdr:cNvPr id="2701" name="Straight Arrow Connector 2700">
          <a:extLst>
            <a:ext uri="{FF2B5EF4-FFF2-40B4-BE49-F238E27FC236}">
              <a16:creationId xmlns:a16="http://schemas.microsoft.com/office/drawing/2014/main" id="{00000000-0008-0000-1200-00008D0A0000}"/>
            </a:ext>
          </a:extLst>
        </xdr:cNvPr>
        <xdr:cNvCxnSpPr/>
      </xdr:nvCxnSpPr>
      <xdr:spPr>
        <a:xfrm flipV="1">
          <a:off x="952500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664</xdr:row>
      <xdr:rowOff>0</xdr:rowOff>
    </xdr:from>
    <xdr:to>
      <xdr:col>14</xdr:col>
      <xdr:colOff>10584</xdr:colOff>
      <xdr:row>672</xdr:row>
      <xdr:rowOff>148167</xdr:rowOff>
    </xdr:to>
    <xdr:cxnSp macro="">
      <xdr:nvCxnSpPr>
        <xdr:cNvPr id="2702" name="Straight Arrow Connector 2701">
          <a:extLst>
            <a:ext uri="{FF2B5EF4-FFF2-40B4-BE49-F238E27FC236}">
              <a16:creationId xmlns:a16="http://schemas.microsoft.com/office/drawing/2014/main" id="{00000000-0008-0000-1200-00008E0A0000}"/>
            </a:ext>
          </a:extLst>
        </xdr:cNvPr>
        <xdr:cNvCxnSpPr/>
      </xdr:nvCxnSpPr>
      <xdr:spPr>
        <a:xfrm>
          <a:off x="9535583" y="40767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95250</xdr:rowOff>
    </xdr:from>
    <xdr:to>
      <xdr:col>15</xdr:col>
      <xdr:colOff>582083</xdr:colOff>
      <xdr:row>637</xdr:row>
      <xdr:rowOff>137583</xdr:rowOff>
    </xdr:to>
    <xdr:cxnSp macro="">
      <xdr:nvCxnSpPr>
        <xdr:cNvPr id="2703" name="Straight Arrow Connector 2702">
          <a:extLst>
            <a:ext uri="{FF2B5EF4-FFF2-40B4-BE49-F238E27FC236}">
              <a16:creationId xmlns:a16="http://schemas.microsoft.com/office/drawing/2014/main" id="{00000000-0008-0000-1200-00008F0A0000}"/>
            </a:ext>
          </a:extLst>
        </xdr:cNvPr>
        <xdr:cNvCxnSpPr/>
      </xdr:nvCxnSpPr>
      <xdr:spPr>
        <a:xfrm>
          <a:off x="11334749"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644</xdr:row>
      <xdr:rowOff>52916</xdr:rowOff>
    </xdr:from>
    <xdr:to>
      <xdr:col>16</xdr:col>
      <xdr:colOff>0</xdr:colOff>
      <xdr:row>646</xdr:row>
      <xdr:rowOff>0</xdr:rowOff>
    </xdr:to>
    <xdr:cxnSp macro="">
      <xdr:nvCxnSpPr>
        <xdr:cNvPr id="2704" name="Straight Arrow Connector 2703">
          <a:extLst>
            <a:ext uri="{FF2B5EF4-FFF2-40B4-BE49-F238E27FC236}">
              <a16:creationId xmlns:a16="http://schemas.microsoft.com/office/drawing/2014/main" id="{00000000-0008-0000-1200-0000900A0000}"/>
            </a:ext>
          </a:extLst>
        </xdr:cNvPr>
        <xdr:cNvCxnSpPr/>
      </xdr:nvCxnSpPr>
      <xdr:spPr>
        <a:xfrm flipV="1">
          <a:off x="11281833" y="36819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21167</xdr:rowOff>
    </xdr:from>
    <xdr:to>
      <xdr:col>15</xdr:col>
      <xdr:colOff>592666</xdr:colOff>
      <xdr:row>647</xdr:row>
      <xdr:rowOff>84667</xdr:rowOff>
    </xdr:to>
    <xdr:cxnSp macro="">
      <xdr:nvCxnSpPr>
        <xdr:cNvPr id="2705" name="Straight Arrow Connector 2704">
          <a:extLst>
            <a:ext uri="{FF2B5EF4-FFF2-40B4-BE49-F238E27FC236}">
              <a16:creationId xmlns:a16="http://schemas.microsoft.com/office/drawing/2014/main" id="{00000000-0008-0000-1200-0000910A0000}"/>
            </a:ext>
          </a:extLst>
        </xdr:cNvPr>
        <xdr:cNvCxnSpPr/>
      </xdr:nvCxnSpPr>
      <xdr:spPr>
        <a:xfrm>
          <a:off x="11271250"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0</xdr:rowOff>
    </xdr:from>
    <xdr:to>
      <xdr:col>16</xdr:col>
      <xdr:colOff>0</xdr:colOff>
      <xdr:row>650</xdr:row>
      <xdr:rowOff>42334</xdr:rowOff>
    </xdr:to>
    <xdr:cxnSp macro="">
      <xdr:nvCxnSpPr>
        <xdr:cNvPr id="2706" name="Straight Arrow Connector 2705">
          <a:extLst>
            <a:ext uri="{FF2B5EF4-FFF2-40B4-BE49-F238E27FC236}">
              <a16:creationId xmlns:a16="http://schemas.microsoft.com/office/drawing/2014/main" id="{00000000-0008-0000-1200-0000920A0000}"/>
            </a:ext>
          </a:extLst>
        </xdr:cNvPr>
        <xdr:cNvCxnSpPr/>
      </xdr:nvCxnSpPr>
      <xdr:spPr>
        <a:xfrm>
          <a:off x="11271250" y="37147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657</xdr:row>
      <xdr:rowOff>0</xdr:rowOff>
    </xdr:from>
    <xdr:to>
      <xdr:col>15</xdr:col>
      <xdr:colOff>603250</xdr:colOff>
      <xdr:row>659</xdr:row>
      <xdr:rowOff>1</xdr:rowOff>
    </xdr:to>
    <xdr:cxnSp macro="">
      <xdr:nvCxnSpPr>
        <xdr:cNvPr id="2707" name="Straight Arrow Connector 2706">
          <a:extLst>
            <a:ext uri="{FF2B5EF4-FFF2-40B4-BE49-F238E27FC236}">
              <a16:creationId xmlns:a16="http://schemas.microsoft.com/office/drawing/2014/main" id="{00000000-0008-0000-1200-0000930A0000}"/>
            </a:ext>
          </a:extLst>
        </xdr:cNvPr>
        <xdr:cNvCxnSpPr/>
      </xdr:nvCxnSpPr>
      <xdr:spPr>
        <a:xfrm flipV="1">
          <a:off x="11271250"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659</xdr:row>
      <xdr:rowOff>10584</xdr:rowOff>
    </xdr:from>
    <xdr:to>
      <xdr:col>15</xdr:col>
      <xdr:colOff>592666</xdr:colOff>
      <xdr:row>660</xdr:row>
      <xdr:rowOff>95250</xdr:rowOff>
    </xdr:to>
    <xdr:cxnSp macro="">
      <xdr:nvCxnSpPr>
        <xdr:cNvPr id="2708" name="Straight Arrow Connector 2707">
          <a:extLst>
            <a:ext uri="{FF2B5EF4-FFF2-40B4-BE49-F238E27FC236}">
              <a16:creationId xmlns:a16="http://schemas.microsoft.com/office/drawing/2014/main" id="{00000000-0008-0000-1200-0000940A0000}"/>
            </a:ext>
          </a:extLst>
        </xdr:cNvPr>
        <xdr:cNvCxnSpPr/>
      </xdr:nvCxnSpPr>
      <xdr:spPr>
        <a:xfrm>
          <a:off x="11313583"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659</xdr:row>
      <xdr:rowOff>10584</xdr:rowOff>
    </xdr:from>
    <xdr:to>
      <xdr:col>15</xdr:col>
      <xdr:colOff>560916</xdr:colOff>
      <xdr:row>663</xdr:row>
      <xdr:rowOff>52917</xdr:rowOff>
    </xdr:to>
    <xdr:cxnSp macro="">
      <xdr:nvCxnSpPr>
        <xdr:cNvPr id="2709" name="Straight Arrow Connector 2708">
          <a:extLst>
            <a:ext uri="{FF2B5EF4-FFF2-40B4-BE49-F238E27FC236}">
              <a16:creationId xmlns:a16="http://schemas.microsoft.com/office/drawing/2014/main" id="{00000000-0008-0000-1200-0000950A0000}"/>
            </a:ext>
          </a:extLst>
        </xdr:cNvPr>
        <xdr:cNvCxnSpPr/>
      </xdr:nvCxnSpPr>
      <xdr:spPr>
        <a:xfrm>
          <a:off x="11292416"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710" name="Straight Arrow Connector 2709">
          <a:extLst>
            <a:ext uri="{FF2B5EF4-FFF2-40B4-BE49-F238E27FC236}">
              <a16:creationId xmlns:a16="http://schemas.microsoft.com/office/drawing/2014/main" id="{00000000-0008-0000-1200-0000960A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673</xdr:row>
      <xdr:rowOff>0</xdr:rowOff>
    </xdr:from>
    <xdr:to>
      <xdr:col>16</xdr:col>
      <xdr:colOff>0</xdr:colOff>
      <xdr:row>673</xdr:row>
      <xdr:rowOff>42334</xdr:rowOff>
    </xdr:to>
    <xdr:cxnSp macro="">
      <xdr:nvCxnSpPr>
        <xdr:cNvPr id="2711" name="Straight Arrow Connector 2710">
          <a:extLst>
            <a:ext uri="{FF2B5EF4-FFF2-40B4-BE49-F238E27FC236}">
              <a16:creationId xmlns:a16="http://schemas.microsoft.com/office/drawing/2014/main" id="{00000000-0008-0000-1200-0000970A0000}"/>
            </a:ext>
          </a:extLst>
        </xdr:cNvPr>
        <xdr:cNvCxnSpPr/>
      </xdr:nvCxnSpPr>
      <xdr:spPr>
        <a:xfrm>
          <a:off x="11302999" y="42481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673</xdr:row>
      <xdr:rowOff>21166</xdr:rowOff>
    </xdr:from>
    <xdr:to>
      <xdr:col>15</xdr:col>
      <xdr:colOff>560916</xdr:colOff>
      <xdr:row>676</xdr:row>
      <xdr:rowOff>84667</xdr:rowOff>
    </xdr:to>
    <xdr:cxnSp macro="">
      <xdr:nvCxnSpPr>
        <xdr:cNvPr id="2712" name="Straight Arrow Connector 2711">
          <a:extLst>
            <a:ext uri="{FF2B5EF4-FFF2-40B4-BE49-F238E27FC236}">
              <a16:creationId xmlns:a16="http://schemas.microsoft.com/office/drawing/2014/main" id="{00000000-0008-0000-1200-0000980A0000}"/>
            </a:ext>
          </a:extLst>
        </xdr:cNvPr>
        <xdr:cNvCxnSpPr/>
      </xdr:nvCxnSpPr>
      <xdr:spPr>
        <a:xfrm>
          <a:off x="11355916"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673</xdr:row>
      <xdr:rowOff>52916</xdr:rowOff>
    </xdr:from>
    <xdr:to>
      <xdr:col>15</xdr:col>
      <xdr:colOff>592666</xdr:colOff>
      <xdr:row>679</xdr:row>
      <xdr:rowOff>63501</xdr:rowOff>
    </xdr:to>
    <xdr:cxnSp macro="">
      <xdr:nvCxnSpPr>
        <xdr:cNvPr id="2713" name="Straight Arrow Connector 2712">
          <a:extLst>
            <a:ext uri="{FF2B5EF4-FFF2-40B4-BE49-F238E27FC236}">
              <a16:creationId xmlns:a16="http://schemas.microsoft.com/office/drawing/2014/main" id="{00000000-0008-0000-1200-0000990A0000}"/>
            </a:ext>
          </a:extLst>
        </xdr:cNvPr>
        <xdr:cNvCxnSpPr/>
      </xdr:nvCxnSpPr>
      <xdr:spPr>
        <a:xfrm>
          <a:off x="11313583"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670</xdr:row>
      <xdr:rowOff>52917</xdr:rowOff>
    </xdr:from>
    <xdr:to>
      <xdr:col>15</xdr:col>
      <xdr:colOff>603250</xdr:colOff>
      <xdr:row>672</xdr:row>
      <xdr:rowOff>148167</xdr:rowOff>
    </xdr:to>
    <xdr:cxnSp macro="">
      <xdr:nvCxnSpPr>
        <xdr:cNvPr id="2714" name="Straight Arrow Connector 2713">
          <a:extLst>
            <a:ext uri="{FF2B5EF4-FFF2-40B4-BE49-F238E27FC236}">
              <a16:creationId xmlns:a16="http://schemas.microsoft.com/office/drawing/2014/main" id="{00000000-0008-0000-1200-00009A0A0000}"/>
            </a:ext>
          </a:extLst>
        </xdr:cNvPr>
        <xdr:cNvCxnSpPr/>
      </xdr:nvCxnSpPr>
      <xdr:spPr>
        <a:xfrm flipV="1">
          <a:off x="11324166"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581</xdr:row>
      <xdr:rowOff>127000</xdr:rowOff>
    </xdr:from>
    <xdr:to>
      <xdr:col>8</xdr:col>
      <xdr:colOff>63500</xdr:colOff>
      <xdr:row>600</xdr:row>
      <xdr:rowOff>0</xdr:rowOff>
    </xdr:to>
    <xdr:cxnSp macro="">
      <xdr:nvCxnSpPr>
        <xdr:cNvPr id="2715" name="Straight Arrow Connector 2714">
          <a:extLst>
            <a:ext uri="{FF2B5EF4-FFF2-40B4-BE49-F238E27FC236}">
              <a16:creationId xmlns:a16="http://schemas.microsoft.com/office/drawing/2014/main" id="{00000000-0008-0000-1200-00009B0A0000}"/>
            </a:ext>
          </a:extLst>
        </xdr:cNvPr>
        <xdr:cNvCxnSpPr/>
      </xdr:nvCxnSpPr>
      <xdr:spPr>
        <a:xfrm flipV="1">
          <a:off x="5492750" y="247015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718</xdr:row>
      <xdr:rowOff>1</xdr:rowOff>
    </xdr:from>
    <xdr:to>
      <xdr:col>6</xdr:col>
      <xdr:colOff>0</xdr:colOff>
      <xdr:row>752</xdr:row>
      <xdr:rowOff>116417</xdr:rowOff>
    </xdr:to>
    <xdr:cxnSp macro="">
      <xdr:nvCxnSpPr>
        <xdr:cNvPr id="2716" name="Straight Arrow Connector 2715">
          <a:extLst>
            <a:ext uri="{FF2B5EF4-FFF2-40B4-BE49-F238E27FC236}">
              <a16:creationId xmlns:a16="http://schemas.microsoft.com/office/drawing/2014/main" id="{00000000-0008-0000-1200-00009C0A0000}"/>
            </a:ext>
          </a:extLst>
        </xdr:cNvPr>
        <xdr:cNvCxnSpPr/>
      </xdr:nvCxnSpPr>
      <xdr:spPr>
        <a:xfrm flipV="1">
          <a:off x="3810000" y="512445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755</xdr:row>
      <xdr:rowOff>169334</xdr:rowOff>
    </xdr:from>
    <xdr:to>
      <xdr:col>5</xdr:col>
      <xdr:colOff>571500</xdr:colOff>
      <xdr:row>824</xdr:row>
      <xdr:rowOff>0</xdr:rowOff>
    </xdr:to>
    <xdr:cxnSp macro="">
      <xdr:nvCxnSpPr>
        <xdr:cNvPr id="2717" name="Straight Arrow Connector 2716">
          <a:extLst>
            <a:ext uri="{FF2B5EF4-FFF2-40B4-BE49-F238E27FC236}">
              <a16:creationId xmlns:a16="http://schemas.microsoft.com/office/drawing/2014/main" id="{00000000-0008-0000-1200-00009D0A0000}"/>
            </a:ext>
          </a:extLst>
        </xdr:cNvPr>
        <xdr:cNvCxnSpPr/>
      </xdr:nvCxnSpPr>
      <xdr:spPr>
        <a:xfrm>
          <a:off x="389466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693</xdr:row>
      <xdr:rowOff>148167</xdr:rowOff>
    </xdr:from>
    <xdr:to>
      <xdr:col>7</xdr:col>
      <xdr:colOff>603250</xdr:colOff>
      <xdr:row>715</xdr:row>
      <xdr:rowOff>31750</xdr:rowOff>
    </xdr:to>
    <xdr:cxnSp macro="">
      <xdr:nvCxnSpPr>
        <xdr:cNvPr id="2718" name="Straight Arrow Connector 2717">
          <a:extLst>
            <a:ext uri="{FF2B5EF4-FFF2-40B4-BE49-F238E27FC236}">
              <a16:creationId xmlns:a16="http://schemas.microsoft.com/office/drawing/2014/main" id="{00000000-0008-0000-1200-00009E0A0000}"/>
            </a:ext>
          </a:extLst>
        </xdr:cNvPr>
        <xdr:cNvCxnSpPr/>
      </xdr:nvCxnSpPr>
      <xdr:spPr>
        <a:xfrm flipV="1">
          <a:off x="546100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718</xdr:row>
      <xdr:rowOff>10584</xdr:rowOff>
    </xdr:from>
    <xdr:to>
      <xdr:col>8</xdr:col>
      <xdr:colOff>21167</xdr:colOff>
      <xdr:row>746</xdr:row>
      <xdr:rowOff>148166</xdr:rowOff>
    </xdr:to>
    <xdr:cxnSp macro="">
      <xdr:nvCxnSpPr>
        <xdr:cNvPr id="2719" name="Straight Arrow Connector 2718">
          <a:extLst>
            <a:ext uri="{FF2B5EF4-FFF2-40B4-BE49-F238E27FC236}">
              <a16:creationId xmlns:a16="http://schemas.microsoft.com/office/drawing/2014/main" id="{00000000-0008-0000-1200-00009F0A0000}"/>
            </a:ext>
          </a:extLst>
        </xdr:cNvPr>
        <xdr:cNvCxnSpPr/>
      </xdr:nvCxnSpPr>
      <xdr:spPr>
        <a:xfrm>
          <a:off x="5461000" y="512550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685</xdr:row>
      <xdr:rowOff>137583</xdr:rowOff>
    </xdr:from>
    <xdr:to>
      <xdr:col>9</xdr:col>
      <xdr:colOff>603250</xdr:colOff>
      <xdr:row>691</xdr:row>
      <xdr:rowOff>21166</xdr:rowOff>
    </xdr:to>
    <xdr:cxnSp macro="">
      <xdr:nvCxnSpPr>
        <xdr:cNvPr id="2720" name="Straight Arrow Connector 2719">
          <a:extLst>
            <a:ext uri="{FF2B5EF4-FFF2-40B4-BE49-F238E27FC236}">
              <a16:creationId xmlns:a16="http://schemas.microsoft.com/office/drawing/2014/main" id="{00000000-0008-0000-1200-0000A00A0000}"/>
            </a:ext>
          </a:extLst>
        </xdr:cNvPr>
        <xdr:cNvCxnSpPr/>
      </xdr:nvCxnSpPr>
      <xdr:spPr>
        <a:xfrm flipV="1">
          <a:off x="6688667"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694</xdr:row>
      <xdr:rowOff>0</xdr:rowOff>
    </xdr:from>
    <xdr:to>
      <xdr:col>9</xdr:col>
      <xdr:colOff>582083</xdr:colOff>
      <xdr:row>702</xdr:row>
      <xdr:rowOff>10583</xdr:rowOff>
    </xdr:to>
    <xdr:cxnSp macro="">
      <xdr:nvCxnSpPr>
        <xdr:cNvPr id="2721" name="Straight Arrow Connector 2720">
          <a:extLst>
            <a:ext uri="{FF2B5EF4-FFF2-40B4-BE49-F238E27FC236}">
              <a16:creationId xmlns:a16="http://schemas.microsoft.com/office/drawing/2014/main" id="{00000000-0008-0000-1200-0000A10A0000}"/>
            </a:ext>
          </a:extLst>
        </xdr:cNvPr>
        <xdr:cNvCxnSpPr/>
      </xdr:nvCxnSpPr>
      <xdr:spPr>
        <a:xfrm>
          <a:off x="6720417"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699</xdr:row>
      <xdr:rowOff>169333</xdr:rowOff>
    </xdr:from>
    <xdr:to>
      <xdr:col>11</xdr:col>
      <xdr:colOff>603250</xdr:colOff>
      <xdr:row>702</xdr:row>
      <xdr:rowOff>21167</xdr:rowOff>
    </xdr:to>
    <xdr:cxnSp macro="">
      <xdr:nvCxnSpPr>
        <xdr:cNvPr id="2722" name="Straight Arrow Connector 2721">
          <a:extLst>
            <a:ext uri="{FF2B5EF4-FFF2-40B4-BE49-F238E27FC236}">
              <a16:creationId xmlns:a16="http://schemas.microsoft.com/office/drawing/2014/main" id="{00000000-0008-0000-1200-0000A20A0000}"/>
            </a:ext>
          </a:extLst>
        </xdr:cNvPr>
        <xdr:cNvCxnSpPr/>
      </xdr:nvCxnSpPr>
      <xdr:spPr>
        <a:xfrm flipV="1">
          <a:off x="7937500"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705</xdr:row>
      <xdr:rowOff>42333</xdr:rowOff>
    </xdr:from>
    <xdr:to>
      <xdr:col>11</xdr:col>
      <xdr:colOff>603250</xdr:colOff>
      <xdr:row>717</xdr:row>
      <xdr:rowOff>10583</xdr:rowOff>
    </xdr:to>
    <xdr:cxnSp macro="">
      <xdr:nvCxnSpPr>
        <xdr:cNvPr id="2723" name="Straight Arrow Connector 2722">
          <a:extLst>
            <a:ext uri="{FF2B5EF4-FFF2-40B4-BE49-F238E27FC236}">
              <a16:creationId xmlns:a16="http://schemas.microsoft.com/office/drawing/2014/main" id="{00000000-0008-0000-1200-0000A30A0000}"/>
            </a:ext>
          </a:extLst>
        </xdr:cNvPr>
        <xdr:cNvCxnSpPr/>
      </xdr:nvCxnSpPr>
      <xdr:spPr>
        <a:xfrm>
          <a:off x="7926917"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695</xdr:row>
      <xdr:rowOff>21167</xdr:rowOff>
    </xdr:from>
    <xdr:to>
      <xdr:col>13</xdr:col>
      <xdr:colOff>592667</xdr:colOff>
      <xdr:row>697</xdr:row>
      <xdr:rowOff>0</xdr:rowOff>
    </xdr:to>
    <xdr:cxnSp macro="">
      <xdr:nvCxnSpPr>
        <xdr:cNvPr id="2724" name="Straight Arrow Connector 2723">
          <a:extLst>
            <a:ext uri="{FF2B5EF4-FFF2-40B4-BE49-F238E27FC236}">
              <a16:creationId xmlns:a16="http://schemas.microsoft.com/office/drawing/2014/main" id="{00000000-0008-0000-1200-0000A40A0000}"/>
            </a:ext>
          </a:extLst>
        </xdr:cNvPr>
        <xdr:cNvCxnSpPr/>
      </xdr:nvCxnSpPr>
      <xdr:spPr>
        <a:xfrm flipV="1">
          <a:off x="9133417" y="46693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700</xdr:row>
      <xdr:rowOff>21166</xdr:rowOff>
    </xdr:from>
    <xdr:to>
      <xdr:col>13</xdr:col>
      <xdr:colOff>592667</xdr:colOff>
      <xdr:row>701</xdr:row>
      <xdr:rowOff>169334</xdr:rowOff>
    </xdr:to>
    <xdr:cxnSp macro="">
      <xdr:nvCxnSpPr>
        <xdr:cNvPr id="2725" name="Straight Arrow Connector 2724">
          <a:extLst>
            <a:ext uri="{FF2B5EF4-FFF2-40B4-BE49-F238E27FC236}">
              <a16:creationId xmlns:a16="http://schemas.microsoft.com/office/drawing/2014/main" id="{00000000-0008-0000-1200-0000A50A0000}"/>
            </a:ext>
          </a:extLst>
        </xdr:cNvPr>
        <xdr:cNvCxnSpPr/>
      </xdr:nvCxnSpPr>
      <xdr:spPr>
        <a:xfrm>
          <a:off x="9088966" y="133371166"/>
          <a:ext cx="99060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715</xdr:row>
      <xdr:rowOff>21167</xdr:rowOff>
    </xdr:from>
    <xdr:to>
      <xdr:col>13</xdr:col>
      <xdr:colOff>592667</xdr:colOff>
      <xdr:row>717</xdr:row>
      <xdr:rowOff>63500</xdr:rowOff>
    </xdr:to>
    <xdr:cxnSp macro="">
      <xdr:nvCxnSpPr>
        <xdr:cNvPr id="2726" name="Straight Arrow Connector 2725">
          <a:extLst>
            <a:ext uri="{FF2B5EF4-FFF2-40B4-BE49-F238E27FC236}">
              <a16:creationId xmlns:a16="http://schemas.microsoft.com/office/drawing/2014/main" id="{00000000-0008-0000-1200-0000A60A0000}"/>
            </a:ext>
          </a:extLst>
        </xdr:cNvPr>
        <xdr:cNvCxnSpPr/>
      </xdr:nvCxnSpPr>
      <xdr:spPr>
        <a:xfrm flipV="1">
          <a:off x="952500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720</xdr:row>
      <xdr:rowOff>0</xdr:rowOff>
    </xdr:from>
    <xdr:to>
      <xdr:col>14</xdr:col>
      <xdr:colOff>10584</xdr:colOff>
      <xdr:row>728</xdr:row>
      <xdr:rowOff>148167</xdr:rowOff>
    </xdr:to>
    <xdr:cxnSp macro="">
      <xdr:nvCxnSpPr>
        <xdr:cNvPr id="2727" name="Straight Arrow Connector 2726">
          <a:extLst>
            <a:ext uri="{FF2B5EF4-FFF2-40B4-BE49-F238E27FC236}">
              <a16:creationId xmlns:a16="http://schemas.microsoft.com/office/drawing/2014/main" id="{00000000-0008-0000-1200-0000A70A0000}"/>
            </a:ext>
          </a:extLst>
        </xdr:cNvPr>
        <xdr:cNvCxnSpPr/>
      </xdr:nvCxnSpPr>
      <xdr:spPr>
        <a:xfrm>
          <a:off x="9535583" y="51625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687</xdr:row>
      <xdr:rowOff>0</xdr:rowOff>
    </xdr:from>
    <xdr:to>
      <xdr:col>15</xdr:col>
      <xdr:colOff>603250</xdr:colOff>
      <xdr:row>692</xdr:row>
      <xdr:rowOff>31750</xdr:rowOff>
    </xdr:to>
    <xdr:cxnSp macro="">
      <xdr:nvCxnSpPr>
        <xdr:cNvPr id="2728" name="Straight Arrow Connector 2727">
          <a:extLst>
            <a:ext uri="{FF2B5EF4-FFF2-40B4-BE49-F238E27FC236}">
              <a16:creationId xmlns:a16="http://schemas.microsoft.com/office/drawing/2014/main" id="{00000000-0008-0000-1200-0000A80A0000}"/>
            </a:ext>
          </a:extLst>
        </xdr:cNvPr>
        <xdr:cNvCxnSpPr/>
      </xdr:nvCxnSpPr>
      <xdr:spPr>
        <a:xfrm flipV="1">
          <a:off x="11281833"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690</xdr:row>
      <xdr:rowOff>52917</xdr:rowOff>
    </xdr:from>
    <xdr:to>
      <xdr:col>15</xdr:col>
      <xdr:colOff>603250</xdr:colOff>
      <xdr:row>692</xdr:row>
      <xdr:rowOff>95250</xdr:rowOff>
    </xdr:to>
    <xdr:cxnSp macro="">
      <xdr:nvCxnSpPr>
        <xdr:cNvPr id="2729" name="Straight Arrow Connector 2728">
          <a:extLst>
            <a:ext uri="{FF2B5EF4-FFF2-40B4-BE49-F238E27FC236}">
              <a16:creationId xmlns:a16="http://schemas.microsoft.com/office/drawing/2014/main" id="{00000000-0008-0000-1200-0000A90A0000}"/>
            </a:ext>
          </a:extLst>
        </xdr:cNvPr>
        <xdr:cNvCxnSpPr/>
      </xdr:nvCxnSpPr>
      <xdr:spPr>
        <a:xfrm flipV="1">
          <a:off x="11324166"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692</xdr:row>
      <xdr:rowOff>158750</xdr:rowOff>
    </xdr:from>
    <xdr:to>
      <xdr:col>15</xdr:col>
      <xdr:colOff>582083</xdr:colOff>
      <xdr:row>693</xdr:row>
      <xdr:rowOff>137583</xdr:rowOff>
    </xdr:to>
    <xdr:cxnSp macro="">
      <xdr:nvCxnSpPr>
        <xdr:cNvPr id="2730" name="Straight Arrow Connector 2729">
          <a:extLst>
            <a:ext uri="{FF2B5EF4-FFF2-40B4-BE49-F238E27FC236}">
              <a16:creationId xmlns:a16="http://schemas.microsoft.com/office/drawing/2014/main" id="{00000000-0008-0000-1200-0000AA0A0000}"/>
            </a:ext>
          </a:extLst>
        </xdr:cNvPr>
        <xdr:cNvCxnSpPr/>
      </xdr:nvCxnSpPr>
      <xdr:spPr>
        <a:xfrm>
          <a:off x="11345333"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692</xdr:row>
      <xdr:rowOff>105834</xdr:rowOff>
    </xdr:from>
    <xdr:to>
      <xdr:col>16</xdr:col>
      <xdr:colOff>0</xdr:colOff>
      <xdr:row>696</xdr:row>
      <xdr:rowOff>84667</xdr:rowOff>
    </xdr:to>
    <xdr:cxnSp macro="">
      <xdr:nvCxnSpPr>
        <xdr:cNvPr id="2731" name="Straight Arrow Connector 2730">
          <a:extLst>
            <a:ext uri="{FF2B5EF4-FFF2-40B4-BE49-F238E27FC236}">
              <a16:creationId xmlns:a16="http://schemas.microsoft.com/office/drawing/2014/main" id="{00000000-0008-0000-1200-0000AB0A0000}"/>
            </a:ext>
          </a:extLst>
        </xdr:cNvPr>
        <xdr:cNvCxnSpPr/>
      </xdr:nvCxnSpPr>
      <xdr:spPr>
        <a:xfrm>
          <a:off x="11260667" y="46206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700</xdr:row>
      <xdr:rowOff>52916</xdr:rowOff>
    </xdr:from>
    <xdr:to>
      <xdr:col>16</xdr:col>
      <xdr:colOff>0</xdr:colOff>
      <xdr:row>702</xdr:row>
      <xdr:rowOff>0</xdr:rowOff>
    </xdr:to>
    <xdr:cxnSp macro="">
      <xdr:nvCxnSpPr>
        <xdr:cNvPr id="2732" name="Straight Arrow Connector 2731">
          <a:extLst>
            <a:ext uri="{FF2B5EF4-FFF2-40B4-BE49-F238E27FC236}">
              <a16:creationId xmlns:a16="http://schemas.microsoft.com/office/drawing/2014/main" id="{00000000-0008-0000-1200-0000AC0A0000}"/>
            </a:ext>
          </a:extLst>
        </xdr:cNvPr>
        <xdr:cNvCxnSpPr/>
      </xdr:nvCxnSpPr>
      <xdr:spPr>
        <a:xfrm flipV="1">
          <a:off x="11281833" y="47677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702</xdr:row>
      <xdr:rowOff>21167</xdr:rowOff>
    </xdr:from>
    <xdr:to>
      <xdr:col>15</xdr:col>
      <xdr:colOff>582083</xdr:colOff>
      <xdr:row>703</xdr:row>
      <xdr:rowOff>42333</xdr:rowOff>
    </xdr:to>
    <xdr:cxnSp macro="">
      <xdr:nvCxnSpPr>
        <xdr:cNvPr id="2733" name="Straight Arrow Connector 2732">
          <a:extLst>
            <a:ext uri="{FF2B5EF4-FFF2-40B4-BE49-F238E27FC236}">
              <a16:creationId xmlns:a16="http://schemas.microsoft.com/office/drawing/2014/main" id="{00000000-0008-0000-1200-0000AD0A0000}"/>
            </a:ext>
          </a:extLst>
        </xdr:cNvPr>
        <xdr:cNvCxnSpPr/>
      </xdr:nvCxnSpPr>
      <xdr:spPr>
        <a:xfrm>
          <a:off x="11292416"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702</xdr:row>
      <xdr:rowOff>21167</xdr:rowOff>
    </xdr:from>
    <xdr:to>
      <xdr:col>16</xdr:col>
      <xdr:colOff>42333</xdr:colOff>
      <xdr:row>707</xdr:row>
      <xdr:rowOff>21168</xdr:rowOff>
    </xdr:to>
    <xdr:cxnSp macro="">
      <xdr:nvCxnSpPr>
        <xdr:cNvPr id="2734" name="Straight Arrow Connector 2733">
          <a:extLst>
            <a:ext uri="{FF2B5EF4-FFF2-40B4-BE49-F238E27FC236}">
              <a16:creationId xmlns:a16="http://schemas.microsoft.com/office/drawing/2014/main" id="{00000000-0008-0000-1200-0000AE0A0000}"/>
            </a:ext>
          </a:extLst>
        </xdr:cNvPr>
        <xdr:cNvCxnSpPr/>
      </xdr:nvCxnSpPr>
      <xdr:spPr>
        <a:xfrm>
          <a:off x="11271250" y="48027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735" name="Straight Arrow Connector 2734">
          <a:extLst>
            <a:ext uri="{FF2B5EF4-FFF2-40B4-BE49-F238E27FC236}">
              <a16:creationId xmlns:a16="http://schemas.microsoft.com/office/drawing/2014/main" id="{00000000-0008-0000-1200-0000AF0A0000}"/>
            </a:ext>
          </a:extLst>
        </xdr:cNvPr>
        <xdr:cNvCxnSpPr/>
      </xdr:nvCxnSpPr>
      <xdr:spPr>
        <a:xfrm>
          <a:off x="11281833" y="480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739</xdr:row>
      <xdr:rowOff>42333</xdr:rowOff>
    </xdr:from>
    <xdr:to>
      <xdr:col>9</xdr:col>
      <xdr:colOff>592666</xdr:colOff>
      <xdr:row>747</xdr:row>
      <xdr:rowOff>42333</xdr:rowOff>
    </xdr:to>
    <xdr:cxnSp macro="">
      <xdr:nvCxnSpPr>
        <xdr:cNvPr id="2736" name="Straight Arrow Connector 2735">
          <a:extLst>
            <a:ext uri="{FF2B5EF4-FFF2-40B4-BE49-F238E27FC236}">
              <a16:creationId xmlns:a16="http://schemas.microsoft.com/office/drawing/2014/main" id="{00000000-0008-0000-1200-0000B00A0000}"/>
            </a:ext>
          </a:extLst>
        </xdr:cNvPr>
        <xdr:cNvCxnSpPr/>
      </xdr:nvCxnSpPr>
      <xdr:spPr>
        <a:xfrm flipV="1">
          <a:off x="6699250"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749</xdr:row>
      <xdr:rowOff>169334</xdr:rowOff>
    </xdr:from>
    <xdr:to>
      <xdr:col>9</xdr:col>
      <xdr:colOff>603250</xdr:colOff>
      <xdr:row>758</xdr:row>
      <xdr:rowOff>31750</xdr:rowOff>
    </xdr:to>
    <xdr:cxnSp macro="">
      <xdr:nvCxnSpPr>
        <xdr:cNvPr id="2737" name="Straight Arrow Connector 2736">
          <a:extLst>
            <a:ext uri="{FF2B5EF4-FFF2-40B4-BE49-F238E27FC236}">
              <a16:creationId xmlns:a16="http://schemas.microsoft.com/office/drawing/2014/main" id="{00000000-0008-0000-1200-0000B10A0000}"/>
            </a:ext>
          </a:extLst>
        </xdr:cNvPr>
        <xdr:cNvCxnSpPr/>
      </xdr:nvCxnSpPr>
      <xdr:spPr>
        <a:xfrm>
          <a:off x="6720417"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755</xdr:row>
      <xdr:rowOff>158750</xdr:rowOff>
    </xdr:from>
    <xdr:to>
      <xdr:col>11</xdr:col>
      <xdr:colOff>571500</xdr:colOff>
      <xdr:row>758</xdr:row>
      <xdr:rowOff>0</xdr:rowOff>
    </xdr:to>
    <xdr:cxnSp macro="">
      <xdr:nvCxnSpPr>
        <xdr:cNvPr id="2738" name="Straight Arrow Connector 2737">
          <a:extLst>
            <a:ext uri="{FF2B5EF4-FFF2-40B4-BE49-F238E27FC236}">
              <a16:creationId xmlns:a16="http://schemas.microsoft.com/office/drawing/2014/main" id="{00000000-0008-0000-1200-0000B20A0000}"/>
            </a:ext>
          </a:extLst>
        </xdr:cNvPr>
        <xdr:cNvCxnSpPr/>
      </xdr:nvCxnSpPr>
      <xdr:spPr>
        <a:xfrm flipV="1">
          <a:off x="7874000" y="58451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713</xdr:row>
      <xdr:rowOff>0</xdr:rowOff>
    </xdr:from>
    <xdr:to>
      <xdr:col>15</xdr:col>
      <xdr:colOff>603250</xdr:colOff>
      <xdr:row>715</xdr:row>
      <xdr:rowOff>1</xdr:rowOff>
    </xdr:to>
    <xdr:cxnSp macro="">
      <xdr:nvCxnSpPr>
        <xdr:cNvPr id="2739" name="Straight Arrow Connector 2738">
          <a:extLst>
            <a:ext uri="{FF2B5EF4-FFF2-40B4-BE49-F238E27FC236}">
              <a16:creationId xmlns:a16="http://schemas.microsoft.com/office/drawing/2014/main" id="{00000000-0008-0000-1200-0000B30A0000}"/>
            </a:ext>
          </a:extLst>
        </xdr:cNvPr>
        <xdr:cNvCxnSpPr/>
      </xdr:nvCxnSpPr>
      <xdr:spPr>
        <a:xfrm flipV="1">
          <a:off x="11271250"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715</xdr:row>
      <xdr:rowOff>10584</xdr:rowOff>
    </xdr:from>
    <xdr:to>
      <xdr:col>15</xdr:col>
      <xdr:colOff>592666</xdr:colOff>
      <xdr:row>716</xdr:row>
      <xdr:rowOff>95250</xdr:rowOff>
    </xdr:to>
    <xdr:cxnSp macro="">
      <xdr:nvCxnSpPr>
        <xdr:cNvPr id="2740" name="Straight Arrow Connector 2739">
          <a:extLst>
            <a:ext uri="{FF2B5EF4-FFF2-40B4-BE49-F238E27FC236}">
              <a16:creationId xmlns:a16="http://schemas.microsoft.com/office/drawing/2014/main" id="{00000000-0008-0000-1200-0000B40A0000}"/>
            </a:ext>
          </a:extLst>
        </xdr:cNvPr>
        <xdr:cNvCxnSpPr/>
      </xdr:nvCxnSpPr>
      <xdr:spPr>
        <a:xfrm>
          <a:off x="11313583"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715</xdr:row>
      <xdr:rowOff>10584</xdr:rowOff>
    </xdr:from>
    <xdr:to>
      <xdr:col>15</xdr:col>
      <xdr:colOff>560916</xdr:colOff>
      <xdr:row>719</xdr:row>
      <xdr:rowOff>52917</xdr:rowOff>
    </xdr:to>
    <xdr:cxnSp macro="">
      <xdr:nvCxnSpPr>
        <xdr:cNvPr id="2741" name="Straight Arrow Connector 2740">
          <a:extLst>
            <a:ext uri="{FF2B5EF4-FFF2-40B4-BE49-F238E27FC236}">
              <a16:creationId xmlns:a16="http://schemas.microsoft.com/office/drawing/2014/main" id="{00000000-0008-0000-1200-0000B50A0000}"/>
            </a:ext>
          </a:extLst>
        </xdr:cNvPr>
        <xdr:cNvCxnSpPr/>
      </xdr:nvCxnSpPr>
      <xdr:spPr>
        <a:xfrm>
          <a:off x="11292416"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742" name="Straight Arrow Connector 2741">
          <a:extLst>
            <a:ext uri="{FF2B5EF4-FFF2-40B4-BE49-F238E27FC236}">
              <a16:creationId xmlns:a16="http://schemas.microsoft.com/office/drawing/2014/main" id="{00000000-0008-0000-1200-0000B60A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729</xdr:row>
      <xdr:rowOff>0</xdr:rowOff>
    </xdr:from>
    <xdr:to>
      <xdr:col>16</xdr:col>
      <xdr:colOff>0</xdr:colOff>
      <xdr:row>729</xdr:row>
      <xdr:rowOff>42334</xdr:rowOff>
    </xdr:to>
    <xdr:cxnSp macro="">
      <xdr:nvCxnSpPr>
        <xdr:cNvPr id="2743" name="Straight Arrow Connector 2742">
          <a:extLst>
            <a:ext uri="{FF2B5EF4-FFF2-40B4-BE49-F238E27FC236}">
              <a16:creationId xmlns:a16="http://schemas.microsoft.com/office/drawing/2014/main" id="{00000000-0008-0000-1200-0000B70A0000}"/>
            </a:ext>
          </a:extLst>
        </xdr:cNvPr>
        <xdr:cNvCxnSpPr/>
      </xdr:nvCxnSpPr>
      <xdr:spPr>
        <a:xfrm>
          <a:off x="11302999" y="53340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729</xdr:row>
      <xdr:rowOff>21166</xdr:rowOff>
    </xdr:from>
    <xdr:to>
      <xdr:col>15</xdr:col>
      <xdr:colOff>560916</xdr:colOff>
      <xdr:row>732</xdr:row>
      <xdr:rowOff>84667</xdr:rowOff>
    </xdr:to>
    <xdr:cxnSp macro="">
      <xdr:nvCxnSpPr>
        <xdr:cNvPr id="2744" name="Straight Arrow Connector 2743">
          <a:extLst>
            <a:ext uri="{FF2B5EF4-FFF2-40B4-BE49-F238E27FC236}">
              <a16:creationId xmlns:a16="http://schemas.microsoft.com/office/drawing/2014/main" id="{00000000-0008-0000-1200-0000B80A0000}"/>
            </a:ext>
          </a:extLst>
        </xdr:cNvPr>
        <xdr:cNvCxnSpPr/>
      </xdr:nvCxnSpPr>
      <xdr:spPr>
        <a:xfrm>
          <a:off x="11355916"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729</xdr:row>
      <xdr:rowOff>52916</xdr:rowOff>
    </xdr:from>
    <xdr:to>
      <xdr:col>15</xdr:col>
      <xdr:colOff>592666</xdr:colOff>
      <xdr:row>735</xdr:row>
      <xdr:rowOff>63501</xdr:rowOff>
    </xdr:to>
    <xdr:cxnSp macro="">
      <xdr:nvCxnSpPr>
        <xdr:cNvPr id="2745" name="Straight Arrow Connector 2744">
          <a:extLst>
            <a:ext uri="{FF2B5EF4-FFF2-40B4-BE49-F238E27FC236}">
              <a16:creationId xmlns:a16="http://schemas.microsoft.com/office/drawing/2014/main" id="{00000000-0008-0000-1200-0000B90A0000}"/>
            </a:ext>
          </a:extLst>
        </xdr:cNvPr>
        <xdr:cNvCxnSpPr/>
      </xdr:nvCxnSpPr>
      <xdr:spPr>
        <a:xfrm>
          <a:off x="11313583"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743</xdr:row>
      <xdr:rowOff>116416</xdr:rowOff>
    </xdr:from>
    <xdr:to>
      <xdr:col>15</xdr:col>
      <xdr:colOff>592666</xdr:colOff>
      <xdr:row>746</xdr:row>
      <xdr:rowOff>158750</xdr:rowOff>
    </xdr:to>
    <xdr:cxnSp macro="">
      <xdr:nvCxnSpPr>
        <xdr:cNvPr id="2746" name="Straight Arrow Connector 2745">
          <a:extLst>
            <a:ext uri="{FF2B5EF4-FFF2-40B4-BE49-F238E27FC236}">
              <a16:creationId xmlns:a16="http://schemas.microsoft.com/office/drawing/2014/main" id="{00000000-0008-0000-1200-0000BA0A0000}"/>
            </a:ext>
          </a:extLst>
        </xdr:cNvPr>
        <xdr:cNvCxnSpPr/>
      </xdr:nvCxnSpPr>
      <xdr:spPr>
        <a:xfrm flipV="1">
          <a:off x="11302999"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745</xdr:row>
      <xdr:rowOff>95250</xdr:rowOff>
    </xdr:from>
    <xdr:to>
      <xdr:col>15</xdr:col>
      <xdr:colOff>582083</xdr:colOff>
      <xdr:row>747</xdr:row>
      <xdr:rowOff>52917</xdr:rowOff>
    </xdr:to>
    <xdr:cxnSp macro="">
      <xdr:nvCxnSpPr>
        <xdr:cNvPr id="2747" name="Straight Arrow Connector 2746">
          <a:extLst>
            <a:ext uri="{FF2B5EF4-FFF2-40B4-BE49-F238E27FC236}">
              <a16:creationId xmlns:a16="http://schemas.microsoft.com/office/drawing/2014/main" id="{00000000-0008-0000-1200-0000BB0A0000}"/>
            </a:ext>
          </a:extLst>
        </xdr:cNvPr>
        <xdr:cNvCxnSpPr/>
      </xdr:nvCxnSpPr>
      <xdr:spPr>
        <a:xfrm flipV="1">
          <a:off x="11345333"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747</xdr:row>
      <xdr:rowOff>116417</xdr:rowOff>
    </xdr:from>
    <xdr:to>
      <xdr:col>15</xdr:col>
      <xdr:colOff>592666</xdr:colOff>
      <xdr:row>751</xdr:row>
      <xdr:rowOff>95250</xdr:rowOff>
    </xdr:to>
    <xdr:cxnSp macro="">
      <xdr:nvCxnSpPr>
        <xdr:cNvPr id="2748" name="Straight Arrow Connector 2747">
          <a:extLst>
            <a:ext uri="{FF2B5EF4-FFF2-40B4-BE49-F238E27FC236}">
              <a16:creationId xmlns:a16="http://schemas.microsoft.com/office/drawing/2014/main" id="{00000000-0008-0000-1200-0000BC0A0000}"/>
            </a:ext>
          </a:extLst>
        </xdr:cNvPr>
        <xdr:cNvCxnSpPr/>
      </xdr:nvCxnSpPr>
      <xdr:spPr>
        <a:xfrm>
          <a:off x="11334749"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758</xdr:row>
      <xdr:rowOff>116416</xdr:rowOff>
    </xdr:from>
    <xdr:to>
      <xdr:col>16</xdr:col>
      <xdr:colOff>0</xdr:colOff>
      <xdr:row>765</xdr:row>
      <xdr:rowOff>74084</xdr:rowOff>
    </xdr:to>
    <xdr:cxnSp macro="">
      <xdr:nvCxnSpPr>
        <xdr:cNvPr id="2749" name="Straight Arrow Connector 2748">
          <a:extLst>
            <a:ext uri="{FF2B5EF4-FFF2-40B4-BE49-F238E27FC236}">
              <a16:creationId xmlns:a16="http://schemas.microsoft.com/office/drawing/2014/main" id="{00000000-0008-0000-1200-0000BD0A0000}"/>
            </a:ext>
          </a:extLst>
        </xdr:cNvPr>
        <xdr:cNvCxnSpPr/>
      </xdr:nvCxnSpPr>
      <xdr:spPr>
        <a:xfrm>
          <a:off x="11313583" y="58980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726</xdr:row>
      <xdr:rowOff>52917</xdr:rowOff>
    </xdr:from>
    <xdr:to>
      <xdr:col>15</xdr:col>
      <xdr:colOff>603250</xdr:colOff>
      <xdr:row>728</xdr:row>
      <xdr:rowOff>148167</xdr:rowOff>
    </xdr:to>
    <xdr:cxnSp macro="">
      <xdr:nvCxnSpPr>
        <xdr:cNvPr id="2750" name="Straight Arrow Connector 2749">
          <a:extLst>
            <a:ext uri="{FF2B5EF4-FFF2-40B4-BE49-F238E27FC236}">
              <a16:creationId xmlns:a16="http://schemas.microsoft.com/office/drawing/2014/main" id="{00000000-0008-0000-1200-0000BE0A0000}"/>
            </a:ext>
          </a:extLst>
        </xdr:cNvPr>
        <xdr:cNvCxnSpPr/>
      </xdr:nvCxnSpPr>
      <xdr:spPr>
        <a:xfrm flipV="1">
          <a:off x="11324166"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761</xdr:row>
      <xdr:rowOff>42333</xdr:rowOff>
    </xdr:from>
    <xdr:to>
      <xdr:col>11</xdr:col>
      <xdr:colOff>603250</xdr:colOff>
      <xdr:row>773</xdr:row>
      <xdr:rowOff>10583</xdr:rowOff>
    </xdr:to>
    <xdr:cxnSp macro="">
      <xdr:nvCxnSpPr>
        <xdr:cNvPr id="2751" name="Straight Arrow Connector 2750">
          <a:extLst>
            <a:ext uri="{FF2B5EF4-FFF2-40B4-BE49-F238E27FC236}">
              <a16:creationId xmlns:a16="http://schemas.microsoft.com/office/drawing/2014/main" id="{00000000-0008-0000-1200-0000BF0A0000}"/>
            </a:ext>
          </a:extLst>
        </xdr:cNvPr>
        <xdr:cNvCxnSpPr/>
      </xdr:nvCxnSpPr>
      <xdr:spPr>
        <a:xfrm>
          <a:off x="7926917"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751</xdr:row>
      <xdr:rowOff>21167</xdr:rowOff>
    </xdr:from>
    <xdr:to>
      <xdr:col>13</xdr:col>
      <xdr:colOff>592667</xdr:colOff>
      <xdr:row>753</xdr:row>
      <xdr:rowOff>0</xdr:rowOff>
    </xdr:to>
    <xdr:cxnSp macro="">
      <xdr:nvCxnSpPr>
        <xdr:cNvPr id="2752" name="Straight Arrow Connector 2751">
          <a:extLst>
            <a:ext uri="{FF2B5EF4-FFF2-40B4-BE49-F238E27FC236}">
              <a16:creationId xmlns:a16="http://schemas.microsoft.com/office/drawing/2014/main" id="{00000000-0008-0000-1200-0000C00A0000}"/>
            </a:ext>
          </a:extLst>
        </xdr:cNvPr>
        <xdr:cNvCxnSpPr/>
      </xdr:nvCxnSpPr>
      <xdr:spPr>
        <a:xfrm flipV="1">
          <a:off x="9133417" y="57552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756</xdr:row>
      <xdr:rowOff>21166</xdr:rowOff>
    </xdr:from>
    <xdr:to>
      <xdr:col>13</xdr:col>
      <xdr:colOff>592667</xdr:colOff>
      <xdr:row>757</xdr:row>
      <xdr:rowOff>169334</xdr:rowOff>
    </xdr:to>
    <xdr:cxnSp macro="">
      <xdr:nvCxnSpPr>
        <xdr:cNvPr id="2753" name="Straight Arrow Connector 2752">
          <a:extLst>
            <a:ext uri="{FF2B5EF4-FFF2-40B4-BE49-F238E27FC236}">
              <a16:creationId xmlns:a16="http://schemas.microsoft.com/office/drawing/2014/main" id="{00000000-0008-0000-1200-0000C10A0000}"/>
            </a:ext>
          </a:extLst>
        </xdr:cNvPr>
        <xdr:cNvCxnSpPr/>
      </xdr:nvCxnSpPr>
      <xdr:spPr>
        <a:xfrm>
          <a:off x="9122833" y="58504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771</xdr:row>
      <xdr:rowOff>21167</xdr:rowOff>
    </xdr:from>
    <xdr:to>
      <xdr:col>13</xdr:col>
      <xdr:colOff>592667</xdr:colOff>
      <xdr:row>773</xdr:row>
      <xdr:rowOff>63500</xdr:rowOff>
    </xdr:to>
    <xdr:cxnSp macro="">
      <xdr:nvCxnSpPr>
        <xdr:cNvPr id="2754" name="Straight Arrow Connector 2753">
          <a:extLst>
            <a:ext uri="{FF2B5EF4-FFF2-40B4-BE49-F238E27FC236}">
              <a16:creationId xmlns:a16="http://schemas.microsoft.com/office/drawing/2014/main" id="{00000000-0008-0000-1200-0000C20A0000}"/>
            </a:ext>
          </a:extLst>
        </xdr:cNvPr>
        <xdr:cNvCxnSpPr/>
      </xdr:nvCxnSpPr>
      <xdr:spPr>
        <a:xfrm flipV="1">
          <a:off x="952500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776</xdr:row>
      <xdr:rowOff>0</xdr:rowOff>
    </xdr:from>
    <xdr:to>
      <xdr:col>14</xdr:col>
      <xdr:colOff>10584</xdr:colOff>
      <xdr:row>784</xdr:row>
      <xdr:rowOff>148167</xdr:rowOff>
    </xdr:to>
    <xdr:cxnSp macro="">
      <xdr:nvCxnSpPr>
        <xdr:cNvPr id="2755" name="Straight Arrow Connector 2754">
          <a:extLst>
            <a:ext uri="{FF2B5EF4-FFF2-40B4-BE49-F238E27FC236}">
              <a16:creationId xmlns:a16="http://schemas.microsoft.com/office/drawing/2014/main" id="{00000000-0008-0000-1200-0000C30A0000}"/>
            </a:ext>
          </a:extLst>
        </xdr:cNvPr>
        <xdr:cNvCxnSpPr/>
      </xdr:nvCxnSpPr>
      <xdr:spPr>
        <a:xfrm>
          <a:off x="9535583" y="62484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747</xdr:row>
      <xdr:rowOff>95250</xdr:rowOff>
    </xdr:from>
    <xdr:to>
      <xdr:col>15</xdr:col>
      <xdr:colOff>582083</xdr:colOff>
      <xdr:row>749</xdr:row>
      <xdr:rowOff>137583</xdr:rowOff>
    </xdr:to>
    <xdr:cxnSp macro="">
      <xdr:nvCxnSpPr>
        <xdr:cNvPr id="2756" name="Straight Arrow Connector 2755">
          <a:extLst>
            <a:ext uri="{FF2B5EF4-FFF2-40B4-BE49-F238E27FC236}">
              <a16:creationId xmlns:a16="http://schemas.microsoft.com/office/drawing/2014/main" id="{00000000-0008-0000-1200-0000C40A0000}"/>
            </a:ext>
          </a:extLst>
        </xdr:cNvPr>
        <xdr:cNvCxnSpPr/>
      </xdr:nvCxnSpPr>
      <xdr:spPr>
        <a:xfrm>
          <a:off x="11334749"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756</xdr:row>
      <xdr:rowOff>52916</xdr:rowOff>
    </xdr:from>
    <xdr:to>
      <xdr:col>16</xdr:col>
      <xdr:colOff>0</xdr:colOff>
      <xdr:row>758</xdr:row>
      <xdr:rowOff>0</xdr:rowOff>
    </xdr:to>
    <xdr:cxnSp macro="">
      <xdr:nvCxnSpPr>
        <xdr:cNvPr id="2757" name="Straight Arrow Connector 2756">
          <a:extLst>
            <a:ext uri="{FF2B5EF4-FFF2-40B4-BE49-F238E27FC236}">
              <a16:creationId xmlns:a16="http://schemas.microsoft.com/office/drawing/2014/main" id="{00000000-0008-0000-1200-0000C50A0000}"/>
            </a:ext>
          </a:extLst>
        </xdr:cNvPr>
        <xdr:cNvCxnSpPr/>
      </xdr:nvCxnSpPr>
      <xdr:spPr>
        <a:xfrm flipV="1">
          <a:off x="11281833" y="58536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758</xdr:row>
      <xdr:rowOff>21167</xdr:rowOff>
    </xdr:from>
    <xdr:to>
      <xdr:col>15</xdr:col>
      <xdr:colOff>592666</xdr:colOff>
      <xdr:row>759</xdr:row>
      <xdr:rowOff>84667</xdr:rowOff>
    </xdr:to>
    <xdr:cxnSp macro="">
      <xdr:nvCxnSpPr>
        <xdr:cNvPr id="2758" name="Straight Arrow Connector 2757">
          <a:extLst>
            <a:ext uri="{FF2B5EF4-FFF2-40B4-BE49-F238E27FC236}">
              <a16:creationId xmlns:a16="http://schemas.microsoft.com/office/drawing/2014/main" id="{00000000-0008-0000-1200-0000C60A0000}"/>
            </a:ext>
          </a:extLst>
        </xdr:cNvPr>
        <xdr:cNvCxnSpPr/>
      </xdr:nvCxnSpPr>
      <xdr:spPr>
        <a:xfrm>
          <a:off x="11271250"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758</xdr:row>
      <xdr:rowOff>0</xdr:rowOff>
    </xdr:from>
    <xdr:to>
      <xdr:col>16</xdr:col>
      <xdr:colOff>0</xdr:colOff>
      <xdr:row>762</xdr:row>
      <xdr:rowOff>42334</xdr:rowOff>
    </xdr:to>
    <xdr:cxnSp macro="">
      <xdr:nvCxnSpPr>
        <xdr:cNvPr id="2759" name="Straight Arrow Connector 2758">
          <a:extLst>
            <a:ext uri="{FF2B5EF4-FFF2-40B4-BE49-F238E27FC236}">
              <a16:creationId xmlns:a16="http://schemas.microsoft.com/office/drawing/2014/main" id="{00000000-0008-0000-1200-0000C70A0000}"/>
            </a:ext>
          </a:extLst>
        </xdr:cNvPr>
        <xdr:cNvCxnSpPr/>
      </xdr:nvCxnSpPr>
      <xdr:spPr>
        <a:xfrm>
          <a:off x="11271250" y="58864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769</xdr:row>
      <xdr:rowOff>0</xdr:rowOff>
    </xdr:from>
    <xdr:to>
      <xdr:col>15</xdr:col>
      <xdr:colOff>603250</xdr:colOff>
      <xdr:row>771</xdr:row>
      <xdr:rowOff>1</xdr:rowOff>
    </xdr:to>
    <xdr:cxnSp macro="">
      <xdr:nvCxnSpPr>
        <xdr:cNvPr id="2760" name="Straight Arrow Connector 2759">
          <a:extLst>
            <a:ext uri="{FF2B5EF4-FFF2-40B4-BE49-F238E27FC236}">
              <a16:creationId xmlns:a16="http://schemas.microsoft.com/office/drawing/2014/main" id="{00000000-0008-0000-1200-0000C80A0000}"/>
            </a:ext>
          </a:extLst>
        </xdr:cNvPr>
        <xdr:cNvCxnSpPr/>
      </xdr:nvCxnSpPr>
      <xdr:spPr>
        <a:xfrm flipV="1">
          <a:off x="11271250"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771</xdr:row>
      <xdr:rowOff>10584</xdr:rowOff>
    </xdr:from>
    <xdr:to>
      <xdr:col>15</xdr:col>
      <xdr:colOff>592666</xdr:colOff>
      <xdr:row>772</xdr:row>
      <xdr:rowOff>95250</xdr:rowOff>
    </xdr:to>
    <xdr:cxnSp macro="">
      <xdr:nvCxnSpPr>
        <xdr:cNvPr id="2761" name="Straight Arrow Connector 2760">
          <a:extLst>
            <a:ext uri="{FF2B5EF4-FFF2-40B4-BE49-F238E27FC236}">
              <a16:creationId xmlns:a16="http://schemas.microsoft.com/office/drawing/2014/main" id="{00000000-0008-0000-1200-0000C90A0000}"/>
            </a:ext>
          </a:extLst>
        </xdr:cNvPr>
        <xdr:cNvCxnSpPr/>
      </xdr:nvCxnSpPr>
      <xdr:spPr>
        <a:xfrm>
          <a:off x="11313583"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771</xdr:row>
      <xdr:rowOff>10584</xdr:rowOff>
    </xdr:from>
    <xdr:to>
      <xdr:col>15</xdr:col>
      <xdr:colOff>560916</xdr:colOff>
      <xdr:row>775</xdr:row>
      <xdr:rowOff>52917</xdr:rowOff>
    </xdr:to>
    <xdr:cxnSp macro="">
      <xdr:nvCxnSpPr>
        <xdr:cNvPr id="2762" name="Straight Arrow Connector 2761">
          <a:extLst>
            <a:ext uri="{FF2B5EF4-FFF2-40B4-BE49-F238E27FC236}">
              <a16:creationId xmlns:a16="http://schemas.microsoft.com/office/drawing/2014/main" id="{00000000-0008-0000-1200-0000CA0A0000}"/>
            </a:ext>
          </a:extLst>
        </xdr:cNvPr>
        <xdr:cNvCxnSpPr/>
      </xdr:nvCxnSpPr>
      <xdr:spPr>
        <a:xfrm>
          <a:off x="11292416"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763" name="Straight Arrow Connector 2762">
          <a:extLst>
            <a:ext uri="{FF2B5EF4-FFF2-40B4-BE49-F238E27FC236}">
              <a16:creationId xmlns:a16="http://schemas.microsoft.com/office/drawing/2014/main" id="{00000000-0008-0000-1200-0000CB0A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785</xdr:row>
      <xdr:rowOff>0</xdr:rowOff>
    </xdr:from>
    <xdr:to>
      <xdr:col>16</xdr:col>
      <xdr:colOff>0</xdr:colOff>
      <xdr:row>785</xdr:row>
      <xdr:rowOff>42334</xdr:rowOff>
    </xdr:to>
    <xdr:cxnSp macro="">
      <xdr:nvCxnSpPr>
        <xdr:cNvPr id="2764" name="Straight Arrow Connector 2763">
          <a:extLst>
            <a:ext uri="{FF2B5EF4-FFF2-40B4-BE49-F238E27FC236}">
              <a16:creationId xmlns:a16="http://schemas.microsoft.com/office/drawing/2014/main" id="{00000000-0008-0000-1200-0000CC0A0000}"/>
            </a:ext>
          </a:extLst>
        </xdr:cNvPr>
        <xdr:cNvCxnSpPr/>
      </xdr:nvCxnSpPr>
      <xdr:spPr>
        <a:xfrm>
          <a:off x="11302999" y="64198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785</xdr:row>
      <xdr:rowOff>21166</xdr:rowOff>
    </xdr:from>
    <xdr:to>
      <xdr:col>15</xdr:col>
      <xdr:colOff>560916</xdr:colOff>
      <xdr:row>788</xdr:row>
      <xdr:rowOff>84667</xdr:rowOff>
    </xdr:to>
    <xdr:cxnSp macro="">
      <xdr:nvCxnSpPr>
        <xdr:cNvPr id="2765" name="Straight Arrow Connector 2764">
          <a:extLst>
            <a:ext uri="{FF2B5EF4-FFF2-40B4-BE49-F238E27FC236}">
              <a16:creationId xmlns:a16="http://schemas.microsoft.com/office/drawing/2014/main" id="{00000000-0008-0000-1200-0000CD0A0000}"/>
            </a:ext>
          </a:extLst>
        </xdr:cNvPr>
        <xdr:cNvCxnSpPr/>
      </xdr:nvCxnSpPr>
      <xdr:spPr>
        <a:xfrm>
          <a:off x="11355916"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785</xdr:row>
      <xdr:rowOff>52916</xdr:rowOff>
    </xdr:from>
    <xdr:to>
      <xdr:col>15</xdr:col>
      <xdr:colOff>592666</xdr:colOff>
      <xdr:row>791</xdr:row>
      <xdr:rowOff>63501</xdr:rowOff>
    </xdr:to>
    <xdr:cxnSp macro="">
      <xdr:nvCxnSpPr>
        <xdr:cNvPr id="2766" name="Straight Arrow Connector 2765">
          <a:extLst>
            <a:ext uri="{FF2B5EF4-FFF2-40B4-BE49-F238E27FC236}">
              <a16:creationId xmlns:a16="http://schemas.microsoft.com/office/drawing/2014/main" id="{00000000-0008-0000-1200-0000CE0A0000}"/>
            </a:ext>
          </a:extLst>
        </xdr:cNvPr>
        <xdr:cNvCxnSpPr/>
      </xdr:nvCxnSpPr>
      <xdr:spPr>
        <a:xfrm>
          <a:off x="11313583"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782</xdr:row>
      <xdr:rowOff>52917</xdr:rowOff>
    </xdr:from>
    <xdr:to>
      <xdr:col>15</xdr:col>
      <xdr:colOff>603250</xdr:colOff>
      <xdr:row>784</xdr:row>
      <xdr:rowOff>148167</xdr:rowOff>
    </xdr:to>
    <xdr:cxnSp macro="">
      <xdr:nvCxnSpPr>
        <xdr:cNvPr id="2767" name="Straight Arrow Connector 2766">
          <a:extLst>
            <a:ext uri="{FF2B5EF4-FFF2-40B4-BE49-F238E27FC236}">
              <a16:creationId xmlns:a16="http://schemas.microsoft.com/office/drawing/2014/main" id="{00000000-0008-0000-1200-0000CF0A0000}"/>
            </a:ext>
          </a:extLst>
        </xdr:cNvPr>
        <xdr:cNvCxnSpPr/>
      </xdr:nvCxnSpPr>
      <xdr:spPr>
        <a:xfrm flipV="1">
          <a:off x="11324166"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826</xdr:row>
      <xdr:rowOff>95250</xdr:rowOff>
    </xdr:from>
    <xdr:to>
      <xdr:col>8</xdr:col>
      <xdr:colOff>21167</xdr:colOff>
      <xdr:row>858</xdr:row>
      <xdr:rowOff>148166</xdr:rowOff>
    </xdr:to>
    <xdr:cxnSp macro="">
      <xdr:nvCxnSpPr>
        <xdr:cNvPr id="2768" name="Straight Arrow Connector 2767">
          <a:extLst>
            <a:ext uri="{FF2B5EF4-FFF2-40B4-BE49-F238E27FC236}">
              <a16:creationId xmlns:a16="http://schemas.microsoft.com/office/drawing/2014/main" id="{00000000-0008-0000-1200-0000D00A0000}"/>
            </a:ext>
          </a:extLst>
        </xdr:cNvPr>
        <xdr:cNvCxnSpPr/>
      </xdr:nvCxnSpPr>
      <xdr:spPr>
        <a:xfrm>
          <a:off x="5185833" y="722947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797</xdr:row>
      <xdr:rowOff>137583</xdr:rowOff>
    </xdr:from>
    <xdr:to>
      <xdr:col>9</xdr:col>
      <xdr:colOff>603250</xdr:colOff>
      <xdr:row>803</xdr:row>
      <xdr:rowOff>21166</xdr:rowOff>
    </xdr:to>
    <xdr:cxnSp macro="">
      <xdr:nvCxnSpPr>
        <xdr:cNvPr id="2769" name="Straight Arrow Connector 2768">
          <a:extLst>
            <a:ext uri="{FF2B5EF4-FFF2-40B4-BE49-F238E27FC236}">
              <a16:creationId xmlns:a16="http://schemas.microsoft.com/office/drawing/2014/main" id="{00000000-0008-0000-1200-0000D10A0000}"/>
            </a:ext>
          </a:extLst>
        </xdr:cNvPr>
        <xdr:cNvCxnSpPr/>
      </xdr:nvCxnSpPr>
      <xdr:spPr>
        <a:xfrm flipV="1">
          <a:off x="6688667"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806</xdr:row>
      <xdr:rowOff>0</xdr:rowOff>
    </xdr:from>
    <xdr:to>
      <xdr:col>9</xdr:col>
      <xdr:colOff>582083</xdr:colOff>
      <xdr:row>814</xdr:row>
      <xdr:rowOff>10583</xdr:rowOff>
    </xdr:to>
    <xdr:cxnSp macro="">
      <xdr:nvCxnSpPr>
        <xdr:cNvPr id="2770" name="Straight Arrow Connector 2769">
          <a:extLst>
            <a:ext uri="{FF2B5EF4-FFF2-40B4-BE49-F238E27FC236}">
              <a16:creationId xmlns:a16="http://schemas.microsoft.com/office/drawing/2014/main" id="{00000000-0008-0000-1200-0000D20A0000}"/>
            </a:ext>
          </a:extLst>
        </xdr:cNvPr>
        <xdr:cNvCxnSpPr/>
      </xdr:nvCxnSpPr>
      <xdr:spPr>
        <a:xfrm>
          <a:off x="6720417"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811</xdr:row>
      <xdr:rowOff>169333</xdr:rowOff>
    </xdr:from>
    <xdr:to>
      <xdr:col>11</xdr:col>
      <xdr:colOff>603250</xdr:colOff>
      <xdr:row>814</xdr:row>
      <xdr:rowOff>21167</xdr:rowOff>
    </xdr:to>
    <xdr:cxnSp macro="">
      <xdr:nvCxnSpPr>
        <xdr:cNvPr id="2771" name="Straight Arrow Connector 2770">
          <a:extLst>
            <a:ext uri="{FF2B5EF4-FFF2-40B4-BE49-F238E27FC236}">
              <a16:creationId xmlns:a16="http://schemas.microsoft.com/office/drawing/2014/main" id="{00000000-0008-0000-1200-0000D30A0000}"/>
            </a:ext>
          </a:extLst>
        </xdr:cNvPr>
        <xdr:cNvCxnSpPr/>
      </xdr:nvCxnSpPr>
      <xdr:spPr>
        <a:xfrm flipV="1">
          <a:off x="7937500"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817</xdr:row>
      <xdr:rowOff>42333</xdr:rowOff>
    </xdr:from>
    <xdr:to>
      <xdr:col>11</xdr:col>
      <xdr:colOff>603250</xdr:colOff>
      <xdr:row>829</xdr:row>
      <xdr:rowOff>10583</xdr:rowOff>
    </xdr:to>
    <xdr:cxnSp macro="">
      <xdr:nvCxnSpPr>
        <xdr:cNvPr id="2772" name="Straight Arrow Connector 2771">
          <a:extLst>
            <a:ext uri="{FF2B5EF4-FFF2-40B4-BE49-F238E27FC236}">
              <a16:creationId xmlns:a16="http://schemas.microsoft.com/office/drawing/2014/main" id="{00000000-0008-0000-1200-0000D40A0000}"/>
            </a:ext>
          </a:extLst>
        </xdr:cNvPr>
        <xdr:cNvCxnSpPr/>
      </xdr:nvCxnSpPr>
      <xdr:spPr>
        <a:xfrm>
          <a:off x="7926917"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807</xdr:row>
      <xdr:rowOff>21167</xdr:rowOff>
    </xdr:from>
    <xdr:to>
      <xdr:col>13</xdr:col>
      <xdr:colOff>592667</xdr:colOff>
      <xdr:row>809</xdr:row>
      <xdr:rowOff>0</xdr:rowOff>
    </xdr:to>
    <xdr:cxnSp macro="">
      <xdr:nvCxnSpPr>
        <xdr:cNvPr id="2773" name="Straight Arrow Connector 2772">
          <a:extLst>
            <a:ext uri="{FF2B5EF4-FFF2-40B4-BE49-F238E27FC236}">
              <a16:creationId xmlns:a16="http://schemas.microsoft.com/office/drawing/2014/main" id="{00000000-0008-0000-1200-0000D50A0000}"/>
            </a:ext>
          </a:extLst>
        </xdr:cNvPr>
        <xdr:cNvCxnSpPr/>
      </xdr:nvCxnSpPr>
      <xdr:spPr>
        <a:xfrm flipV="1">
          <a:off x="9133417" y="68410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812</xdr:row>
      <xdr:rowOff>21166</xdr:rowOff>
    </xdr:from>
    <xdr:to>
      <xdr:col>13</xdr:col>
      <xdr:colOff>592667</xdr:colOff>
      <xdr:row>813</xdr:row>
      <xdr:rowOff>169334</xdr:rowOff>
    </xdr:to>
    <xdr:cxnSp macro="">
      <xdr:nvCxnSpPr>
        <xdr:cNvPr id="2774" name="Straight Arrow Connector 2773">
          <a:extLst>
            <a:ext uri="{FF2B5EF4-FFF2-40B4-BE49-F238E27FC236}">
              <a16:creationId xmlns:a16="http://schemas.microsoft.com/office/drawing/2014/main" id="{00000000-0008-0000-1200-0000D60A0000}"/>
            </a:ext>
          </a:extLst>
        </xdr:cNvPr>
        <xdr:cNvCxnSpPr/>
      </xdr:nvCxnSpPr>
      <xdr:spPr>
        <a:xfrm>
          <a:off x="9122833" y="69363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799</xdr:row>
      <xdr:rowOff>0</xdr:rowOff>
    </xdr:from>
    <xdr:to>
      <xdr:col>15</xdr:col>
      <xdr:colOff>603250</xdr:colOff>
      <xdr:row>804</xdr:row>
      <xdr:rowOff>31750</xdr:rowOff>
    </xdr:to>
    <xdr:cxnSp macro="">
      <xdr:nvCxnSpPr>
        <xdr:cNvPr id="2777" name="Straight Arrow Connector 2776">
          <a:extLst>
            <a:ext uri="{FF2B5EF4-FFF2-40B4-BE49-F238E27FC236}">
              <a16:creationId xmlns:a16="http://schemas.microsoft.com/office/drawing/2014/main" id="{00000000-0008-0000-1200-0000D90A0000}"/>
            </a:ext>
          </a:extLst>
        </xdr:cNvPr>
        <xdr:cNvCxnSpPr/>
      </xdr:nvCxnSpPr>
      <xdr:spPr>
        <a:xfrm flipV="1">
          <a:off x="11281833"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802</xdr:row>
      <xdr:rowOff>52917</xdr:rowOff>
    </xdr:from>
    <xdr:to>
      <xdr:col>15</xdr:col>
      <xdr:colOff>603250</xdr:colOff>
      <xdr:row>804</xdr:row>
      <xdr:rowOff>95250</xdr:rowOff>
    </xdr:to>
    <xdr:cxnSp macro="">
      <xdr:nvCxnSpPr>
        <xdr:cNvPr id="2778" name="Straight Arrow Connector 2777">
          <a:extLst>
            <a:ext uri="{FF2B5EF4-FFF2-40B4-BE49-F238E27FC236}">
              <a16:creationId xmlns:a16="http://schemas.microsoft.com/office/drawing/2014/main" id="{00000000-0008-0000-1200-0000DA0A0000}"/>
            </a:ext>
          </a:extLst>
        </xdr:cNvPr>
        <xdr:cNvCxnSpPr/>
      </xdr:nvCxnSpPr>
      <xdr:spPr>
        <a:xfrm flipV="1">
          <a:off x="11324166"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804</xdr:row>
      <xdr:rowOff>158750</xdr:rowOff>
    </xdr:from>
    <xdr:to>
      <xdr:col>15</xdr:col>
      <xdr:colOff>582083</xdr:colOff>
      <xdr:row>805</xdr:row>
      <xdr:rowOff>137583</xdr:rowOff>
    </xdr:to>
    <xdr:cxnSp macro="">
      <xdr:nvCxnSpPr>
        <xdr:cNvPr id="2779" name="Straight Arrow Connector 2778">
          <a:extLst>
            <a:ext uri="{FF2B5EF4-FFF2-40B4-BE49-F238E27FC236}">
              <a16:creationId xmlns:a16="http://schemas.microsoft.com/office/drawing/2014/main" id="{00000000-0008-0000-1200-0000DB0A0000}"/>
            </a:ext>
          </a:extLst>
        </xdr:cNvPr>
        <xdr:cNvCxnSpPr/>
      </xdr:nvCxnSpPr>
      <xdr:spPr>
        <a:xfrm>
          <a:off x="11345333"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804</xdr:row>
      <xdr:rowOff>105834</xdr:rowOff>
    </xdr:from>
    <xdr:to>
      <xdr:col>16</xdr:col>
      <xdr:colOff>0</xdr:colOff>
      <xdr:row>808</xdr:row>
      <xdr:rowOff>84667</xdr:rowOff>
    </xdr:to>
    <xdr:cxnSp macro="">
      <xdr:nvCxnSpPr>
        <xdr:cNvPr id="2780" name="Straight Arrow Connector 2779">
          <a:extLst>
            <a:ext uri="{FF2B5EF4-FFF2-40B4-BE49-F238E27FC236}">
              <a16:creationId xmlns:a16="http://schemas.microsoft.com/office/drawing/2014/main" id="{00000000-0008-0000-1200-0000DC0A0000}"/>
            </a:ext>
          </a:extLst>
        </xdr:cNvPr>
        <xdr:cNvCxnSpPr/>
      </xdr:nvCxnSpPr>
      <xdr:spPr>
        <a:xfrm>
          <a:off x="11260667" y="67923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2784" name="Straight Arrow Connector 2783">
          <a:extLst>
            <a:ext uri="{FF2B5EF4-FFF2-40B4-BE49-F238E27FC236}">
              <a16:creationId xmlns:a16="http://schemas.microsoft.com/office/drawing/2014/main" id="{00000000-0008-0000-1200-0000E00A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851</xdr:row>
      <xdr:rowOff>42333</xdr:rowOff>
    </xdr:from>
    <xdr:to>
      <xdr:col>9</xdr:col>
      <xdr:colOff>592666</xdr:colOff>
      <xdr:row>859</xdr:row>
      <xdr:rowOff>42333</xdr:rowOff>
    </xdr:to>
    <xdr:cxnSp macro="">
      <xdr:nvCxnSpPr>
        <xdr:cNvPr id="2785" name="Straight Arrow Connector 2784">
          <a:extLst>
            <a:ext uri="{FF2B5EF4-FFF2-40B4-BE49-F238E27FC236}">
              <a16:creationId xmlns:a16="http://schemas.microsoft.com/office/drawing/2014/main" id="{00000000-0008-0000-1200-0000E10A0000}"/>
            </a:ext>
          </a:extLst>
        </xdr:cNvPr>
        <xdr:cNvCxnSpPr/>
      </xdr:nvCxnSpPr>
      <xdr:spPr>
        <a:xfrm flipV="1">
          <a:off x="6699250"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861</xdr:row>
      <xdr:rowOff>169334</xdr:rowOff>
    </xdr:from>
    <xdr:to>
      <xdr:col>9</xdr:col>
      <xdr:colOff>603250</xdr:colOff>
      <xdr:row>870</xdr:row>
      <xdr:rowOff>31750</xdr:rowOff>
    </xdr:to>
    <xdr:cxnSp macro="">
      <xdr:nvCxnSpPr>
        <xdr:cNvPr id="2786" name="Straight Arrow Connector 2785">
          <a:extLst>
            <a:ext uri="{FF2B5EF4-FFF2-40B4-BE49-F238E27FC236}">
              <a16:creationId xmlns:a16="http://schemas.microsoft.com/office/drawing/2014/main" id="{00000000-0008-0000-1200-0000E20A0000}"/>
            </a:ext>
          </a:extLst>
        </xdr:cNvPr>
        <xdr:cNvCxnSpPr/>
      </xdr:nvCxnSpPr>
      <xdr:spPr>
        <a:xfrm>
          <a:off x="6720417"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867</xdr:row>
      <xdr:rowOff>158750</xdr:rowOff>
    </xdr:from>
    <xdr:to>
      <xdr:col>11</xdr:col>
      <xdr:colOff>571500</xdr:colOff>
      <xdr:row>870</xdr:row>
      <xdr:rowOff>0</xdr:rowOff>
    </xdr:to>
    <xdr:cxnSp macro="">
      <xdr:nvCxnSpPr>
        <xdr:cNvPr id="2787" name="Straight Arrow Connector 2786">
          <a:extLst>
            <a:ext uri="{FF2B5EF4-FFF2-40B4-BE49-F238E27FC236}">
              <a16:creationId xmlns:a16="http://schemas.microsoft.com/office/drawing/2014/main" id="{00000000-0008-0000-1200-0000E30A0000}"/>
            </a:ext>
          </a:extLst>
        </xdr:cNvPr>
        <xdr:cNvCxnSpPr/>
      </xdr:nvCxnSpPr>
      <xdr:spPr>
        <a:xfrm flipV="1">
          <a:off x="7874000" y="80168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855</xdr:row>
      <xdr:rowOff>116416</xdr:rowOff>
    </xdr:from>
    <xdr:to>
      <xdr:col>15</xdr:col>
      <xdr:colOff>592666</xdr:colOff>
      <xdr:row>858</xdr:row>
      <xdr:rowOff>158750</xdr:rowOff>
    </xdr:to>
    <xdr:cxnSp macro="">
      <xdr:nvCxnSpPr>
        <xdr:cNvPr id="2795" name="Straight Arrow Connector 2794">
          <a:extLst>
            <a:ext uri="{FF2B5EF4-FFF2-40B4-BE49-F238E27FC236}">
              <a16:creationId xmlns:a16="http://schemas.microsoft.com/office/drawing/2014/main" id="{00000000-0008-0000-1200-0000EB0A0000}"/>
            </a:ext>
          </a:extLst>
        </xdr:cNvPr>
        <xdr:cNvCxnSpPr/>
      </xdr:nvCxnSpPr>
      <xdr:spPr>
        <a:xfrm flipV="1">
          <a:off x="11302999"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857</xdr:row>
      <xdr:rowOff>95250</xdr:rowOff>
    </xdr:from>
    <xdr:to>
      <xdr:col>15</xdr:col>
      <xdr:colOff>582083</xdr:colOff>
      <xdr:row>859</xdr:row>
      <xdr:rowOff>52917</xdr:rowOff>
    </xdr:to>
    <xdr:cxnSp macro="">
      <xdr:nvCxnSpPr>
        <xdr:cNvPr id="2796" name="Straight Arrow Connector 2795">
          <a:extLst>
            <a:ext uri="{FF2B5EF4-FFF2-40B4-BE49-F238E27FC236}">
              <a16:creationId xmlns:a16="http://schemas.microsoft.com/office/drawing/2014/main" id="{00000000-0008-0000-1200-0000EC0A0000}"/>
            </a:ext>
          </a:extLst>
        </xdr:cNvPr>
        <xdr:cNvCxnSpPr/>
      </xdr:nvCxnSpPr>
      <xdr:spPr>
        <a:xfrm flipV="1">
          <a:off x="11345333"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116417</xdr:rowOff>
    </xdr:from>
    <xdr:to>
      <xdr:col>15</xdr:col>
      <xdr:colOff>592666</xdr:colOff>
      <xdr:row>863</xdr:row>
      <xdr:rowOff>95250</xdr:rowOff>
    </xdr:to>
    <xdr:cxnSp macro="">
      <xdr:nvCxnSpPr>
        <xdr:cNvPr id="2797" name="Straight Arrow Connector 2796">
          <a:extLst>
            <a:ext uri="{FF2B5EF4-FFF2-40B4-BE49-F238E27FC236}">
              <a16:creationId xmlns:a16="http://schemas.microsoft.com/office/drawing/2014/main" id="{00000000-0008-0000-1200-0000ED0A0000}"/>
            </a:ext>
          </a:extLst>
        </xdr:cNvPr>
        <xdr:cNvCxnSpPr/>
      </xdr:nvCxnSpPr>
      <xdr:spPr>
        <a:xfrm>
          <a:off x="11334749"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870</xdr:row>
      <xdr:rowOff>116416</xdr:rowOff>
    </xdr:from>
    <xdr:to>
      <xdr:col>16</xdr:col>
      <xdr:colOff>0</xdr:colOff>
      <xdr:row>877</xdr:row>
      <xdr:rowOff>74084</xdr:rowOff>
    </xdr:to>
    <xdr:cxnSp macro="">
      <xdr:nvCxnSpPr>
        <xdr:cNvPr id="2798" name="Straight Arrow Connector 2797">
          <a:extLst>
            <a:ext uri="{FF2B5EF4-FFF2-40B4-BE49-F238E27FC236}">
              <a16:creationId xmlns:a16="http://schemas.microsoft.com/office/drawing/2014/main" id="{00000000-0008-0000-1200-0000EE0A0000}"/>
            </a:ext>
          </a:extLst>
        </xdr:cNvPr>
        <xdr:cNvCxnSpPr/>
      </xdr:nvCxnSpPr>
      <xdr:spPr>
        <a:xfrm>
          <a:off x="11313583" y="80697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873</xdr:row>
      <xdr:rowOff>42333</xdr:rowOff>
    </xdr:from>
    <xdr:to>
      <xdr:col>11</xdr:col>
      <xdr:colOff>603250</xdr:colOff>
      <xdr:row>885</xdr:row>
      <xdr:rowOff>10583</xdr:rowOff>
    </xdr:to>
    <xdr:cxnSp macro="">
      <xdr:nvCxnSpPr>
        <xdr:cNvPr id="2800" name="Straight Arrow Connector 2799">
          <a:extLst>
            <a:ext uri="{FF2B5EF4-FFF2-40B4-BE49-F238E27FC236}">
              <a16:creationId xmlns:a16="http://schemas.microsoft.com/office/drawing/2014/main" id="{00000000-0008-0000-1200-0000F00A0000}"/>
            </a:ext>
          </a:extLst>
        </xdr:cNvPr>
        <xdr:cNvCxnSpPr/>
      </xdr:nvCxnSpPr>
      <xdr:spPr>
        <a:xfrm>
          <a:off x="7926917"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863</xdr:row>
      <xdr:rowOff>21167</xdr:rowOff>
    </xdr:from>
    <xdr:to>
      <xdr:col>13</xdr:col>
      <xdr:colOff>592667</xdr:colOff>
      <xdr:row>865</xdr:row>
      <xdr:rowOff>0</xdr:rowOff>
    </xdr:to>
    <xdr:cxnSp macro="">
      <xdr:nvCxnSpPr>
        <xdr:cNvPr id="2801" name="Straight Arrow Connector 2800">
          <a:extLst>
            <a:ext uri="{FF2B5EF4-FFF2-40B4-BE49-F238E27FC236}">
              <a16:creationId xmlns:a16="http://schemas.microsoft.com/office/drawing/2014/main" id="{00000000-0008-0000-1200-0000F10A0000}"/>
            </a:ext>
          </a:extLst>
        </xdr:cNvPr>
        <xdr:cNvCxnSpPr/>
      </xdr:nvCxnSpPr>
      <xdr:spPr>
        <a:xfrm flipV="1">
          <a:off x="9133417" y="7926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868</xdr:row>
      <xdr:rowOff>21166</xdr:rowOff>
    </xdr:from>
    <xdr:to>
      <xdr:col>13</xdr:col>
      <xdr:colOff>592667</xdr:colOff>
      <xdr:row>869</xdr:row>
      <xdr:rowOff>169334</xdr:rowOff>
    </xdr:to>
    <xdr:cxnSp macro="">
      <xdr:nvCxnSpPr>
        <xdr:cNvPr id="2802" name="Straight Arrow Connector 2801">
          <a:extLst>
            <a:ext uri="{FF2B5EF4-FFF2-40B4-BE49-F238E27FC236}">
              <a16:creationId xmlns:a16="http://schemas.microsoft.com/office/drawing/2014/main" id="{00000000-0008-0000-1200-0000F20A0000}"/>
            </a:ext>
          </a:extLst>
        </xdr:cNvPr>
        <xdr:cNvCxnSpPr/>
      </xdr:nvCxnSpPr>
      <xdr:spPr>
        <a:xfrm>
          <a:off x="9122833" y="8022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883</xdr:row>
      <xdr:rowOff>21167</xdr:rowOff>
    </xdr:from>
    <xdr:to>
      <xdr:col>13</xdr:col>
      <xdr:colOff>592667</xdr:colOff>
      <xdr:row>885</xdr:row>
      <xdr:rowOff>63500</xdr:rowOff>
    </xdr:to>
    <xdr:cxnSp macro="">
      <xdr:nvCxnSpPr>
        <xdr:cNvPr id="2803" name="Straight Arrow Connector 2802">
          <a:extLst>
            <a:ext uri="{FF2B5EF4-FFF2-40B4-BE49-F238E27FC236}">
              <a16:creationId xmlns:a16="http://schemas.microsoft.com/office/drawing/2014/main" id="{00000000-0008-0000-1200-0000F30A0000}"/>
            </a:ext>
          </a:extLst>
        </xdr:cNvPr>
        <xdr:cNvCxnSpPr/>
      </xdr:nvCxnSpPr>
      <xdr:spPr>
        <a:xfrm flipV="1">
          <a:off x="952500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888</xdr:row>
      <xdr:rowOff>0</xdr:rowOff>
    </xdr:from>
    <xdr:to>
      <xdr:col>14</xdr:col>
      <xdr:colOff>10584</xdr:colOff>
      <xdr:row>896</xdr:row>
      <xdr:rowOff>148167</xdr:rowOff>
    </xdr:to>
    <xdr:cxnSp macro="">
      <xdr:nvCxnSpPr>
        <xdr:cNvPr id="2804" name="Straight Arrow Connector 2803">
          <a:extLst>
            <a:ext uri="{FF2B5EF4-FFF2-40B4-BE49-F238E27FC236}">
              <a16:creationId xmlns:a16="http://schemas.microsoft.com/office/drawing/2014/main" id="{00000000-0008-0000-1200-0000F40A0000}"/>
            </a:ext>
          </a:extLst>
        </xdr:cNvPr>
        <xdr:cNvCxnSpPr/>
      </xdr:nvCxnSpPr>
      <xdr:spPr>
        <a:xfrm>
          <a:off x="9535583" y="8420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95250</xdr:rowOff>
    </xdr:from>
    <xdr:to>
      <xdr:col>15</xdr:col>
      <xdr:colOff>582083</xdr:colOff>
      <xdr:row>861</xdr:row>
      <xdr:rowOff>137583</xdr:rowOff>
    </xdr:to>
    <xdr:cxnSp macro="">
      <xdr:nvCxnSpPr>
        <xdr:cNvPr id="2805" name="Straight Arrow Connector 2804">
          <a:extLst>
            <a:ext uri="{FF2B5EF4-FFF2-40B4-BE49-F238E27FC236}">
              <a16:creationId xmlns:a16="http://schemas.microsoft.com/office/drawing/2014/main" id="{00000000-0008-0000-1200-0000F50A0000}"/>
            </a:ext>
          </a:extLst>
        </xdr:cNvPr>
        <xdr:cNvCxnSpPr/>
      </xdr:nvCxnSpPr>
      <xdr:spPr>
        <a:xfrm>
          <a:off x="11334749"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868</xdr:row>
      <xdr:rowOff>52916</xdr:rowOff>
    </xdr:from>
    <xdr:to>
      <xdr:col>16</xdr:col>
      <xdr:colOff>0</xdr:colOff>
      <xdr:row>870</xdr:row>
      <xdr:rowOff>0</xdr:rowOff>
    </xdr:to>
    <xdr:cxnSp macro="">
      <xdr:nvCxnSpPr>
        <xdr:cNvPr id="2806" name="Straight Arrow Connector 2805">
          <a:extLst>
            <a:ext uri="{FF2B5EF4-FFF2-40B4-BE49-F238E27FC236}">
              <a16:creationId xmlns:a16="http://schemas.microsoft.com/office/drawing/2014/main" id="{00000000-0008-0000-1200-0000F60A0000}"/>
            </a:ext>
          </a:extLst>
        </xdr:cNvPr>
        <xdr:cNvCxnSpPr/>
      </xdr:nvCxnSpPr>
      <xdr:spPr>
        <a:xfrm flipV="1">
          <a:off x="11281833" y="8025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21167</xdr:rowOff>
    </xdr:from>
    <xdr:to>
      <xdr:col>15</xdr:col>
      <xdr:colOff>592666</xdr:colOff>
      <xdr:row>871</xdr:row>
      <xdr:rowOff>84667</xdr:rowOff>
    </xdr:to>
    <xdr:cxnSp macro="">
      <xdr:nvCxnSpPr>
        <xdr:cNvPr id="2807" name="Straight Arrow Connector 2806">
          <a:extLst>
            <a:ext uri="{FF2B5EF4-FFF2-40B4-BE49-F238E27FC236}">
              <a16:creationId xmlns:a16="http://schemas.microsoft.com/office/drawing/2014/main" id="{00000000-0008-0000-1200-0000F70A0000}"/>
            </a:ext>
          </a:extLst>
        </xdr:cNvPr>
        <xdr:cNvCxnSpPr/>
      </xdr:nvCxnSpPr>
      <xdr:spPr>
        <a:xfrm>
          <a:off x="11271250"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0</xdr:rowOff>
    </xdr:from>
    <xdr:to>
      <xdr:col>16</xdr:col>
      <xdr:colOff>0</xdr:colOff>
      <xdr:row>874</xdr:row>
      <xdr:rowOff>42334</xdr:rowOff>
    </xdr:to>
    <xdr:cxnSp macro="">
      <xdr:nvCxnSpPr>
        <xdr:cNvPr id="2808" name="Straight Arrow Connector 2807">
          <a:extLst>
            <a:ext uri="{FF2B5EF4-FFF2-40B4-BE49-F238E27FC236}">
              <a16:creationId xmlns:a16="http://schemas.microsoft.com/office/drawing/2014/main" id="{00000000-0008-0000-1200-0000F80A0000}"/>
            </a:ext>
          </a:extLst>
        </xdr:cNvPr>
        <xdr:cNvCxnSpPr/>
      </xdr:nvCxnSpPr>
      <xdr:spPr>
        <a:xfrm>
          <a:off x="11271250" y="80581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881</xdr:row>
      <xdr:rowOff>0</xdr:rowOff>
    </xdr:from>
    <xdr:to>
      <xdr:col>15</xdr:col>
      <xdr:colOff>603250</xdr:colOff>
      <xdr:row>883</xdr:row>
      <xdr:rowOff>1</xdr:rowOff>
    </xdr:to>
    <xdr:cxnSp macro="">
      <xdr:nvCxnSpPr>
        <xdr:cNvPr id="2809" name="Straight Arrow Connector 2808">
          <a:extLst>
            <a:ext uri="{FF2B5EF4-FFF2-40B4-BE49-F238E27FC236}">
              <a16:creationId xmlns:a16="http://schemas.microsoft.com/office/drawing/2014/main" id="{00000000-0008-0000-1200-0000F90A0000}"/>
            </a:ext>
          </a:extLst>
        </xdr:cNvPr>
        <xdr:cNvCxnSpPr/>
      </xdr:nvCxnSpPr>
      <xdr:spPr>
        <a:xfrm flipV="1">
          <a:off x="11271250"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883</xdr:row>
      <xdr:rowOff>10584</xdr:rowOff>
    </xdr:from>
    <xdr:to>
      <xdr:col>15</xdr:col>
      <xdr:colOff>592666</xdr:colOff>
      <xdr:row>884</xdr:row>
      <xdr:rowOff>95250</xdr:rowOff>
    </xdr:to>
    <xdr:cxnSp macro="">
      <xdr:nvCxnSpPr>
        <xdr:cNvPr id="2810" name="Straight Arrow Connector 2809">
          <a:extLst>
            <a:ext uri="{FF2B5EF4-FFF2-40B4-BE49-F238E27FC236}">
              <a16:creationId xmlns:a16="http://schemas.microsoft.com/office/drawing/2014/main" id="{00000000-0008-0000-1200-0000FA0A0000}"/>
            </a:ext>
          </a:extLst>
        </xdr:cNvPr>
        <xdr:cNvCxnSpPr/>
      </xdr:nvCxnSpPr>
      <xdr:spPr>
        <a:xfrm>
          <a:off x="11313583"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883</xdr:row>
      <xdr:rowOff>10584</xdr:rowOff>
    </xdr:from>
    <xdr:to>
      <xdr:col>15</xdr:col>
      <xdr:colOff>560916</xdr:colOff>
      <xdr:row>887</xdr:row>
      <xdr:rowOff>52917</xdr:rowOff>
    </xdr:to>
    <xdr:cxnSp macro="">
      <xdr:nvCxnSpPr>
        <xdr:cNvPr id="2811" name="Straight Arrow Connector 2810">
          <a:extLst>
            <a:ext uri="{FF2B5EF4-FFF2-40B4-BE49-F238E27FC236}">
              <a16:creationId xmlns:a16="http://schemas.microsoft.com/office/drawing/2014/main" id="{00000000-0008-0000-1200-0000FB0A0000}"/>
            </a:ext>
          </a:extLst>
        </xdr:cNvPr>
        <xdr:cNvCxnSpPr/>
      </xdr:nvCxnSpPr>
      <xdr:spPr>
        <a:xfrm>
          <a:off x="11292416"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812" name="Straight Arrow Connector 2811">
          <a:extLst>
            <a:ext uri="{FF2B5EF4-FFF2-40B4-BE49-F238E27FC236}">
              <a16:creationId xmlns:a16="http://schemas.microsoft.com/office/drawing/2014/main" id="{00000000-0008-0000-1200-0000FC0A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897</xdr:row>
      <xdr:rowOff>0</xdr:rowOff>
    </xdr:from>
    <xdr:to>
      <xdr:col>16</xdr:col>
      <xdr:colOff>0</xdr:colOff>
      <xdr:row>897</xdr:row>
      <xdr:rowOff>42334</xdr:rowOff>
    </xdr:to>
    <xdr:cxnSp macro="">
      <xdr:nvCxnSpPr>
        <xdr:cNvPr id="2813" name="Straight Arrow Connector 2812">
          <a:extLst>
            <a:ext uri="{FF2B5EF4-FFF2-40B4-BE49-F238E27FC236}">
              <a16:creationId xmlns:a16="http://schemas.microsoft.com/office/drawing/2014/main" id="{00000000-0008-0000-1200-0000FD0A0000}"/>
            </a:ext>
          </a:extLst>
        </xdr:cNvPr>
        <xdr:cNvCxnSpPr/>
      </xdr:nvCxnSpPr>
      <xdr:spPr>
        <a:xfrm>
          <a:off x="11302999" y="8591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897</xdr:row>
      <xdr:rowOff>21166</xdr:rowOff>
    </xdr:from>
    <xdr:to>
      <xdr:col>15</xdr:col>
      <xdr:colOff>560916</xdr:colOff>
      <xdr:row>900</xdr:row>
      <xdr:rowOff>84667</xdr:rowOff>
    </xdr:to>
    <xdr:cxnSp macro="">
      <xdr:nvCxnSpPr>
        <xdr:cNvPr id="2814" name="Straight Arrow Connector 2813">
          <a:extLst>
            <a:ext uri="{FF2B5EF4-FFF2-40B4-BE49-F238E27FC236}">
              <a16:creationId xmlns:a16="http://schemas.microsoft.com/office/drawing/2014/main" id="{00000000-0008-0000-1200-0000FE0A0000}"/>
            </a:ext>
          </a:extLst>
        </xdr:cNvPr>
        <xdr:cNvCxnSpPr/>
      </xdr:nvCxnSpPr>
      <xdr:spPr>
        <a:xfrm>
          <a:off x="11355916"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897</xdr:row>
      <xdr:rowOff>52916</xdr:rowOff>
    </xdr:from>
    <xdr:to>
      <xdr:col>15</xdr:col>
      <xdr:colOff>592666</xdr:colOff>
      <xdr:row>903</xdr:row>
      <xdr:rowOff>63501</xdr:rowOff>
    </xdr:to>
    <xdr:cxnSp macro="">
      <xdr:nvCxnSpPr>
        <xdr:cNvPr id="2815" name="Straight Arrow Connector 2814">
          <a:extLst>
            <a:ext uri="{FF2B5EF4-FFF2-40B4-BE49-F238E27FC236}">
              <a16:creationId xmlns:a16="http://schemas.microsoft.com/office/drawing/2014/main" id="{00000000-0008-0000-1200-0000FF0A0000}"/>
            </a:ext>
          </a:extLst>
        </xdr:cNvPr>
        <xdr:cNvCxnSpPr/>
      </xdr:nvCxnSpPr>
      <xdr:spPr>
        <a:xfrm>
          <a:off x="11313583"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894</xdr:row>
      <xdr:rowOff>52917</xdr:rowOff>
    </xdr:from>
    <xdr:to>
      <xdr:col>15</xdr:col>
      <xdr:colOff>603250</xdr:colOff>
      <xdr:row>896</xdr:row>
      <xdr:rowOff>148167</xdr:rowOff>
    </xdr:to>
    <xdr:cxnSp macro="">
      <xdr:nvCxnSpPr>
        <xdr:cNvPr id="2816" name="Straight Arrow Connector 2815">
          <a:extLst>
            <a:ext uri="{FF2B5EF4-FFF2-40B4-BE49-F238E27FC236}">
              <a16:creationId xmlns:a16="http://schemas.microsoft.com/office/drawing/2014/main" id="{00000000-0008-0000-1200-0000000B0000}"/>
            </a:ext>
          </a:extLst>
        </xdr:cNvPr>
        <xdr:cNvCxnSpPr/>
      </xdr:nvCxnSpPr>
      <xdr:spPr>
        <a:xfrm flipV="1">
          <a:off x="11324166"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805</xdr:row>
      <xdr:rowOff>127000</xdr:rowOff>
    </xdr:from>
    <xdr:to>
      <xdr:col>8</xdr:col>
      <xdr:colOff>63500</xdr:colOff>
      <xdr:row>824</xdr:row>
      <xdr:rowOff>0</xdr:rowOff>
    </xdr:to>
    <xdr:cxnSp macro="">
      <xdr:nvCxnSpPr>
        <xdr:cNvPr id="2817" name="Straight Arrow Connector 2816">
          <a:extLst>
            <a:ext uri="{FF2B5EF4-FFF2-40B4-BE49-F238E27FC236}">
              <a16:creationId xmlns:a16="http://schemas.microsoft.com/office/drawing/2014/main" id="{00000000-0008-0000-1200-0000010B0000}"/>
            </a:ext>
          </a:extLst>
        </xdr:cNvPr>
        <xdr:cNvCxnSpPr/>
      </xdr:nvCxnSpPr>
      <xdr:spPr>
        <a:xfrm flipV="1">
          <a:off x="5492750" y="681355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587</xdr:row>
      <xdr:rowOff>169333</xdr:rowOff>
    </xdr:from>
    <xdr:to>
      <xdr:col>11</xdr:col>
      <xdr:colOff>603250</xdr:colOff>
      <xdr:row>590</xdr:row>
      <xdr:rowOff>21167</xdr:rowOff>
    </xdr:to>
    <xdr:cxnSp macro="">
      <xdr:nvCxnSpPr>
        <xdr:cNvPr id="2820" name="Straight Arrow Connector 2819">
          <a:extLst>
            <a:ext uri="{FF2B5EF4-FFF2-40B4-BE49-F238E27FC236}">
              <a16:creationId xmlns:a16="http://schemas.microsoft.com/office/drawing/2014/main" id="{00000000-0008-0000-1200-0000040B0000}"/>
            </a:ext>
          </a:extLst>
        </xdr:cNvPr>
        <xdr:cNvCxnSpPr/>
      </xdr:nvCxnSpPr>
      <xdr:spPr>
        <a:xfrm flipV="1">
          <a:off x="7937500"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593</xdr:row>
      <xdr:rowOff>42333</xdr:rowOff>
    </xdr:from>
    <xdr:to>
      <xdr:col>11</xdr:col>
      <xdr:colOff>603250</xdr:colOff>
      <xdr:row>605</xdr:row>
      <xdr:rowOff>10583</xdr:rowOff>
    </xdr:to>
    <xdr:cxnSp macro="">
      <xdr:nvCxnSpPr>
        <xdr:cNvPr id="2821" name="Straight Arrow Connector 2820">
          <a:extLst>
            <a:ext uri="{FF2B5EF4-FFF2-40B4-BE49-F238E27FC236}">
              <a16:creationId xmlns:a16="http://schemas.microsoft.com/office/drawing/2014/main" id="{00000000-0008-0000-1200-0000050B0000}"/>
            </a:ext>
          </a:extLst>
        </xdr:cNvPr>
        <xdr:cNvCxnSpPr/>
      </xdr:nvCxnSpPr>
      <xdr:spPr>
        <a:xfrm>
          <a:off x="7926917"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583</xdr:row>
      <xdr:rowOff>21167</xdr:rowOff>
    </xdr:from>
    <xdr:to>
      <xdr:col>13</xdr:col>
      <xdr:colOff>592667</xdr:colOff>
      <xdr:row>585</xdr:row>
      <xdr:rowOff>0</xdr:rowOff>
    </xdr:to>
    <xdr:cxnSp macro="">
      <xdr:nvCxnSpPr>
        <xdr:cNvPr id="2822" name="Straight Arrow Connector 2821">
          <a:extLst>
            <a:ext uri="{FF2B5EF4-FFF2-40B4-BE49-F238E27FC236}">
              <a16:creationId xmlns:a16="http://schemas.microsoft.com/office/drawing/2014/main" id="{00000000-0008-0000-1200-0000060B0000}"/>
            </a:ext>
          </a:extLst>
        </xdr:cNvPr>
        <xdr:cNvCxnSpPr/>
      </xdr:nvCxnSpPr>
      <xdr:spPr>
        <a:xfrm flipV="1">
          <a:off x="9133417" y="24976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588</xdr:row>
      <xdr:rowOff>21166</xdr:rowOff>
    </xdr:from>
    <xdr:to>
      <xdr:col>13</xdr:col>
      <xdr:colOff>592667</xdr:colOff>
      <xdr:row>589</xdr:row>
      <xdr:rowOff>169334</xdr:rowOff>
    </xdr:to>
    <xdr:cxnSp macro="">
      <xdr:nvCxnSpPr>
        <xdr:cNvPr id="2823" name="Straight Arrow Connector 2822">
          <a:extLst>
            <a:ext uri="{FF2B5EF4-FFF2-40B4-BE49-F238E27FC236}">
              <a16:creationId xmlns:a16="http://schemas.microsoft.com/office/drawing/2014/main" id="{00000000-0008-0000-1200-0000070B0000}"/>
            </a:ext>
          </a:extLst>
        </xdr:cNvPr>
        <xdr:cNvCxnSpPr/>
      </xdr:nvCxnSpPr>
      <xdr:spPr>
        <a:xfrm>
          <a:off x="9088966" y="112035166"/>
          <a:ext cx="990601"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603</xdr:row>
      <xdr:rowOff>21167</xdr:rowOff>
    </xdr:from>
    <xdr:to>
      <xdr:col>13</xdr:col>
      <xdr:colOff>592667</xdr:colOff>
      <xdr:row>605</xdr:row>
      <xdr:rowOff>63500</xdr:rowOff>
    </xdr:to>
    <xdr:cxnSp macro="">
      <xdr:nvCxnSpPr>
        <xdr:cNvPr id="2824" name="Straight Arrow Connector 2823">
          <a:extLst>
            <a:ext uri="{FF2B5EF4-FFF2-40B4-BE49-F238E27FC236}">
              <a16:creationId xmlns:a16="http://schemas.microsoft.com/office/drawing/2014/main" id="{00000000-0008-0000-1200-0000080B0000}"/>
            </a:ext>
          </a:extLst>
        </xdr:cNvPr>
        <xdr:cNvCxnSpPr/>
      </xdr:nvCxnSpPr>
      <xdr:spPr>
        <a:xfrm flipV="1">
          <a:off x="952500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608</xdr:row>
      <xdr:rowOff>0</xdr:rowOff>
    </xdr:from>
    <xdr:to>
      <xdr:col>14</xdr:col>
      <xdr:colOff>10584</xdr:colOff>
      <xdr:row>616</xdr:row>
      <xdr:rowOff>148167</xdr:rowOff>
    </xdr:to>
    <xdr:cxnSp macro="">
      <xdr:nvCxnSpPr>
        <xdr:cNvPr id="2825" name="Straight Arrow Connector 2824">
          <a:extLst>
            <a:ext uri="{FF2B5EF4-FFF2-40B4-BE49-F238E27FC236}">
              <a16:creationId xmlns:a16="http://schemas.microsoft.com/office/drawing/2014/main" id="{00000000-0008-0000-1200-0000090B0000}"/>
            </a:ext>
          </a:extLst>
        </xdr:cNvPr>
        <xdr:cNvCxnSpPr/>
      </xdr:nvCxnSpPr>
      <xdr:spPr>
        <a:xfrm>
          <a:off x="9535583" y="29908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575</xdr:row>
      <xdr:rowOff>0</xdr:rowOff>
    </xdr:from>
    <xdr:to>
      <xdr:col>15</xdr:col>
      <xdr:colOff>603250</xdr:colOff>
      <xdr:row>580</xdr:row>
      <xdr:rowOff>31750</xdr:rowOff>
    </xdr:to>
    <xdr:cxnSp macro="">
      <xdr:nvCxnSpPr>
        <xdr:cNvPr id="2826" name="Straight Arrow Connector 2825">
          <a:extLst>
            <a:ext uri="{FF2B5EF4-FFF2-40B4-BE49-F238E27FC236}">
              <a16:creationId xmlns:a16="http://schemas.microsoft.com/office/drawing/2014/main" id="{00000000-0008-0000-1200-00000A0B0000}"/>
            </a:ext>
          </a:extLst>
        </xdr:cNvPr>
        <xdr:cNvCxnSpPr/>
      </xdr:nvCxnSpPr>
      <xdr:spPr>
        <a:xfrm flipV="1">
          <a:off x="11281833"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578</xdr:row>
      <xdr:rowOff>52917</xdr:rowOff>
    </xdr:from>
    <xdr:to>
      <xdr:col>15</xdr:col>
      <xdr:colOff>603250</xdr:colOff>
      <xdr:row>580</xdr:row>
      <xdr:rowOff>95250</xdr:rowOff>
    </xdr:to>
    <xdr:cxnSp macro="">
      <xdr:nvCxnSpPr>
        <xdr:cNvPr id="2827" name="Straight Arrow Connector 2826">
          <a:extLst>
            <a:ext uri="{FF2B5EF4-FFF2-40B4-BE49-F238E27FC236}">
              <a16:creationId xmlns:a16="http://schemas.microsoft.com/office/drawing/2014/main" id="{00000000-0008-0000-1200-00000B0B0000}"/>
            </a:ext>
          </a:extLst>
        </xdr:cNvPr>
        <xdr:cNvCxnSpPr/>
      </xdr:nvCxnSpPr>
      <xdr:spPr>
        <a:xfrm flipV="1">
          <a:off x="11324166"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580</xdr:row>
      <xdr:rowOff>158750</xdr:rowOff>
    </xdr:from>
    <xdr:to>
      <xdr:col>15</xdr:col>
      <xdr:colOff>582083</xdr:colOff>
      <xdr:row>581</xdr:row>
      <xdr:rowOff>137583</xdr:rowOff>
    </xdr:to>
    <xdr:cxnSp macro="">
      <xdr:nvCxnSpPr>
        <xdr:cNvPr id="2828" name="Straight Arrow Connector 2827">
          <a:extLst>
            <a:ext uri="{FF2B5EF4-FFF2-40B4-BE49-F238E27FC236}">
              <a16:creationId xmlns:a16="http://schemas.microsoft.com/office/drawing/2014/main" id="{00000000-0008-0000-1200-00000C0B0000}"/>
            </a:ext>
          </a:extLst>
        </xdr:cNvPr>
        <xdr:cNvCxnSpPr/>
      </xdr:nvCxnSpPr>
      <xdr:spPr>
        <a:xfrm>
          <a:off x="11345333"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580</xdr:row>
      <xdr:rowOff>105834</xdr:rowOff>
    </xdr:from>
    <xdr:to>
      <xdr:col>16</xdr:col>
      <xdr:colOff>0</xdr:colOff>
      <xdr:row>584</xdr:row>
      <xdr:rowOff>84667</xdr:rowOff>
    </xdr:to>
    <xdr:cxnSp macro="">
      <xdr:nvCxnSpPr>
        <xdr:cNvPr id="2829" name="Straight Arrow Connector 2828">
          <a:extLst>
            <a:ext uri="{FF2B5EF4-FFF2-40B4-BE49-F238E27FC236}">
              <a16:creationId xmlns:a16="http://schemas.microsoft.com/office/drawing/2014/main" id="{00000000-0008-0000-1200-00000D0B0000}"/>
            </a:ext>
          </a:extLst>
        </xdr:cNvPr>
        <xdr:cNvCxnSpPr/>
      </xdr:nvCxnSpPr>
      <xdr:spPr>
        <a:xfrm>
          <a:off x="11260667" y="24489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588</xdr:row>
      <xdr:rowOff>52916</xdr:rowOff>
    </xdr:from>
    <xdr:to>
      <xdr:col>16</xdr:col>
      <xdr:colOff>0</xdr:colOff>
      <xdr:row>590</xdr:row>
      <xdr:rowOff>0</xdr:rowOff>
    </xdr:to>
    <xdr:cxnSp macro="">
      <xdr:nvCxnSpPr>
        <xdr:cNvPr id="2830" name="Straight Arrow Connector 2829">
          <a:extLst>
            <a:ext uri="{FF2B5EF4-FFF2-40B4-BE49-F238E27FC236}">
              <a16:creationId xmlns:a16="http://schemas.microsoft.com/office/drawing/2014/main" id="{00000000-0008-0000-1200-00000E0B0000}"/>
            </a:ext>
          </a:extLst>
        </xdr:cNvPr>
        <xdr:cNvCxnSpPr/>
      </xdr:nvCxnSpPr>
      <xdr:spPr>
        <a:xfrm flipV="1">
          <a:off x="11281833" y="25960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590</xdr:row>
      <xdr:rowOff>21167</xdr:rowOff>
    </xdr:from>
    <xdr:to>
      <xdr:col>15</xdr:col>
      <xdr:colOff>582083</xdr:colOff>
      <xdr:row>591</xdr:row>
      <xdr:rowOff>42333</xdr:rowOff>
    </xdr:to>
    <xdr:cxnSp macro="">
      <xdr:nvCxnSpPr>
        <xdr:cNvPr id="2831" name="Straight Arrow Connector 2830">
          <a:extLst>
            <a:ext uri="{FF2B5EF4-FFF2-40B4-BE49-F238E27FC236}">
              <a16:creationId xmlns:a16="http://schemas.microsoft.com/office/drawing/2014/main" id="{00000000-0008-0000-1200-00000F0B0000}"/>
            </a:ext>
          </a:extLst>
        </xdr:cNvPr>
        <xdr:cNvCxnSpPr/>
      </xdr:nvCxnSpPr>
      <xdr:spPr>
        <a:xfrm>
          <a:off x="11292416"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590</xdr:row>
      <xdr:rowOff>21167</xdr:rowOff>
    </xdr:from>
    <xdr:to>
      <xdr:col>16</xdr:col>
      <xdr:colOff>42333</xdr:colOff>
      <xdr:row>595</xdr:row>
      <xdr:rowOff>21168</xdr:rowOff>
    </xdr:to>
    <xdr:cxnSp macro="">
      <xdr:nvCxnSpPr>
        <xdr:cNvPr id="2832" name="Straight Arrow Connector 2831">
          <a:extLst>
            <a:ext uri="{FF2B5EF4-FFF2-40B4-BE49-F238E27FC236}">
              <a16:creationId xmlns:a16="http://schemas.microsoft.com/office/drawing/2014/main" id="{00000000-0008-0000-1200-0000100B0000}"/>
            </a:ext>
          </a:extLst>
        </xdr:cNvPr>
        <xdr:cNvCxnSpPr/>
      </xdr:nvCxnSpPr>
      <xdr:spPr>
        <a:xfrm>
          <a:off x="11271250" y="26310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833" name="Straight Arrow Connector 2832">
          <a:extLst>
            <a:ext uri="{FF2B5EF4-FFF2-40B4-BE49-F238E27FC236}">
              <a16:creationId xmlns:a16="http://schemas.microsoft.com/office/drawing/2014/main" id="{00000000-0008-0000-1200-0000110B0000}"/>
            </a:ext>
          </a:extLst>
        </xdr:cNvPr>
        <xdr:cNvCxnSpPr/>
      </xdr:nvCxnSpPr>
      <xdr:spPr>
        <a:xfrm>
          <a:off x="11281833" y="263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643</xdr:row>
      <xdr:rowOff>158750</xdr:rowOff>
    </xdr:from>
    <xdr:to>
      <xdr:col>11</xdr:col>
      <xdr:colOff>571500</xdr:colOff>
      <xdr:row>646</xdr:row>
      <xdr:rowOff>0</xdr:rowOff>
    </xdr:to>
    <xdr:cxnSp macro="">
      <xdr:nvCxnSpPr>
        <xdr:cNvPr id="2834" name="Straight Arrow Connector 2833">
          <a:extLst>
            <a:ext uri="{FF2B5EF4-FFF2-40B4-BE49-F238E27FC236}">
              <a16:creationId xmlns:a16="http://schemas.microsoft.com/office/drawing/2014/main" id="{00000000-0008-0000-1200-0000120B0000}"/>
            </a:ext>
          </a:extLst>
        </xdr:cNvPr>
        <xdr:cNvCxnSpPr/>
      </xdr:nvCxnSpPr>
      <xdr:spPr>
        <a:xfrm flipV="1">
          <a:off x="7874000" y="36734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601</xdr:row>
      <xdr:rowOff>0</xdr:rowOff>
    </xdr:from>
    <xdr:to>
      <xdr:col>15</xdr:col>
      <xdr:colOff>603250</xdr:colOff>
      <xdr:row>603</xdr:row>
      <xdr:rowOff>1</xdr:rowOff>
    </xdr:to>
    <xdr:cxnSp macro="">
      <xdr:nvCxnSpPr>
        <xdr:cNvPr id="2835" name="Straight Arrow Connector 2834">
          <a:extLst>
            <a:ext uri="{FF2B5EF4-FFF2-40B4-BE49-F238E27FC236}">
              <a16:creationId xmlns:a16="http://schemas.microsoft.com/office/drawing/2014/main" id="{00000000-0008-0000-1200-0000130B0000}"/>
            </a:ext>
          </a:extLst>
        </xdr:cNvPr>
        <xdr:cNvCxnSpPr/>
      </xdr:nvCxnSpPr>
      <xdr:spPr>
        <a:xfrm flipV="1">
          <a:off x="11271250"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603</xdr:row>
      <xdr:rowOff>10584</xdr:rowOff>
    </xdr:from>
    <xdr:to>
      <xdr:col>15</xdr:col>
      <xdr:colOff>592666</xdr:colOff>
      <xdr:row>604</xdr:row>
      <xdr:rowOff>95250</xdr:rowOff>
    </xdr:to>
    <xdr:cxnSp macro="">
      <xdr:nvCxnSpPr>
        <xdr:cNvPr id="2836" name="Straight Arrow Connector 2835">
          <a:extLst>
            <a:ext uri="{FF2B5EF4-FFF2-40B4-BE49-F238E27FC236}">
              <a16:creationId xmlns:a16="http://schemas.microsoft.com/office/drawing/2014/main" id="{00000000-0008-0000-1200-0000140B0000}"/>
            </a:ext>
          </a:extLst>
        </xdr:cNvPr>
        <xdr:cNvCxnSpPr/>
      </xdr:nvCxnSpPr>
      <xdr:spPr>
        <a:xfrm>
          <a:off x="11313583"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603</xdr:row>
      <xdr:rowOff>10584</xdr:rowOff>
    </xdr:from>
    <xdr:to>
      <xdr:col>15</xdr:col>
      <xdr:colOff>560916</xdr:colOff>
      <xdr:row>607</xdr:row>
      <xdr:rowOff>52917</xdr:rowOff>
    </xdr:to>
    <xdr:cxnSp macro="">
      <xdr:nvCxnSpPr>
        <xdr:cNvPr id="2837" name="Straight Arrow Connector 2836">
          <a:extLst>
            <a:ext uri="{FF2B5EF4-FFF2-40B4-BE49-F238E27FC236}">
              <a16:creationId xmlns:a16="http://schemas.microsoft.com/office/drawing/2014/main" id="{00000000-0008-0000-1200-0000150B0000}"/>
            </a:ext>
          </a:extLst>
        </xdr:cNvPr>
        <xdr:cNvCxnSpPr/>
      </xdr:nvCxnSpPr>
      <xdr:spPr>
        <a:xfrm>
          <a:off x="11292416"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838" name="Straight Arrow Connector 2837">
          <a:extLst>
            <a:ext uri="{FF2B5EF4-FFF2-40B4-BE49-F238E27FC236}">
              <a16:creationId xmlns:a16="http://schemas.microsoft.com/office/drawing/2014/main" id="{00000000-0008-0000-1200-0000160B0000}"/>
            </a:ext>
          </a:extLst>
        </xdr:cNvPr>
        <xdr:cNvCxnSpPr/>
      </xdr:nvCxnSpPr>
      <xdr:spPr>
        <a:xfrm>
          <a:off x="11324166" y="28987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617</xdr:row>
      <xdr:rowOff>0</xdr:rowOff>
    </xdr:from>
    <xdr:to>
      <xdr:col>16</xdr:col>
      <xdr:colOff>0</xdr:colOff>
      <xdr:row>617</xdr:row>
      <xdr:rowOff>42334</xdr:rowOff>
    </xdr:to>
    <xdr:cxnSp macro="">
      <xdr:nvCxnSpPr>
        <xdr:cNvPr id="2839" name="Straight Arrow Connector 2838">
          <a:extLst>
            <a:ext uri="{FF2B5EF4-FFF2-40B4-BE49-F238E27FC236}">
              <a16:creationId xmlns:a16="http://schemas.microsoft.com/office/drawing/2014/main" id="{00000000-0008-0000-1200-0000170B0000}"/>
            </a:ext>
          </a:extLst>
        </xdr:cNvPr>
        <xdr:cNvCxnSpPr/>
      </xdr:nvCxnSpPr>
      <xdr:spPr>
        <a:xfrm>
          <a:off x="11302999" y="31623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617</xdr:row>
      <xdr:rowOff>21166</xdr:rowOff>
    </xdr:from>
    <xdr:to>
      <xdr:col>15</xdr:col>
      <xdr:colOff>560916</xdr:colOff>
      <xdr:row>620</xdr:row>
      <xdr:rowOff>84667</xdr:rowOff>
    </xdr:to>
    <xdr:cxnSp macro="">
      <xdr:nvCxnSpPr>
        <xdr:cNvPr id="2840" name="Straight Arrow Connector 2839">
          <a:extLst>
            <a:ext uri="{FF2B5EF4-FFF2-40B4-BE49-F238E27FC236}">
              <a16:creationId xmlns:a16="http://schemas.microsoft.com/office/drawing/2014/main" id="{00000000-0008-0000-1200-0000180B0000}"/>
            </a:ext>
          </a:extLst>
        </xdr:cNvPr>
        <xdr:cNvCxnSpPr/>
      </xdr:nvCxnSpPr>
      <xdr:spPr>
        <a:xfrm>
          <a:off x="11355916"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617</xdr:row>
      <xdr:rowOff>52916</xdr:rowOff>
    </xdr:from>
    <xdr:to>
      <xdr:col>15</xdr:col>
      <xdr:colOff>592666</xdr:colOff>
      <xdr:row>623</xdr:row>
      <xdr:rowOff>63501</xdr:rowOff>
    </xdr:to>
    <xdr:cxnSp macro="">
      <xdr:nvCxnSpPr>
        <xdr:cNvPr id="2841" name="Straight Arrow Connector 2840">
          <a:extLst>
            <a:ext uri="{FF2B5EF4-FFF2-40B4-BE49-F238E27FC236}">
              <a16:creationId xmlns:a16="http://schemas.microsoft.com/office/drawing/2014/main" id="{00000000-0008-0000-1200-0000190B0000}"/>
            </a:ext>
          </a:extLst>
        </xdr:cNvPr>
        <xdr:cNvCxnSpPr/>
      </xdr:nvCxnSpPr>
      <xdr:spPr>
        <a:xfrm>
          <a:off x="11313583"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631</xdr:row>
      <xdr:rowOff>116416</xdr:rowOff>
    </xdr:from>
    <xdr:to>
      <xdr:col>15</xdr:col>
      <xdr:colOff>592666</xdr:colOff>
      <xdr:row>634</xdr:row>
      <xdr:rowOff>158750</xdr:rowOff>
    </xdr:to>
    <xdr:cxnSp macro="">
      <xdr:nvCxnSpPr>
        <xdr:cNvPr id="2842" name="Straight Arrow Connector 2841">
          <a:extLst>
            <a:ext uri="{FF2B5EF4-FFF2-40B4-BE49-F238E27FC236}">
              <a16:creationId xmlns:a16="http://schemas.microsoft.com/office/drawing/2014/main" id="{00000000-0008-0000-1200-00001A0B0000}"/>
            </a:ext>
          </a:extLst>
        </xdr:cNvPr>
        <xdr:cNvCxnSpPr/>
      </xdr:nvCxnSpPr>
      <xdr:spPr>
        <a:xfrm flipV="1">
          <a:off x="11302999"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633</xdr:row>
      <xdr:rowOff>95250</xdr:rowOff>
    </xdr:from>
    <xdr:to>
      <xdr:col>15</xdr:col>
      <xdr:colOff>582083</xdr:colOff>
      <xdr:row>635</xdr:row>
      <xdr:rowOff>52917</xdr:rowOff>
    </xdr:to>
    <xdr:cxnSp macro="">
      <xdr:nvCxnSpPr>
        <xdr:cNvPr id="2843" name="Straight Arrow Connector 2842">
          <a:extLst>
            <a:ext uri="{FF2B5EF4-FFF2-40B4-BE49-F238E27FC236}">
              <a16:creationId xmlns:a16="http://schemas.microsoft.com/office/drawing/2014/main" id="{00000000-0008-0000-1200-00001B0B0000}"/>
            </a:ext>
          </a:extLst>
        </xdr:cNvPr>
        <xdr:cNvCxnSpPr/>
      </xdr:nvCxnSpPr>
      <xdr:spPr>
        <a:xfrm flipV="1">
          <a:off x="11345333"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116417</xdr:rowOff>
    </xdr:from>
    <xdr:to>
      <xdr:col>15</xdr:col>
      <xdr:colOff>592666</xdr:colOff>
      <xdr:row>639</xdr:row>
      <xdr:rowOff>95250</xdr:rowOff>
    </xdr:to>
    <xdr:cxnSp macro="">
      <xdr:nvCxnSpPr>
        <xdr:cNvPr id="2844" name="Straight Arrow Connector 2843">
          <a:extLst>
            <a:ext uri="{FF2B5EF4-FFF2-40B4-BE49-F238E27FC236}">
              <a16:creationId xmlns:a16="http://schemas.microsoft.com/office/drawing/2014/main" id="{00000000-0008-0000-1200-00001C0B0000}"/>
            </a:ext>
          </a:extLst>
        </xdr:cNvPr>
        <xdr:cNvCxnSpPr/>
      </xdr:nvCxnSpPr>
      <xdr:spPr>
        <a:xfrm>
          <a:off x="11334749"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646</xdr:row>
      <xdr:rowOff>116416</xdr:rowOff>
    </xdr:from>
    <xdr:to>
      <xdr:col>16</xdr:col>
      <xdr:colOff>0</xdr:colOff>
      <xdr:row>653</xdr:row>
      <xdr:rowOff>74084</xdr:rowOff>
    </xdr:to>
    <xdr:cxnSp macro="">
      <xdr:nvCxnSpPr>
        <xdr:cNvPr id="2845" name="Straight Arrow Connector 2844">
          <a:extLst>
            <a:ext uri="{FF2B5EF4-FFF2-40B4-BE49-F238E27FC236}">
              <a16:creationId xmlns:a16="http://schemas.microsoft.com/office/drawing/2014/main" id="{00000000-0008-0000-1200-00001D0B0000}"/>
            </a:ext>
          </a:extLst>
        </xdr:cNvPr>
        <xdr:cNvCxnSpPr/>
      </xdr:nvCxnSpPr>
      <xdr:spPr>
        <a:xfrm>
          <a:off x="11313583" y="37263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614</xdr:row>
      <xdr:rowOff>52917</xdr:rowOff>
    </xdr:from>
    <xdr:to>
      <xdr:col>15</xdr:col>
      <xdr:colOff>603250</xdr:colOff>
      <xdr:row>616</xdr:row>
      <xdr:rowOff>148167</xdr:rowOff>
    </xdr:to>
    <xdr:cxnSp macro="">
      <xdr:nvCxnSpPr>
        <xdr:cNvPr id="2846" name="Straight Arrow Connector 2845">
          <a:extLst>
            <a:ext uri="{FF2B5EF4-FFF2-40B4-BE49-F238E27FC236}">
              <a16:creationId xmlns:a16="http://schemas.microsoft.com/office/drawing/2014/main" id="{00000000-0008-0000-1200-00001E0B0000}"/>
            </a:ext>
          </a:extLst>
        </xdr:cNvPr>
        <xdr:cNvCxnSpPr/>
      </xdr:nvCxnSpPr>
      <xdr:spPr>
        <a:xfrm flipV="1">
          <a:off x="11324166"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649</xdr:row>
      <xdr:rowOff>42333</xdr:rowOff>
    </xdr:from>
    <xdr:to>
      <xdr:col>11</xdr:col>
      <xdr:colOff>603250</xdr:colOff>
      <xdr:row>661</xdr:row>
      <xdr:rowOff>10583</xdr:rowOff>
    </xdr:to>
    <xdr:cxnSp macro="">
      <xdr:nvCxnSpPr>
        <xdr:cNvPr id="2847" name="Straight Arrow Connector 2846">
          <a:extLst>
            <a:ext uri="{FF2B5EF4-FFF2-40B4-BE49-F238E27FC236}">
              <a16:creationId xmlns:a16="http://schemas.microsoft.com/office/drawing/2014/main" id="{00000000-0008-0000-1200-00001F0B0000}"/>
            </a:ext>
          </a:extLst>
        </xdr:cNvPr>
        <xdr:cNvCxnSpPr/>
      </xdr:nvCxnSpPr>
      <xdr:spPr>
        <a:xfrm>
          <a:off x="7926917"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639</xdr:row>
      <xdr:rowOff>21167</xdr:rowOff>
    </xdr:from>
    <xdr:to>
      <xdr:col>13</xdr:col>
      <xdr:colOff>592667</xdr:colOff>
      <xdr:row>641</xdr:row>
      <xdr:rowOff>0</xdr:rowOff>
    </xdr:to>
    <xdr:cxnSp macro="">
      <xdr:nvCxnSpPr>
        <xdr:cNvPr id="2848" name="Straight Arrow Connector 2847">
          <a:extLst>
            <a:ext uri="{FF2B5EF4-FFF2-40B4-BE49-F238E27FC236}">
              <a16:creationId xmlns:a16="http://schemas.microsoft.com/office/drawing/2014/main" id="{00000000-0008-0000-1200-0000200B0000}"/>
            </a:ext>
          </a:extLst>
        </xdr:cNvPr>
        <xdr:cNvCxnSpPr/>
      </xdr:nvCxnSpPr>
      <xdr:spPr>
        <a:xfrm flipV="1">
          <a:off x="9133417" y="35835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644</xdr:row>
      <xdr:rowOff>21166</xdr:rowOff>
    </xdr:from>
    <xdr:to>
      <xdr:col>13</xdr:col>
      <xdr:colOff>592667</xdr:colOff>
      <xdr:row>645</xdr:row>
      <xdr:rowOff>169334</xdr:rowOff>
    </xdr:to>
    <xdr:cxnSp macro="">
      <xdr:nvCxnSpPr>
        <xdr:cNvPr id="2849" name="Straight Arrow Connector 2848">
          <a:extLst>
            <a:ext uri="{FF2B5EF4-FFF2-40B4-BE49-F238E27FC236}">
              <a16:creationId xmlns:a16="http://schemas.microsoft.com/office/drawing/2014/main" id="{00000000-0008-0000-1200-0000210B0000}"/>
            </a:ext>
          </a:extLst>
        </xdr:cNvPr>
        <xdr:cNvCxnSpPr/>
      </xdr:nvCxnSpPr>
      <xdr:spPr>
        <a:xfrm>
          <a:off x="9122833" y="36787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659</xdr:row>
      <xdr:rowOff>21167</xdr:rowOff>
    </xdr:from>
    <xdr:to>
      <xdr:col>13</xdr:col>
      <xdr:colOff>592667</xdr:colOff>
      <xdr:row>661</xdr:row>
      <xdr:rowOff>63500</xdr:rowOff>
    </xdr:to>
    <xdr:cxnSp macro="">
      <xdr:nvCxnSpPr>
        <xdr:cNvPr id="2850" name="Straight Arrow Connector 2849">
          <a:extLst>
            <a:ext uri="{FF2B5EF4-FFF2-40B4-BE49-F238E27FC236}">
              <a16:creationId xmlns:a16="http://schemas.microsoft.com/office/drawing/2014/main" id="{00000000-0008-0000-1200-0000220B0000}"/>
            </a:ext>
          </a:extLst>
        </xdr:cNvPr>
        <xdr:cNvCxnSpPr/>
      </xdr:nvCxnSpPr>
      <xdr:spPr>
        <a:xfrm flipV="1">
          <a:off x="952500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664</xdr:row>
      <xdr:rowOff>0</xdr:rowOff>
    </xdr:from>
    <xdr:to>
      <xdr:col>14</xdr:col>
      <xdr:colOff>10584</xdr:colOff>
      <xdr:row>672</xdr:row>
      <xdr:rowOff>148167</xdr:rowOff>
    </xdr:to>
    <xdr:cxnSp macro="">
      <xdr:nvCxnSpPr>
        <xdr:cNvPr id="2851" name="Straight Arrow Connector 2850">
          <a:extLst>
            <a:ext uri="{FF2B5EF4-FFF2-40B4-BE49-F238E27FC236}">
              <a16:creationId xmlns:a16="http://schemas.microsoft.com/office/drawing/2014/main" id="{00000000-0008-0000-1200-0000230B0000}"/>
            </a:ext>
          </a:extLst>
        </xdr:cNvPr>
        <xdr:cNvCxnSpPr/>
      </xdr:nvCxnSpPr>
      <xdr:spPr>
        <a:xfrm>
          <a:off x="9535583" y="40767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635</xdr:row>
      <xdr:rowOff>95250</xdr:rowOff>
    </xdr:from>
    <xdr:to>
      <xdr:col>15</xdr:col>
      <xdr:colOff>582083</xdr:colOff>
      <xdr:row>637</xdr:row>
      <xdr:rowOff>137583</xdr:rowOff>
    </xdr:to>
    <xdr:cxnSp macro="">
      <xdr:nvCxnSpPr>
        <xdr:cNvPr id="2852" name="Straight Arrow Connector 2851">
          <a:extLst>
            <a:ext uri="{FF2B5EF4-FFF2-40B4-BE49-F238E27FC236}">
              <a16:creationId xmlns:a16="http://schemas.microsoft.com/office/drawing/2014/main" id="{00000000-0008-0000-1200-0000240B0000}"/>
            </a:ext>
          </a:extLst>
        </xdr:cNvPr>
        <xdr:cNvCxnSpPr/>
      </xdr:nvCxnSpPr>
      <xdr:spPr>
        <a:xfrm>
          <a:off x="11334749"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644</xdr:row>
      <xdr:rowOff>52916</xdr:rowOff>
    </xdr:from>
    <xdr:to>
      <xdr:col>16</xdr:col>
      <xdr:colOff>0</xdr:colOff>
      <xdr:row>646</xdr:row>
      <xdr:rowOff>0</xdr:rowOff>
    </xdr:to>
    <xdr:cxnSp macro="">
      <xdr:nvCxnSpPr>
        <xdr:cNvPr id="2853" name="Straight Arrow Connector 2852">
          <a:extLst>
            <a:ext uri="{FF2B5EF4-FFF2-40B4-BE49-F238E27FC236}">
              <a16:creationId xmlns:a16="http://schemas.microsoft.com/office/drawing/2014/main" id="{00000000-0008-0000-1200-0000250B0000}"/>
            </a:ext>
          </a:extLst>
        </xdr:cNvPr>
        <xdr:cNvCxnSpPr/>
      </xdr:nvCxnSpPr>
      <xdr:spPr>
        <a:xfrm flipV="1">
          <a:off x="11281833" y="36819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21167</xdr:rowOff>
    </xdr:from>
    <xdr:to>
      <xdr:col>15</xdr:col>
      <xdr:colOff>592666</xdr:colOff>
      <xdr:row>647</xdr:row>
      <xdr:rowOff>84667</xdr:rowOff>
    </xdr:to>
    <xdr:cxnSp macro="">
      <xdr:nvCxnSpPr>
        <xdr:cNvPr id="2854" name="Straight Arrow Connector 2853">
          <a:extLst>
            <a:ext uri="{FF2B5EF4-FFF2-40B4-BE49-F238E27FC236}">
              <a16:creationId xmlns:a16="http://schemas.microsoft.com/office/drawing/2014/main" id="{00000000-0008-0000-1200-0000260B0000}"/>
            </a:ext>
          </a:extLst>
        </xdr:cNvPr>
        <xdr:cNvCxnSpPr/>
      </xdr:nvCxnSpPr>
      <xdr:spPr>
        <a:xfrm>
          <a:off x="11271250"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646</xdr:row>
      <xdr:rowOff>0</xdr:rowOff>
    </xdr:from>
    <xdr:to>
      <xdr:col>16</xdr:col>
      <xdr:colOff>0</xdr:colOff>
      <xdr:row>650</xdr:row>
      <xdr:rowOff>42334</xdr:rowOff>
    </xdr:to>
    <xdr:cxnSp macro="">
      <xdr:nvCxnSpPr>
        <xdr:cNvPr id="2855" name="Straight Arrow Connector 2854">
          <a:extLst>
            <a:ext uri="{FF2B5EF4-FFF2-40B4-BE49-F238E27FC236}">
              <a16:creationId xmlns:a16="http://schemas.microsoft.com/office/drawing/2014/main" id="{00000000-0008-0000-1200-0000270B0000}"/>
            </a:ext>
          </a:extLst>
        </xdr:cNvPr>
        <xdr:cNvCxnSpPr/>
      </xdr:nvCxnSpPr>
      <xdr:spPr>
        <a:xfrm>
          <a:off x="11271250" y="37147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657</xdr:row>
      <xdr:rowOff>0</xdr:rowOff>
    </xdr:from>
    <xdr:to>
      <xdr:col>15</xdr:col>
      <xdr:colOff>603250</xdr:colOff>
      <xdr:row>659</xdr:row>
      <xdr:rowOff>1</xdr:rowOff>
    </xdr:to>
    <xdr:cxnSp macro="">
      <xdr:nvCxnSpPr>
        <xdr:cNvPr id="2856" name="Straight Arrow Connector 2855">
          <a:extLst>
            <a:ext uri="{FF2B5EF4-FFF2-40B4-BE49-F238E27FC236}">
              <a16:creationId xmlns:a16="http://schemas.microsoft.com/office/drawing/2014/main" id="{00000000-0008-0000-1200-0000280B0000}"/>
            </a:ext>
          </a:extLst>
        </xdr:cNvPr>
        <xdr:cNvCxnSpPr/>
      </xdr:nvCxnSpPr>
      <xdr:spPr>
        <a:xfrm flipV="1">
          <a:off x="11271250"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659</xdr:row>
      <xdr:rowOff>10584</xdr:rowOff>
    </xdr:from>
    <xdr:to>
      <xdr:col>15</xdr:col>
      <xdr:colOff>592666</xdr:colOff>
      <xdr:row>660</xdr:row>
      <xdr:rowOff>95250</xdr:rowOff>
    </xdr:to>
    <xdr:cxnSp macro="">
      <xdr:nvCxnSpPr>
        <xdr:cNvPr id="2857" name="Straight Arrow Connector 2856">
          <a:extLst>
            <a:ext uri="{FF2B5EF4-FFF2-40B4-BE49-F238E27FC236}">
              <a16:creationId xmlns:a16="http://schemas.microsoft.com/office/drawing/2014/main" id="{00000000-0008-0000-1200-0000290B0000}"/>
            </a:ext>
          </a:extLst>
        </xdr:cNvPr>
        <xdr:cNvCxnSpPr/>
      </xdr:nvCxnSpPr>
      <xdr:spPr>
        <a:xfrm>
          <a:off x="11313583"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659</xdr:row>
      <xdr:rowOff>10584</xdr:rowOff>
    </xdr:from>
    <xdr:to>
      <xdr:col>15</xdr:col>
      <xdr:colOff>560916</xdr:colOff>
      <xdr:row>663</xdr:row>
      <xdr:rowOff>52917</xdr:rowOff>
    </xdr:to>
    <xdr:cxnSp macro="">
      <xdr:nvCxnSpPr>
        <xdr:cNvPr id="2858" name="Straight Arrow Connector 2857">
          <a:extLst>
            <a:ext uri="{FF2B5EF4-FFF2-40B4-BE49-F238E27FC236}">
              <a16:creationId xmlns:a16="http://schemas.microsoft.com/office/drawing/2014/main" id="{00000000-0008-0000-1200-00002A0B0000}"/>
            </a:ext>
          </a:extLst>
        </xdr:cNvPr>
        <xdr:cNvCxnSpPr/>
      </xdr:nvCxnSpPr>
      <xdr:spPr>
        <a:xfrm>
          <a:off x="11292416"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859" name="Straight Arrow Connector 2858">
          <a:extLst>
            <a:ext uri="{FF2B5EF4-FFF2-40B4-BE49-F238E27FC236}">
              <a16:creationId xmlns:a16="http://schemas.microsoft.com/office/drawing/2014/main" id="{00000000-0008-0000-1200-00002B0B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673</xdr:row>
      <xdr:rowOff>0</xdr:rowOff>
    </xdr:from>
    <xdr:to>
      <xdr:col>16</xdr:col>
      <xdr:colOff>0</xdr:colOff>
      <xdr:row>673</xdr:row>
      <xdr:rowOff>42334</xdr:rowOff>
    </xdr:to>
    <xdr:cxnSp macro="">
      <xdr:nvCxnSpPr>
        <xdr:cNvPr id="2860" name="Straight Arrow Connector 2859">
          <a:extLst>
            <a:ext uri="{FF2B5EF4-FFF2-40B4-BE49-F238E27FC236}">
              <a16:creationId xmlns:a16="http://schemas.microsoft.com/office/drawing/2014/main" id="{00000000-0008-0000-1200-00002C0B0000}"/>
            </a:ext>
          </a:extLst>
        </xdr:cNvPr>
        <xdr:cNvCxnSpPr/>
      </xdr:nvCxnSpPr>
      <xdr:spPr>
        <a:xfrm>
          <a:off x="11302999" y="42481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673</xdr:row>
      <xdr:rowOff>21166</xdr:rowOff>
    </xdr:from>
    <xdr:to>
      <xdr:col>15</xdr:col>
      <xdr:colOff>560916</xdr:colOff>
      <xdr:row>676</xdr:row>
      <xdr:rowOff>84667</xdr:rowOff>
    </xdr:to>
    <xdr:cxnSp macro="">
      <xdr:nvCxnSpPr>
        <xdr:cNvPr id="2861" name="Straight Arrow Connector 2860">
          <a:extLst>
            <a:ext uri="{FF2B5EF4-FFF2-40B4-BE49-F238E27FC236}">
              <a16:creationId xmlns:a16="http://schemas.microsoft.com/office/drawing/2014/main" id="{00000000-0008-0000-1200-00002D0B0000}"/>
            </a:ext>
          </a:extLst>
        </xdr:cNvPr>
        <xdr:cNvCxnSpPr/>
      </xdr:nvCxnSpPr>
      <xdr:spPr>
        <a:xfrm>
          <a:off x="11355916"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673</xdr:row>
      <xdr:rowOff>52916</xdr:rowOff>
    </xdr:from>
    <xdr:to>
      <xdr:col>15</xdr:col>
      <xdr:colOff>592666</xdr:colOff>
      <xdr:row>679</xdr:row>
      <xdr:rowOff>63501</xdr:rowOff>
    </xdr:to>
    <xdr:cxnSp macro="">
      <xdr:nvCxnSpPr>
        <xdr:cNvPr id="2862" name="Straight Arrow Connector 2861">
          <a:extLst>
            <a:ext uri="{FF2B5EF4-FFF2-40B4-BE49-F238E27FC236}">
              <a16:creationId xmlns:a16="http://schemas.microsoft.com/office/drawing/2014/main" id="{00000000-0008-0000-1200-00002E0B0000}"/>
            </a:ext>
          </a:extLst>
        </xdr:cNvPr>
        <xdr:cNvCxnSpPr/>
      </xdr:nvCxnSpPr>
      <xdr:spPr>
        <a:xfrm>
          <a:off x="11313583"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670</xdr:row>
      <xdr:rowOff>52917</xdr:rowOff>
    </xdr:from>
    <xdr:to>
      <xdr:col>15</xdr:col>
      <xdr:colOff>603250</xdr:colOff>
      <xdr:row>672</xdr:row>
      <xdr:rowOff>148167</xdr:rowOff>
    </xdr:to>
    <xdr:cxnSp macro="">
      <xdr:nvCxnSpPr>
        <xdr:cNvPr id="2863" name="Straight Arrow Connector 2862">
          <a:extLst>
            <a:ext uri="{FF2B5EF4-FFF2-40B4-BE49-F238E27FC236}">
              <a16:creationId xmlns:a16="http://schemas.microsoft.com/office/drawing/2014/main" id="{00000000-0008-0000-1200-00002F0B0000}"/>
            </a:ext>
          </a:extLst>
        </xdr:cNvPr>
        <xdr:cNvCxnSpPr/>
      </xdr:nvCxnSpPr>
      <xdr:spPr>
        <a:xfrm flipV="1">
          <a:off x="11324166"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864" name="Straight Arrow Connector 2863">
          <a:extLst>
            <a:ext uri="{FF2B5EF4-FFF2-40B4-BE49-F238E27FC236}">
              <a16:creationId xmlns:a16="http://schemas.microsoft.com/office/drawing/2014/main" id="{00000000-0008-0000-1200-0000300B0000}"/>
            </a:ext>
          </a:extLst>
        </xdr:cNvPr>
        <xdr:cNvCxnSpPr/>
      </xdr:nvCxnSpPr>
      <xdr:spPr>
        <a:xfrm>
          <a:off x="11281833" y="37179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865" name="Straight Arrow Connector 2864">
          <a:extLst>
            <a:ext uri="{FF2B5EF4-FFF2-40B4-BE49-F238E27FC236}">
              <a16:creationId xmlns:a16="http://schemas.microsoft.com/office/drawing/2014/main" id="{00000000-0008-0000-1200-0000310B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866" name="Straight Arrow Connector 2865">
          <a:extLst>
            <a:ext uri="{FF2B5EF4-FFF2-40B4-BE49-F238E27FC236}">
              <a16:creationId xmlns:a16="http://schemas.microsoft.com/office/drawing/2014/main" id="{00000000-0008-0000-1200-0000320B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867" name="Straight Arrow Connector 2866">
          <a:extLst>
            <a:ext uri="{FF2B5EF4-FFF2-40B4-BE49-F238E27FC236}">
              <a16:creationId xmlns:a16="http://schemas.microsoft.com/office/drawing/2014/main" id="{00000000-0008-0000-1200-0000330B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868" name="Straight Arrow Connector 2867">
          <a:extLst>
            <a:ext uri="{FF2B5EF4-FFF2-40B4-BE49-F238E27FC236}">
              <a16:creationId xmlns:a16="http://schemas.microsoft.com/office/drawing/2014/main" id="{00000000-0008-0000-1200-0000340B0000}"/>
            </a:ext>
          </a:extLst>
        </xdr:cNvPr>
        <xdr:cNvCxnSpPr/>
      </xdr:nvCxnSpPr>
      <xdr:spPr>
        <a:xfrm>
          <a:off x="11281833" y="480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869" name="Straight Arrow Connector 2868">
          <a:extLst>
            <a:ext uri="{FF2B5EF4-FFF2-40B4-BE49-F238E27FC236}">
              <a16:creationId xmlns:a16="http://schemas.microsoft.com/office/drawing/2014/main" id="{00000000-0008-0000-1200-0000350B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785</xdr:row>
      <xdr:rowOff>21167</xdr:rowOff>
    </xdr:from>
    <xdr:to>
      <xdr:col>15</xdr:col>
      <xdr:colOff>592666</xdr:colOff>
      <xdr:row>786</xdr:row>
      <xdr:rowOff>84667</xdr:rowOff>
    </xdr:to>
    <xdr:cxnSp macro="">
      <xdr:nvCxnSpPr>
        <xdr:cNvPr id="2870" name="Straight Arrow Connector 2869">
          <a:extLst>
            <a:ext uri="{FF2B5EF4-FFF2-40B4-BE49-F238E27FC236}">
              <a16:creationId xmlns:a16="http://schemas.microsoft.com/office/drawing/2014/main" id="{00000000-0008-0000-1200-0000360B0000}"/>
            </a:ext>
          </a:extLst>
        </xdr:cNvPr>
        <xdr:cNvCxnSpPr/>
      </xdr:nvCxnSpPr>
      <xdr:spPr>
        <a:xfrm>
          <a:off x="11271250" y="64219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871" name="Straight Arrow Connector 2870">
          <a:extLst>
            <a:ext uri="{FF2B5EF4-FFF2-40B4-BE49-F238E27FC236}">
              <a16:creationId xmlns:a16="http://schemas.microsoft.com/office/drawing/2014/main" id="{00000000-0008-0000-1200-0000370B0000}"/>
            </a:ext>
          </a:extLst>
        </xdr:cNvPr>
        <xdr:cNvCxnSpPr/>
      </xdr:nvCxnSpPr>
      <xdr:spPr>
        <a:xfrm>
          <a:off x="11281833" y="588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872" name="Straight Arrow Connector 2871">
          <a:extLst>
            <a:ext uri="{FF2B5EF4-FFF2-40B4-BE49-F238E27FC236}">
              <a16:creationId xmlns:a16="http://schemas.microsoft.com/office/drawing/2014/main" id="{00000000-0008-0000-1200-0000380B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873" name="Straight Arrow Connector 2872">
          <a:extLst>
            <a:ext uri="{FF2B5EF4-FFF2-40B4-BE49-F238E27FC236}">
              <a16:creationId xmlns:a16="http://schemas.microsoft.com/office/drawing/2014/main" id="{00000000-0008-0000-1200-0000390B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874" name="Straight Arrow Connector 2873">
          <a:extLst>
            <a:ext uri="{FF2B5EF4-FFF2-40B4-BE49-F238E27FC236}">
              <a16:creationId xmlns:a16="http://schemas.microsoft.com/office/drawing/2014/main" id="{00000000-0008-0000-1200-00003A0B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875" name="Straight Arrow Connector 2874">
          <a:extLst>
            <a:ext uri="{FF2B5EF4-FFF2-40B4-BE49-F238E27FC236}">
              <a16:creationId xmlns:a16="http://schemas.microsoft.com/office/drawing/2014/main" id="{00000000-0008-0000-1200-00003B0B0000}"/>
            </a:ext>
          </a:extLst>
        </xdr:cNvPr>
        <xdr:cNvCxnSpPr/>
      </xdr:nvCxnSpPr>
      <xdr:spPr>
        <a:xfrm>
          <a:off x="11281833" y="588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876" name="Straight Arrow Connector 2875">
          <a:extLst>
            <a:ext uri="{FF2B5EF4-FFF2-40B4-BE49-F238E27FC236}">
              <a16:creationId xmlns:a16="http://schemas.microsoft.com/office/drawing/2014/main" id="{00000000-0008-0000-1200-00003C0B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811</xdr:row>
      <xdr:rowOff>169333</xdr:rowOff>
    </xdr:from>
    <xdr:to>
      <xdr:col>11</xdr:col>
      <xdr:colOff>603250</xdr:colOff>
      <xdr:row>814</xdr:row>
      <xdr:rowOff>21167</xdr:rowOff>
    </xdr:to>
    <xdr:cxnSp macro="">
      <xdr:nvCxnSpPr>
        <xdr:cNvPr id="2877" name="Straight Arrow Connector 2876">
          <a:extLst>
            <a:ext uri="{FF2B5EF4-FFF2-40B4-BE49-F238E27FC236}">
              <a16:creationId xmlns:a16="http://schemas.microsoft.com/office/drawing/2014/main" id="{00000000-0008-0000-1200-00003D0B0000}"/>
            </a:ext>
          </a:extLst>
        </xdr:cNvPr>
        <xdr:cNvCxnSpPr/>
      </xdr:nvCxnSpPr>
      <xdr:spPr>
        <a:xfrm flipV="1">
          <a:off x="7937500"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817</xdr:row>
      <xdr:rowOff>42333</xdr:rowOff>
    </xdr:from>
    <xdr:to>
      <xdr:col>11</xdr:col>
      <xdr:colOff>603250</xdr:colOff>
      <xdr:row>829</xdr:row>
      <xdr:rowOff>10583</xdr:rowOff>
    </xdr:to>
    <xdr:cxnSp macro="">
      <xdr:nvCxnSpPr>
        <xdr:cNvPr id="2878" name="Straight Arrow Connector 2877">
          <a:extLst>
            <a:ext uri="{FF2B5EF4-FFF2-40B4-BE49-F238E27FC236}">
              <a16:creationId xmlns:a16="http://schemas.microsoft.com/office/drawing/2014/main" id="{00000000-0008-0000-1200-00003E0B0000}"/>
            </a:ext>
          </a:extLst>
        </xdr:cNvPr>
        <xdr:cNvCxnSpPr/>
      </xdr:nvCxnSpPr>
      <xdr:spPr>
        <a:xfrm>
          <a:off x="7926917"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807</xdr:row>
      <xdr:rowOff>21167</xdr:rowOff>
    </xdr:from>
    <xdr:to>
      <xdr:col>13</xdr:col>
      <xdr:colOff>592667</xdr:colOff>
      <xdr:row>809</xdr:row>
      <xdr:rowOff>0</xdr:rowOff>
    </xdr:to>
    <xdr:cxnSp macro="">
      <xdr:nvCxnSpPr>
        <xdr:cNvPr id="2879" name="Straight Arrow Connector 2878">
          <a:extLst>
            <a:ext uri="{FF2B5EF4-FFF2-40B4-BE49-F238E27FC236}">
              <a16:creationId xmlns:a16="http://schemas.microsoft.com/office/drawing/2014/main" id="{00000000-0008-0000-1200-00003F0B0000}"/>
            </a:ext>
          </a:extLst>
        </xdr:cNvPr>
        <xdr:cNvCxnSpPr/>
      </xdr:nvCxnSpPr>
      <xdr:spPr>
        <a:xfrm flipV="1">
          <a:off x="9133417" y="68410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812</xdr:row>
      <xdr:rowOff>21166</xdr:rowOff>
    </xdr:from>
    <xdr:to>
      <xdr:col>13</xdr:col>
      <xdr:colOff>592667</xdr:colOff>
      <xdr:row>813</xdr:row>
      <xdr:rowOff>169334</xdr:rowOff>
    </xdr:to>
    <xdr:cxnSp macro="">
      <xdr:nvCxnSpPr>
        <xdr:cNvPr id="2880" name="Straight Arrow Connector 2879">
          <a:extLst>
            <a:ext uri="{FF2B5EF4-FFF2-40B4-BE49-F238E27FC236}">
              <a16:creationId xmlns:a16="http://schemas.microsoft.com/office/drawing/2014/main" id="{00000000-0008-0000-1200-0000400B0000}"/>
            </a:ext>
          </a:extLst>
        </xdr:cNvPr>
        <xdr:cNvCxnSpPr/>
      </xdr:nvCxnSpPr>
      <xdr:spPr>
        <a:xfrm>
          <a:off x="9122833" y="69363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799</xdr:row>
      <xdr:rowOff>0</xdr:rowOff>
    </xdr:from>
    <xdr:to>
      <xdr:col>15</xdr:col>
      <xdr:colOff>603250</xdr:colOff>
      <xdr:row>804</xdr:row>
      <xdr:rowOff>31750</xdr:rowOff>
    </xdr:to>
    <xdr:cxnSp macro="">
      <xdr:nvCxnSpPr>
        <xdr:cNvPr id="2883" name="Straight Arrow Connector 2882">
          <a:extLst>
            <a:ext uri="{FF2B5EF4-FFF2-40B4-BE49-F238E27FC236}">
              <a16:creationId xmlns:a16="http://schemas.microsoft.com/office/drawing/2014/main" id="{00000000-0008-0000-1200-0000430B0000}"/>
            </a:ext>
          </a:extLst>
        </xdr:cNvPr>
        <xdr:cNvCxnSpPr/>
      </xdr:nvCxnSpPr>
      <xdr:spPr>
        <a:xfrm flipV="1">
          <a:off x="11281833"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802</xdr:row>
      <xdr:rowOff>52917</xdr:rowOff>
    </xdr:from>
    <xdr:to>
      <xdr:col>15</xdr:col>
      <xdr:colOff>603250</xdr:colOff>
      <xdr:row>804</xdr:row>
      <xdr:rowOff>95250</xdr:rowOff>
    </xdr:to>
    <xdr:cxnSp macro="">
      <xdr:nvCxnSpPr>
        <xdr:cNvPr id="2884" name="Straight Arrow Connector 2883">
          <a:extLst>
            <a:ext uri="{FF2B5EF4-FFF2-40B4-BE49-F238E27FC236}">
              <a16:creationId xmlns:a16="http://schemas.microsoft.com/office/drawing/2014/main" id="{00000000-0008-0000-1200-0000440B0000}"/>
            </a:ext>
          </a:extLst>
        </xdr:cNvPr>
        <xdr:cNvCxnSpPr/>
      </xdr:nvCxnSpPr>
      <xdr:spPr>
        <a:xfrm flipV="1">
          <a:off x="11324166"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804</xdr:row>
      <xdr:rowOff>158750</xdr:rowOff>
    </xdr:from>
    <xdr:to>
      <xdr:col>15</xdr:col>
      <xdr:colOff>582083</xdr:colOff>
      <xdr:row>805</xdr:row>
      <xdr:rowOff>137583</xdr:rowOff>
    </xdr:to>
    <xdr:cxnSp macro="">
      <xdr:nvCxnSpPr>
        <xdr:cNvPr id="2885" name="Straight Arrow Connector 2884">
          <a:extLst>
            <a:ext uri="{FF2B5EF4-FFF2-40B4-BE49-F238E27FC236}">
              <a16:creationId xmlns:a16="http://schemas.microsoft.com/office/drawing/2014/main" id="{00000000-0008-0000-1200-0000450B0000}"/>
            </a:ext>
          </a:extLst>
        </xdr:cNvPr>
        <xdr:cNvCxnSpPr/>
      </xdr:nvCxnSpPr>
      <xdr:spPr>
        <a:xfrm>
          <a:off x="11345333"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804</xdr:row>
      <xdr:rowOff>105834</xdr:rowOff>
    </xdr:from>
    <xdr:to>
      <xdr:col>16</xdr:col>
      <xdr:colOff>0</xdr:colOff>
      <xdr:row>808</xdr:row>
      <xdr:rowOff>84667</xdr:rowOff>
    </xdr:to>
    <xdr:cxnSp macro="">
      <xdr:nvCxnSpPr>
        <xdr:cNvPr id="2886" name="Straight Arrow Connector 2885">
          <a:extLst>
            <a:ext uri="{FF2B5EF4-FFF2-40B4-BE49-F238E27FC236}">
              <a16:creationId xmlns:a16="http://schemas.microsoft.com/office/drawing/2014/main" id="{00000000-0008-0000-1200-0000460B0000}"/>
            </a:ext>
          </a:extLst>
        </xdr:cNvPr>
        <xdr:cNvCxnSpPr/>
      </xdr:nvCxnSpPr>
      <xdr:spPr>
        <a:xfrm>
          <a:off x="11260667" y="67923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2890" name="Straight Arrow Connector 2889">
          <a:extLst>
            <a:ext uri="{FF2B5EF4-FFF2-40B4-BE49-F238E27FC236}">
              <a16:creationId xmlns:a16="http://schemas.microsoft.com/office/drawing/2014/main" id="{00000000-0008-0000-1200-00004A0B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867</xdr:row>
      <xdr:rowOff>158750</xdr:rowOff>
    </xdr:from>
    <xdr:to>
      <xdr:col>11</xdr:col>
      <xdr:colOff>571500</xdr:colOff>
      <xdr:row>870</xdr:row>
      <xdr:rowOff>0</xdr:rowOff>
    </xdr:to>
    <xdr:cxnSp macro="">
      <xdr:nvCxnSpPr>
        <xdr:cNvPr id="2891" name="Straight Arrow Connector 2890">
          <a:extLst>
            <a:ext uri="{FF2B5EF4-FFF2-40B4-BE49-F238E27FC236}">
              <a16:creationId xmlns:a16="http://schemas.microsoft.com/office/drawing/2014/main" id="{00000000-0008-0000-1200-00004B0B0000}"/>
            </a:ext>
          </a:extLst>
        </xdr:cNvPr>
        <xdr:cNvCxnSpPr/>
      </xdr:nvCxnSpPr>
      <xdr:spPr>
        <a:xfrm flipV="1">
          <a:off x="7874000" y="80168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855</xdr:row>
      <xdr:rowOff>116416</xdr:rowOff>
    </xdr:from>
    <xdr:to>
      <xdr:col>15</xdr:col>
      <xdr:colOff>592666</xdr:colOff>
      <xdr:row>858</xdr:row>
      <xdr:rowOff>158750</xdr:rowOff>
    </xdr:to>
    <xdr:cxnSp macro="">
      <xdr:nvCxnSpPr>
        <xdr:cNvPr id="2899" name="Straight Arrow Connector 2898">
          <a:extLst>
            <a:ext uri="{FF2B5EF4-FFF2-40B4-BE49-F238E27FC236}">
              <a16:creationId xmlns:a16="http://schemas.microsoft.com/office/drawing/2014/main" id="{00000000-0008-0000-1200-0000530B0000}"/>
            </a:ext>
          </a:extLst>
        </xdr:cNvPr>
        <xdr:cNvCxnSpPr/>
      </xdr:nvCxnSpPr>
      <xdr:spPr>
        <a:xfrm flipV="1">
          <a:off x="11302999"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857</xdr:row>
      <xdr:rowOff>95250</xdr:rowOff>
    </xdr:from>
    <xdr:to>
      <xdr:col>15</xdr:col>
      <xdr:colOff>582083</xdr:colOff>
      <xdr:row>859</xdr:row>
      <xdr:rowOff>52917</xdr:rowOff>
    </xdr:to>
    <xdr:cxnSp macro="">
      <xdr:nvCxnSpPr>
        <xdr:cNvPr id="2900" name="Straight Arrow Connector 2899">
          <a:extLst>
            <a:ext uri="{FF2B5EF4-FFF2-40B4-BE49-F238E27FC236}">
              <a16:creationId xmlns:a16="http://schemas.microsoft.com/office/drawing/2014/main" id="{00000000-0008-0000-1200-0000540B0000}"/>
            </a:ext>
          </a:extLst>
        </xdr:cNvPr>
        <xdr:cNvCxnSpPr/>
      </xdr:nvCxnSpPr>
      <xdr:spPr>
        <a:xfrm flipV="1">
          <a:off x="11345333"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116417</xdr:rowOff>
    </xdr:from>
    <xdr:to>
      <xdr:col>15</xdr:col>
      <xdr:colOff>592666</xdr:colOff>
      <xdr:row>863</xdr:row>
      <xdr:rowOff>95250</xdr:rowOff>
    </xdr:to>
    <xdr:cxnSp macro="">
      <xdr:nvCxnSpPr>
        <xdr:cNvPr id="2901" name="Straight Arrow Connector 2900">
          <a:extLst>
            <a:ext uri="{FF2B5EF4-FFF2-40B4-BE49-F238E27FC236}">
              <a16:creationId xmlns:a16="http://schemas.microsoft.com/office/drawing/2014/main" id="{00000000-0008-0000-1200-0000550B0000}"/>
            </a:ext>
          </a:extLst>
        </xdr:cNvPr>
        <xdr:cNvCxnSpPr/>
      </xdr:nvCxnSpPr>
      <xdr:spPr>
        <a:xfrm>
          <a:off x="11334749"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873</xdr:row>
      <xdr:rowOff>42333</xdr:rowOff>
    </xdr:from>
    <xdr:to>
      <xdr:col>11</xdr:col>
      <xdr:colOff>603250</xdr:colOff>
      <xdr:row>885</xdr:row>
      <xdr:rowOff>10583</xdr:rowOff>
    </xdr:to>
    <xdr:cxnSp macro="">
      <xdr:nvCxnSpPr>
        <xdr:cNvPr id="2904" name="Straight Arrow Connector 2903">
          <a:extLst>
            <a:ext uri="{FF2B5EF4-FFF2-40B4-BE49-F238E27FC236}">
              <a16:creationId xmlns:a16="http://schemas.microsoft.com/office/drawing/2014/main" id="{00000000-0008-0000-1200-0000580B0000}"/>
            </a:ext>
          </a:extLst>
        </xdr:cNvPr>
        <xdr:cNvCxnSpPr/>
      </xdr:nvCxnSpPr>
      <xdr:spPr>
        <a:xfrm>
          <a:off x="7926917"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863</xdr:row>
      <xdr:rowOff>21167</xdr:rowOff>
    </xdr:from>
    <xdr:to>
      <xdr:col>13</xdr:col>
      <xdr:colOff>592667</xdr:colOff>
      <xdr:row>865</xdr:row>
      <xdr:rowOff>0</xdr:rowOff>
    </xdr:to>
    <xdr:cxnSp macro="">
      <xdr:nvCxnSpPr>
        <xdr:cNvPr id="2905" name="Straight Arrow Connector 2904">
          <a:extLst>
            <a:ext uri="{FF2B5EF4-FFF2-40B4-BE49-F238E27FC236}">
              <a16:creationId xmlns:a16="http://schemas.microsoft.com/office/drawing/2014/main" id="{00000000-0008-0000-1200-0000590B0000}"/>
            </a:ext>
          </a:extLst>
        </xdr:cNvPr>
        <xdr:cNvCxnSpPr/>
      </xdr:nvCxnSpPr>
      <xdr:spPr>
        <a:xfrm flipV="1">
          <a:off x="9133417" y="7926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868</xdr:row>
      <xdr:rowOff>21166</xdr:rowOff>
    </xdr:from>
    <xdr:to>
      <xdr:col>13</xdr:col>
      <xdr:colOff>592667</xdr:colOff>
      <xdr:row>869</xdr:row>
      <xdr:rowOff>169334</xdr:rowOff>
    </xdr:to>
    <xdr:cxnSp macro="">
      <xdr:nvCxnSpPr>
        <xdr:cNvPr id="2906" name="Straight Arrow Connector 2905">
          <a:extLst>
            <a:ext uri="{FF2B5EF4-FFF2-40B4-BE49-F238E27FC236}">
              <a16:creationId xmlns:a16="http://schemas.microsoft.com/office/drawing/2014/main" id="{00000000-0008-0000-1200-00005A0B0000}"/>
            </a:ext>
          </a:extLst>
        </xdr:cNvPr>
        <xdr:cNvCxnSpPr/>
      </xdr:nvCxnSpPr>
      <xdr:spPr>
        <a:xfrm>
          <a:off x="9122833" y="8022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883</xdr:row>
      <xdr:rowOff>21167</xdr:rowOff>
    </xdr:from>
    <xdr:to>
      <xdr:col>13</xdr:col>
      <xdr:colOff>592667</xdr:colOff>
      <xdr:row>885</xdr:row>
      <xdr:rowOff>63500</xdr:rowOff>
    </xdr:to>
    <xdr:cxnSp macro="">
      <xdr:nvCxnSpPr>
        <xdr:cNvPr id="2907" name="Straight Arrow Connector 2906">
          <a:extLst>
            <a:ext uri="{FF2B5EF4-FFF2-40B4-BE49-F238E27FC236}">
              <a16:creationId xmlns:a16="http://schemas.microsoft.com/office/drawing/2014/main" id="{00000000-0008-0000-1200-00005B0B0000}"/>
            </a:ext>
          </a:extLst>
        </xdr:cNvPr>
        <xdr:cNvCxnSpPr/>
      </xdr:nvCxnSpPr>
      <xdr:spPr>
        <a:xfrm flipV="1">
          <a:off x="952500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888</xdr:row>
      <xdr:rowOff>0</xdr:rowOff>
    </xdr:from>
    <xdr:to>
      <xdr:col>14</xdr:col>
      <xdr:colOff>10584</xdr:colOff>
      <xdr:row>896</xdr:row>
      <xdr:rowOff>148167</xdr:rowOff>
    </xdr:to>
    <xdr:cxnSp macro="">
      <xdr:nvCxnSpPr>
        <xdr:cNvPr id="2908" name="Straight Arrow Connector 2907">
          <a:extLst>
            <a:ext uri="{FF2B5EF4-FFF2-40B4-BE49-F238E27FC236}">
              <a16:creationId xmlns:a16="http://schemas.microsoft.com/office/drawing/2014/main" id="{00000000-0008-0000-1200-00005C0B0000}"/>
            </a:ext>
          </a:extLst>
        </xdr:cNvPr>
        <xdr:cNvCxnSpPr/>
      </xdr:nvCxnSpPr>
      <xdr:spPr>
        <a:xfrm>
          <a:off x="9535583" y="8420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859</xdr:row>
      <xdr:rowOff>95250</xdr:rowOff>
    </xdr:from>
    <xdr:to>
      <xdr:col>15</xdr:col>
      <xdr:colOff>582083</xdr:colOff>
      <xdr:row>861</xdr:row>
      <xdr:rowOff>137583</xdr:rowOff>
    </xdr:to>
    <xdr:cxnSp macro="">
      <xdr:nvCxnSpPr>
        <xdr:cNvPr id="2909" name="Straight Arrow Connector 2908">
          <a:extLst>
            <a:ext uri="{FF2B5EF4-FFF2-40B4-BE49-F238E27FC236}">
              <a16:creationId xmlns:a16="http://schemas.microsoft.com/office/drawing/2014/main" id="{00000000-0008-0000-1200-00005D0B0000}"/>
            </a:ext>
          </a:extLst>
        </xdr:cNvPr>
        <xdr:cNvCxnSpPr/>
      </xdr:nvCxnSpPr>
      <xdr:spPr>
        <a:xfrm>
          <a:off x="11334749"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868</xdr:row>
      <xdr:rowOff>52916</xdr:rowOff>
    </xdr:from>
    <xdr:to>
      <xdr:col>16</xdr:col>
      <xdr:colOff>0</xdr:colOff>
      <xdr:row>870</xdr:row>
      <xdr:rowOff>0</xdr:rowOff>
    </xdr:to>
    <xdr:cxnSp macro="">
      <xdr:nvCxnSpPr>
        <xdr:cNvPr id="2910" name="Straight Arrow Connector 2909">
          <a:extLst>
            <a:ext uri="{FF2B5EF4-FFF2-40B4-BE49-F238E27FC236}">
              <a16:creationId xmlns:a16="http://schemas.microsoft.com/office/drawing/2014/main" id="{00000000-0008-0000-1200-00005E0B0000}"/>
            </a:ext>
          </a:extLst>
        </xdr:cNvPr>
        <xdr:cNvCxnSpPr/>
      </xdr:nvCxnSpPr>
      <xdr:spPr>
        <a:xfrm flipV="1">
          <a:off x="11281833" y="8025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21167</xdr:rowOff>
    </xdr:from>
    <xdr:to>
      <xdr:col>15</xdr:col>
      <xdr:colOff>592666</xdr:colOff>
      <xdr:row>871</xdr:row>
      <xdr:rowOff>84667</xdr:rowOff>
    </xdr:to>
    <xdr:cxnSp macro="">
      <xdr:nvCxnSpPr>
        <xdr:cNvPr id="2911" name="Straight Arrow Connector 2910">
          <a:extLst>
            <a:ext uri="{FF2B5EF4-FFF2-40B4-BE49-F238E27FC236}">
              <a16:creationId xmlns:a16="http://schemas.microsoft.com/office/drawing/2014/main" id="{00000000-0008-0000-1200-00005F0B0000}"/>
            </a:ext>
          </a:extLst>
        </xdr:cNvPr>
        <xdr:cNvCxnSpPr/>
      </xdr:nvCxnSpPr>
      <xdr:spPr>
        <a:xfrm>
          <a:off x="11271250"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870</xdr:row>
      <xdr:rowOff>0</xdr:rowOff>
    </xdr:from>
    <xdr:to>
      <xdr:col>16</xdr:col>
      <xdr:colOff>0</xdr:colOff>
      <xdr:row>874</xdr:row>
      <xdr:rowOff>42334</xdr:rowOff>
    </xdr:to>
    <xdr:cxnSp macro="">
      <xdr:nvCxnSpPr>
        <xdr:cNvPr id="2912" name="Straight Arrow Connector 2911">
          <a:extLst>
            <a:ext uri="{FF2B5EF4-FFF2-40B4-BE49-F238E27FC236}">
              <a16:creationId xmlns:a16="http://schemas.microsoft.com/office/drawing/2014/main" id="{00000000-0008-0000-1200-0000600B0000}"/>
            </a:ext>
          </a:extLst>
        </xdr:cNvPr>
        <xdr:cNvCxnSpPr/>
      </xdr:nvCxnSpPr>
      <xdr:spPr>
        <a:xfrm>
          <a:off x="11271250" y="80581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881</xdr:row>
      <xdr:rowOff>0</xdr:rowOff>
    </xdr:from>
    <xdr:to>
      <xdr:col>15</xdr:col>
      <xdr:colOff>603250</xdr:colOff>
      <xdr:row>883</xdr:row>
      <xdr:rowOff>1</xdr:rowOff>
    </xdr:to>
    <xdr:cxnSp macro="">
      <xdr:nvCxnSpPr>
        <xdr:cNvPr id="2913" name="Straight Arrow Connector 2912">
          <a:extLst>
            <a:ext uri="{FF2B5EF4-FFF2-40B4-BE49-F238E27FC236}">
              <a16:creationId xmlns:a16="http://schemas.microsoft.com/office/drawing/2014/main" id="{00000000-0008-0000-1200-0000610B0000}"/>
            </a:ext>
          </a:extLst>
        </xdr:cNvPr>
        <xdr:cNvCxnSpPr/>
      </xdr:nvCxnSpPr>
      <xdr:spPr>
        <a:xfrm flipV="1">
          <a:off x="11271250"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883</xdr:row>
      <xdr:rowOff>10584</xdr:rowOff>
    </xdr:from>
    <xdr:to>
      <xdr:col>15</xdr:col>
      <xdr:colOff>592666</xdr:colOff>
      <xdr:row>884</xdr:row>
      <xdr:rowOff>95250</xdr:rowOff>
    </xdr:to>
    <xdr:cxnSp macro="">
      <xdr:nvCxnSpPr>
        <xdr:cNvPr id="2914" name="Straight Arrow Connector 2913">
          <a:extLst>
            <a:ext uri="{FF2B5EF4-FFF2-40B4-BE49-F238E27FC236}">
              <a16:creationId xmlns:a16="http://schemas.microsoft.com/office/drawing/2014/main" id="{00000000-0008-0000-1200-0000620B0000}"/>
            </a:ext>
          </a:extLst>
        </xdr:cNvPr>
        <xdr:cNvCxnSpPr/>
      </xdr:nvCxnSpPr>
      <xdr:spPr>
        <a:xfrm>
          <a:off x="11313583"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883</xdr:row>
      <xdr:rowOff>10584</xdr:rowOff>
    </xdr:from>
    <xdr:to>
      <xdr:col>15</xdr:col>
      <xdr:colOff>560916</xdr:colOff>
      <xdr:row>887</xdr:row>
      <xdr:rowOff>52917</xdr:rowOff>
    </xdr:to>
    <xdr:cxnSp macro="">
      <xdr:nvCxnSpPr>
        <xdr:cNvPr id="2915" name="Straight Arrow Connector 2914">
          <a:extLst>
            <a:ext uri="{FF2B5EF4-FFF2-40B4-BE49-F238E27FC236}">
              <a16:creationId xmlns:a16="http://schemas.microsoft.com/office/drawing/2014/main" id="{00000000-0008-0000-1200-0000630B0000}"/>
            </a:ext>
          </a:extLst>
        </xdr:cNvPr>
        <xdr:cNvCxnSpPr/>
      </xdr:nvCxnSpPr>
      <xdr:spPr>
        <a:xfrm>
          <a:off x="11292416"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16" name="Straight Arrow Connector 2915">
          <a:extLst>
            <a:ext uri="{FF2B5EF4-FFF2-40B4-BE49-F238E27FC236}">
              <a16:creationId xmlns:a16="http://schemas.microsoft.com/office/drawing/2014/main" id="{00000000-0008-0000-1200-000064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897</xdr:row>
      <xdr:rowOff>0</xdr:rowOff>
    </xdr:from>
    <xdr:to>
      <xdr:col>16</xdr:col>
      <xdr:colOff>0</xdr:colOff>
      <xdr:row>897</xdr:row>
      <xdr:rowOff>42334</xdr:rowOff>
    </xdr:to>
    <xdr:cxnSp macro="">
      <xdr:nvCxnSpPr>
        <xdr:cNvPr id="2917" name="Straight Arrow Connector 2916">
          <a:extLst>
            <a:ext uri="{FF2B5EF4-FFF2-40B4-BE49-F238E27FC236}">
              <a16:creationId xmlns:a16="http://schemas.microsoft.com/office/drawing/2014/main" id="{00000000-0008-0000-1200-0000650B0000}"/>
            </a:ext>
          </a:extLst>
        </xdr:cNvPr>
        <xdr:cNvCxnSpPr/>
      </xdr:nvCxnSpPr>
      <xdr:spPr>
        <a:xfrm>
          <a:off x="11302999" y="8591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897</xdr:row>
      <xdr:rowOff>21166</xdr:rowOff>
    </xdr:from>
    <xdr:to>
      <xdr:col>15</xdr:col>
      <xdr:colOff>560916</xdr:colOff>
      <xdr:row>900</xdr:row>
      <xdr:rowOff>84667</xdr:rowOff>
    </xdr:to>
    <xdr:cxnSp macro="">
      <xdr:nvCxnSpPr>
        <xdr:cNvPr id="2918" name="Straight Arrow Connector 2917">
          <a:extLst>
            <a:ext uri="{FF2B5EF4-FFF2-40B4-BE49-F238E27FC236}">
              <a16:creationId xmlns:a16="http://schemas.microsoft.com/office/drawing/2014/main" id="{00000000-0008-0000-1200-0000660B0000}"/>
            </a:ext>
          </a:extLst>
        </xdr:cNvPr>
        <xdr:cNvCxnSpPr/>
      </xdr:nvCxnSpPr>
      <xdr:spPr>
        <a:xfrm>
          <a:off x="11355916"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897</xdr:row>
      <xdr:rowOff>52916</xdr:rowOff>
    </xdr:from>
    <xdr:to>
      <xdr:col>15</xdr:col>
      <xdr:colOff>592666</xdr:colOff>
      <xdr:row>903</xdr:row>
      <xdr:rowOff>63501</xdr:rowOff>
    </xdr:to>
    <xdr:cxnSp macro="">
      <xdr:nvCxnSpPr>
        <xdr:cNvPr id="2919" name="Straight Arrow Connector 2918">
          <a:extLst>
            <a:ext uri="{FF2B5EF4-FFF2-40B4-BE49-F238E27FC236}">
              <a16:creationId xmlns:a16="http://schemas.microsoft.com/office/drawing/2014/main" id="{00000000-0008-0000-1200-0000670B0000}"/>
            </a:ext>
          </a:extLst>
        </xdr:cNvPr>
        <xdr:cNvCxnSpPr/>
      </xdr:nvCxnSpPr>
      <xdr:spPr>
        <a:xfrm>
          <a:off x="11313583"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894</xdr:row>
      <xdr:rowOff>52917</xdr:rowOff>
    </xdr:from>
    <xdr:to>
      <xdr:col>15</xdr:col>
      <xdr:colOff>603250</xdr:colOff>
      <xdr:row>896</xdr:row>
      <xdr:rowOff>148167</xdr:rowOff>
    </xdr:to>
    <xdr:cxnSp macro="">
      <xdr:nvCxnSpPr>
        <xdr:cNvPr id="2920" name="Straight Arrow Connector 2919">
          <a:extLst>
            <a:ext uri="{FF2B5EF4-FFF2-40B4-BE49-F238E27FC236}">
              <a16:creationId xmlns:a16="http://schemas.microsoft.com/office/drawing/2014/main" id="{00000000-0008-0000-1200-0000680B0000}"/>
            </a:ext>
          </a:extLst>
        </xdr:cNvPr>
        <xdr:cNvCxnSpPr/>
      </xdr:nvCxnSpPr>
      <xdr:spPr>
        <a:xfrm flipV="1">
          <a:off x="11324166"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2923" name="Straight Arrow Connector 2922">
          <a:extLst>
            <a:ext uri="{FF2B5EF4-FFF2-40B4-BE49-F238E27FC236}">
              <a16:creationId xmlns:a16="http://schemas.microsoft.com/office/drawing/2014/main" id="{00000000-0008-0000-1200-00006B0B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897</xdr:row>
      <xdr:rowOff>21167</xdr:rowOff>
    </xdr:from>
    <xdr:to>
      <xdr:col>15</xdr:col>
      <xdr:colOff>592666</xdr:colOff>
      <xdr:row>898</xdr:row>
      <xdr:rowOff>84667</xdr:rowOff>
    </xdr:to>
    <xdr:cxnSp macro="">
      <xdr:nvCxnSpPr>
        <xdr:cNvPr id="2925" name="Straight Arrow Connector 2924">
          <a:extLst>
            <a:ext uri="{FF2B5EF4-FFF2-40B4-BE49-F238E27FC236}">
              <a16:creationId xmlns:a16="http://schemas.microsoft.com/office/drawing/2014/main" id="{00000000-0008-0000-1200-00006D0B0000}"/>
            </a:ext>
          </a:extLst>
        </xdr:cNvPr>
        <xdr:cNvCxnSpPr/>
      </xdr:nvCxnSpPr>
      <xdr:spPr>
        <a:xfrm>
          <a:off x="11271250" y="85936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27" name="Straight Arrow Connector 2926">
          <a:extLst>
            <a:ext uri="{FF2B5EF4-FFF2-40B4-BE49-F238E27FC236}">
              <a16:creationId xmlns:a16="http://schemas.microsoft.com/office/drawing/2014/main" id="{00000000-0008-0000-1200-00006F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28" name="Straight Arrow Connector 2927">
          <a:extLst>
            <a:ext uri="{FF2B5EF4-FFF2-40B4-BE49-F238E27FC236}">
              <a16:creationId xmlns:a16="http://schemas.microsoft.com/office/drawing/2014/main" id="{00000000-0008-0000-1200-000070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29" name="Straight Arrow Connector 2928">
          <a:extLst>
            <a:ext uri="{FF2B5EF4-FFF2-40B4-BE49-F238E27FC236}">
              <a16:creationId xmlns:a16="http://schemas.microsoft.com/office/drawing/2014/main" id="{00000000-0008-0000-1200-000071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2931" name="Straight Arrow Connector 2930">
          <a:extLst>
            <a:ext uri="{FF2B5EF4-FFF2-40B4-BE49-F238E27FC236}">
              <a16:creationId xmlns:a16="http://schemas.microsoft.com/office/drawing/2014/main" id="{00000000-0008-0000-1200-0000730B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504</xdr:row>
      <xdr:rowOff>31750</xdr:rowOff>
    </xdr:from>
    <xdr:to>
      <xdr:col>16</xdr:col>
      <xdr:colOff>42334</xdr:colOff>
      <xdr:row>511</xdr:row>
      <xdr:rowOff>63501</xdr:rowOff>
    </xdr:to>
    <xdr:cxnSp macro="">
      <xdr:nvCxnSpPr>
        <xdr:cNvPr id="2932" name="Straight Arrow Connector 2931">
          <a:extLst>
            <a:ext uri="{FF2B5EF4-FFF2-40B4-BE49-F238E27FC236}">
              <a16:creationId xmlns:a16="http://schemas.microsoft.com/office/drawing/2014/main" id="{00000000-0008-0000-1200-0000740B0000}"/>
            </a:ext>
          </a:extLst>
        </xdr:cNvPr>
        <xdr:cNvCxnSpPr/>
      </xdr:nvCxnSpPr>
      <xdr:spPr>
        <a:xfrm>
          <a:off x="11281833" y="9204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504</xdr:row>
      <xdr:rowOff>31750</xdr:rowOff>
    </xdr:from>
    <xdr:to>
      <xdr:col>16</xdr:col>
      <xdr:colOff>42334</xdr:colOff>
      <xdr:row>511</xdr:row>
      <xdr:rowOff>63501</xdr:rowOff>
    </xdr:to>
    <xdr:cxnSp macro="">
      <xdr:nvCxnSpPr>
        <xdr:cNvPr id="2933" name="Straight Arrow Connector 2932">
          <a:extLst>
            <a:ext uri="{FF2B5EF4-FFF2-40B4-BE49-F238E27FC236}">
              <a16:creationId xmlns:a16="http://schemas.microsoft.com/office/drawing/2014/main" id="{00000000-0008-0000-1200-0000750B0000}"/>
            </a:ext>
          </a:extLst>
        </xdr:cNvPr>
        <xdr:cNvCxnSpPr/>
      </xdr:nvCxnSpPr>
      <xdr:spPr>
        <a:xfrm>
          <a:off x="11281833" y="9204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0" name="Straight Arrow Connector 2939">
          <a:extLst>
            <a:ext uri="{FF2B5EF4-FFF2-40B4-BE49-F238E27FC236}">
              <a16:creationId xmlns:a16="http://schemas.microsoft.com/office/drawing/2014/main" id="{00000000-0008-0000-1200-00007C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1" name="Straight Arrow Connector 2940">
          <a:extLst>
            <a:ext uri="{FF2B5EF4-FFF2-40B4-BE49-F238E27FC236}">
              <a16:creationId xmlns:a16="http://schemas.microsoft.com/office/drawing/2014/main" id="{00000000-0008-0000-1200-00007D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942" name="Straight Arrow Connector 2941">
          <a:extLst>
            <a:ext uri="{FF2B5EF4-FFF2-40B4-BE49-F238E27FC236}">
              <a16:creationId xmlns:a16="http://schemas.microsoft.com/office/drawing/2014/main" id="{00000000-0008-0000-1200-00007E0B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3" name="Straight Arrow Connector 2942">
          <a:extLst>
            <a:ext uri="{FF2B5EF4-FFF2-40B4-BE49-F238E27FC236}">
              <a16:creationId xmlns:a16="http://schemas.microsoft.com/office/drawing/2014/main" id="{00000000-0008-0000-1200-00007F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944" name="Straight Arrow Connector 2943">
          <a:extLst>
            <a:ext uri="{FF2B5EF4-FFF2-40B4-BE49-F238E27FC236}">
              <a16:creationId xmlns:a16="http://schemas.microsoft.com/office/drawing/2014/main" id="{00000000-0008-0000-1200-0000800B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5" name="Straight Arrow Connector 2944">
          <a:extLst>
            <a:ext uri="{FF2B5EF4-FFF2-40B4-BE49-F238E27FC236}">
              <a16:creationId xmlns:a16="http://schemas.microsoft.com/office/drawing/2014/main" id="{00000000-0008-0000-1200-000081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590</xdr:row>
      <xdr:rowOff>31750</xdr:rowOff>
    </xdr:from>
    <xdr:to>
      <xdr:col>16</xdr:col>
      <xdr:colOff>42334</xdr:colOff>
      <xdr:row>597</xdr:row>
      <xdr:rowOff>63501</xdr:rowOff>
    </xdr:to>
    <xdr:cxnSp macro="">
      <xdr:nvCxnSpPr>
        <xdr:cNvPr id="2946" name="Straight Arrow Connector 2945">
          <a:extLst>
            <a:ext uri="{FF2B5EF4-FFF2-40B4-BE49-F238E27FC236}">
              <a16:creationId xmlns:a16="http://schemas.microsoft.com/office/drawing/2014/main" id="{00000000-0008-0000-1200-0000820B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603</xdr:row>
      <xdr:rowOff>31750</xdr:rowOff>
    </xdr:from>
    <xdr:to>
      <xdr:col>16</xdr:col>
      <xdr:colOff>21167</xdr:colOff>
      <xdr:row>610</xdr:row>
      <xdr:rowOff>95250</xdr:rowOff>
    </xdr:to>
    <xdr:cxnSp macro="">
      <xdr:nvCxnSpPr>
        <xdr:cNvPr id="2947" name="Straight Arrow Connector 2946">
          <a:extLst>
            <a:ext uri="{FF2B5EF4-FFF2-40B4-BE49-F238E27FC236}">
              <a16:creationId xmlns:a16="http://schemas.microsoft.com/office/drawing/2014/main" id="{00000000-0008-0000-1200-0000830B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616</xdr:row>
      <xdr:rowOff>31750</xdr:rowOff>
    </xdr:from>
    <xdr:to>
      <xdr:col>16</xdr:col>
      <xdr:colOff>42334</xdr:colOff>
      <xdr:row>623</xdr:row>
      <xdr:rowOff>63501</xdr:rowOff>
    </xdr:to>
    <xdr:cxnSp macro="">
      <xdr:nvCxnSpPr>
        <xdr:cNvPr id="2948" name="Straight Arrow Connector 2947">
          <a:extLst>
            <a:ext uri="{FF2B5EF4-FFF2-40B4-BE49-F238E27FC236}">
              <a16:creationId xmlns:a16="http://schemas.microsoft.com/office/drawing/2014/main" id="{00000000-0008-0000-1200-0000840B0000}"/>
            </a:ext>
          </a:extLst>
        </xdr:cNvPr>
        <xdr:cNvCxnSpPr/>
      </xdr:nvCxnSpPr>
      <xdr:spPr>
        <a:xfrm>
          <a:off x="11281833" y="10804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616</xdr:row>
      <xdr:rowOff>31750</xdr:rowOff>
    </xdr:from>
    <xdr:to>
      <xdr:col>16</xdr:col>
      <xdr:colOff>42334</xdr:colOff>
      <xdr:row>623</xdr:row>
      <xdr:rowOff>63501</xdr:rowOff>
    </xdr:to>
    <xdr:cxnSp macro="">
      <xdr:nvCxnSpPr>
        <xdr:cNvPr id="2949" name="Straight Arrow Connector 2948">
          <a:extLst>
            <a:ext uri="{FF2B5EF4-FFF2-40B4-BE49-F238E27FC236}">
              <a16:creationId xmlns:a16="http://schemas.microsoft.com/office/drawing/2014/main" id="{00000000-0008-0000-1200-0000850B0000}"/>
            </a:ext>
          </a:extLst>
        </xdr:cNvPr>
        <xdr:cNvCxnSpPr/>
      </xdr:nvCxnSpPr>
      <xdr:spPr>
        <a:xfrm>
          <a:off x="11281833" y="10804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50" name="Straight Arrow Connector 2949">
          <a:extLst>
            <a:ext uri="{FF2B5EF4-FFF2-40B4-BE49-F238E27FC236}">
              <a16:creationId xmlns:a16="http://schemas.microsoft.com/office/drawing/2014/main" id="{00000000-0008-0000-1200-000086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1" name="Straight Arrow Connector 2950">
          <a:extLst>
            <a:ext uri="{FF2B5EF4-FFF2-40B4-BE49-F238E27FC236}">
              <a16:creationId xmlns:a16="http://schemas.microsoft.com/office/drawing/2014/main" id="{00000000-0008-0000-1200-000087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52" name="Straight Arrow Connector 2951">
          <a:extLst>
            <a:ext uri="{FF2B5EF4-FFF2-40B4-BE49-F238E27FC236}">
              <a16:creationId xmlns:a16="http://schemas.microsoft.com/office/drawing/2014/main" id="{00000000-0008-0000-1200-000088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3" name="Straight Arrow Connector 2952">
          <a:extLst>
            <a:ext uri="{FF2B5EF4-FFF2-40B4-BE49-F238E27FC236}">
              <a16:creationId xmlns:a16="http://schemas.microsoft.com/office/drawing/2014/main" id="{00000000-0008-0000-1200-000089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54" name="Straight Arrow Connector 2953">
          <a:extLst>
            <a:ext uri="{FF2B5EF4-FFF2-40B4-BE49-F238E27FC236}">
              <a16:creationId xmlns:a16="http://schemas.microsoft.com/office/drawing/2014/main" id="{00000000-0008-0000-1200-00008A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5" name="Straight Arrow Connector 2954">
          <a:extLst>
            <a:ext uri="{FF2B5EF4-FFF2-40B4-BE49-F238E27FC236}">
              <a16:creationId xmlns:a16="http://schemas.microsoft.com/office/drawing/2014/main" id="{00000000-0008-0000-1200-00008B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6" name="Straight Arrow Connector 2955">
          <a:extLst>
            <a:ext uri="{FF2B5EF4-FFF2-40B4-BE49-F238E27FC236}">
              <a16:creationId xmlns:a16="http://schemas.microsoft.com/office/drawing/2014/main" id="{00000000-0008-0000-1200-00008C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7" name="Straight Arrow Connector 2956">
          <a:extLst>
            <a:ext uri="{FF2B5EF4-FFF2-40B4-BE49-F238E27FC236}">
              <a16:creationId xmlns:a16="http://schemas.microsoft.com/office/drawing/2014/main" id="{00000000-0008-0000-1200-00008D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58" name="Straight Arrow Connector 2957">
          <a:extLst>
            <a:ext uri="{FF2B5EF4-FFF2-40B4-BE49-F238E27FC236}">
              <a16:creationId xmlns:a16="http://schemas.microsoft.com/office/drawing/2014/main" id="{00000000-0008-0000-1200-00008E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59" name="Straight Arrow Connector 2958">
          <a:extLst>
            <a:ext uri="{FF2B5EF4-FFF2-40B4-BE49-F238E27FC236}">
              <a16:creationId xmlns:a16="http://schemas.microsoft.com/office/drawing/2014/main" id="{00000000-0008-0000-1200-00008F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60" name="Straight Arrow Connector 2959">
          <a:extLst>
            <a:ext uri="{FF2B5EF4-FFF2-40B4-BE49-F238E27FC236}">
              <a16:creationId xmlns:a16="http://schemas.microsoft.com/office/drawing/2014/main" id="{00000000-0008-0000-1200-000090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61" name="Straight Arrow Connector 2960">
          <a:extLst>
            <a:ext uri="{FF2B5EF4-FFF2-40B4-BE49-F238E27FC236}">
              <a16:creationId xmlns:a16="http://schemas.microsoft.com/office/drawing/2014/main" id="{00000000-0008-0000-1200-000091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646</xdr:row>
      <xdr:rowOff>31750</xdr:rowOff>
    </xdr:from>
    <xdr:to>
      <xdr:col>16</xdr:col>
      <xdr:colOff>42334</xdr:colOff>
      <xdr:row>653</xdr:row>
      <xdr:rowOff>63501</xdr:rowOff>
    </xdr:to>
    <xdr:cxnSp macro="">
      <xdr:nvCxnSpPr>
        <xdr:cNvPr id="2962" name="Straight Arrow Connector 2961">
          <a:extLst>
            <a:ext uri="{FF2B5EF4-FFF2-40B4-BE49-F238E27FC236}">
              <a16:creationId xmlns:a16="http://schemas.microsoft.com/office/drawing/2014/main" id="{00000000-0008-0000-1200-0000920B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659</xdr:row>
      <xdr:rowOff>31750</xdr:rowOff>
    </xdr:from>
    <xdr:to>
      <xdr:col>16</xdr:col>
      <xdr:colOff>21167</xdr:colOff>
      <xdr:row>666</xdr:row>
      <xdr:rowOff>95250</xdr:rowOff>
    </xdr:to>
    <xdr:cxnSp macro="">
      <xdr:nvCxnSpPr>
        <xdr:cNvPr id="2963" name="Straight Arrow Connector 2962">
          <a:extLst>
            <a:ext uri="{FF2B5EF4-FFF2-40B4-BE49-F238E27FC236}">
              <a16:creationId xmlns:a16="http://schemas.microsoft.com/office/drawing/2014/main" id="{00000000-0008-0000-1200-0000930B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672</xdr:row>
      <xdr:rowOff>31750</xdr:rowOff>
    </xdr:from>
    <xdr:to>
      <xdr:col>16</xdr:col>
      <xdr:colOff>42334</xdr:colOff>
      <xdr:row>679</xdr:row>
      <xdr:rowOff>63501</xdr:rowOff>
    </xdr:to>
    <xdr:cxnSp macro="">
      <xdr:nvCxnSpPr>
        <xdr:cNvPr id="2964" name="Straight Arrow Connector 2963">
          <a:extLst>
            <a:ext uri="{FF2B5EF4-FFF2-40B4-BE49-F238E27FC236}">
              <a16:creationId xmlns:a16="http://schemas.microsoft.com/office/drawing/2014/main" id="{00000000-0008-0000-1200-0000940B0000}"/>
            </a:ext>
          </a:extLst>
        </xdr:cNvPr>
        <xdr:cNvCxnSpPr/>
      </xdr:nvCxnSpPr>
      <xdr:spPr>
        <a:xfrm>
          <a:off x="11281833" y="1189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672</xdr:row>
      <xdr:rowOff>31750</xdr:rowOff>
    </xdr:from>
    <xdr:to>
      <xdr:col>16</xdr:col>
      <xdr:colOff>42334</xdr:colOff>
      <xdr:row>679</xdr:row>
      <xdr:rowOff>63501</xdr:rowOff>
    </xdr:to>
    <xdr:cxnSp macro="">
      <xdr:nvCxnSpPr>
        <xdr:cNvPr id="2965" name="Straight Arrow Connector 2964">
          <a:extLst>
            <a:ext uri="{FF2B5EF4-FFF2-40B4-BE49-F238E27FC236}">
              <a16:creationId xmlns:a16="http://schemas.microsoft.com/office/drawing/2014/main" id="{00000000-0008-0000-1200-0000950B0000}"/>
            </a:ext>
          </a:extLst>
        </xdr:cNvPr>
        <xdr:cNvCxnSpPr/>
      </xdr:nvCxnSpPr>
      <xdr:spPr>
        <a:xfrm>
          <a:off x="11281833" y="1189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66" name="Straight Arrow Connector 2965">
          <a:extLst>
            <a:ext uri="{FF2B5EF4-FFF2-40B4-BE49-F238E27FC236}">
              <a16:creationId xmlns:a16="http://schemas.microsoft.com/office/drawing/2014/main" id="{00000000-0008-0000-1200-000096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67" name="Straight Arrow Connector 2966">
          <a:extLst>
            <a:ext uri="{FF2B5EF4-FFF2-40B4-BE49-F238E27FC236}">
              <a16:creationId xmlns:a16="http://schemas.microsoft.com/office/drawing/2014/main" id="{00000000-0008-0000-1200-000097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68" name="Straight Arrow Connector 2967">
          <a:extLst>
            <a:ext uri="{FF2B5EF4-FFF2-40B4-BE49-F238E27FC236}">
              <a16:creationId xmlns:a16="http://schemas.microsoft.com/office/drawing/2014/main" id="{00000000-0008-0000-1200-000098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69" name="Straight Arrow Connector 2968">
          <a:extLst>
            <a:ext uri="{FF2B5EF4-FFF2-40B4-BE49-F238E27FC236}">
              <a16:creationId xmlns:a16="http://schemas.microsoft.com/office/drawing/2014/main" id="{00000000-0008-0000-1200-000099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0" name="Straight Arrow Connector 2969">
          <a:extLst>
            <a:ext uri="{FF2B5EF4-FFF2-40B4-BE49-F238E27FC236}">
              <a16:creationId xmlns:a16="http://schemas.microsoft.com/office/drawing/2014/main" id="{00000000-0008-0000-1200-00009A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71" name="Straight Arrow Connector 2970">
          <a:extLst>
            <a:ext uri="{FF2B5EF4-FFF2-40B4-BE49-F238E27FC236}">
              <a16:creationId xmlns:a16="http://schemas.microsoft.com/office/drawing/2014/main" id="{00000000-0008-0000-1200-00009B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2" name="Straight Arrow Connector 2971">
          <a:extLst>
            <a:ext uri="{FF2B5EF4-FFF2-40B4-BE49-F238E27FC236}">
              <a16:creationId xmlns:a16="http://schemas.microsoft.com/office/drawing/2014/main" id="{00000000-0008-0000-1200-00009C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73" name="Straight Arrow Connector 2972">
          <a:extLst>
            <a:ext uri="{FF2B5EF4-FFF2-40B4-BE49-F238E27FC236}">
              <a16:creationId xmlns:a16="http://schemas.microsoft.com/office/drawing/2014/main" id="{00000000-0008-0000-1200-00009D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4" name="Straight Arrow Connector 2973">
          <a:extLst>
            <a:ext uri="{FF2B5EF4-FFF2-40B4-BE49-F238E27FC236}">
              <a16:creationId xmlns:a16="http://schemas.microsoft.com/office/drawing/2014/main" id="{00000000-0008-0000-1200-00009E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75" name="Straight Arrow Connector 2974">
          <a:extLst>
            <a:ext uri="{FF2B5EF4-FFF2-40B4-BE49-F238E27FC236}">
              <a16:creationId xmlns:a16="http://schemas.microsoft.com/office/drawing/2014/main" id="{00000000-0008-0000-1200-00009F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6" name="Straight Arrow Connector 2975">
          <a:extLst>
            <a:ext uri="{FF2B5EF4-FFF2-40B4-BE49-F238E27FC236}">
              <a16:creationId xmlns:a16="http://schemas.microsoft.com/office/drawing/2014/main" id="{00000000-0008-0000-1200-0000A0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7" name="Straight Arrow Connector 2976">
          <a:extLst>
            <a:ext uri="{FF2B5EF4-FFF2-40B4-BE49-F238E27FC236}">
              <a16:creationId xmlns:a16="http://schemas.microsoft.com/office/drawing/2014/main" id="{00000000-0008-0000-1200-0000A1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78" name="Straight Arrow Connector 2977">
          <a:extLst>
            <a:ext uri="{FF2B5EF4-FFF2-40B4-BE49-F238E27FC236}">
              <a16:creationId xmlns:a16="http://schemas.microsoft.com/office/drawing/2014/main" id="{00000000-0008-0000-1200-0000A2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79" name="Straight Arrow Connector 2978">
          <a:extLst>
            <a:ext uri="{FF2B5EF4-FFF2-40B4-BE49-F238E27FC236}">
              <a16:creationId xmlns:a16="http://schemas.microsoft.com/office/drawing/2014/main" id="{00000000-0008-0000-1200-0000A3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80" name="Straight Arrow Connector 2979">
          <a:extLst>
            <a:ext uri="{FF2B5EF4-FFF2-40B4-BE49-F238E27FC236}">
              <a16:creationId xmlns:a16="http://schemas.microsoft.com/office/drawing/2014/main" id="{00000000-0008-0000-1200-0000A4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81" name="Straight Arrow Connector 2980">
          <a:extLst>
            <a:ext uri="{FF2B5EF4-FFF2-40B4-BE49-F238E27FC236}">
              <a16:creationId xmlns:a16="http://schemas.microsoft.com/office/drawing/2014/main" id="{00000000-0008-0000-1200-0000A5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82" name="Straight Arrow Connector 2981">
          <a:extLst>
            <a:ext uri="{FF2B5EF4-FFF2-40B4-BE49-F238E27FC236}">
              <a16:creationId xmlns:a16="http://schemas.microsoft.com/office/drawing/2014/main" id="{00000000-0008-0000-1200-0000A6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702</xdr:row>
      <xdr:rowOff>31750</xdr:rowOff>
    </xdr:from>
    <xdr:to>
      <xdr:col>16</xdr:col>
      <xdr:colOff>42334</xdr:colOff>
      <xdr:row>709</xdr:row>
      <xdr:rowOff>63501</xdr:rowOff>
    </xdr:to>
    <xdr:cxnSp macro="">
      <xdr:nvCxnSpPr>
        <xdr:cNvPr id="2983" name="Straight Arrow Connector 2982">
          <a:extLst>
            <a:ext uri="{FF2B5EF4-FFF2-40B4-BE49-F238E27FC236}">
              <a16:creationId xmlns:a16="http://schemas.microsoft.com/office/drawing/2014/main" id="{00000000-0008-0000-1200-0000A70B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715</xdr:row>
      <xdr:rowOff>31750</xdr:rowOff>
    </xdr:from>
    <xdr:to>
      <xdr:col>16</xdr:col>
      <xdr:colOff>21167</xdr:colOff>
      <xdr:row>722</xdr:row>
      <xdr:rowOff>95250</xdr:rowOff>
    </xdr:to>
    <xdr:cxnSp macro="">
      <xdr:nvCxnSpPr>
        <xdr:cNvPr id="2984" name="Straight Arrow Connector 2983">
          <a:extLst>
            <a:ext uri="{FF2B5EF4-FFF2-40B4-BE49-F238E27FC236}">
              <a16:creationId xmlns:a16="http://schemas.microsoft.com/office/drawing/2014/main" id="{00000000-0008-0000-1200-0000A80B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728</xdr:row>
      <xdr:rowOff>31750</xdr:rowOff>
    </xdr:from>
    <xdr:to>
      <xdr:col>16</xdr:col>
      <xdr:colOff>42334</xdr:colOff>
      <xdr:row>735</xdr:row>
      <xdr:rowOff>63501</xdr:rowOff>
    </xdr:to>
    <xdr:cxnSp macro="">
      <xdr:nvCxnSpPr>
        <xdr:cNvPr id="2985" name="Straight Arrow Connector 2984">
          <a:extLst>
            <a:ext uri="{FF2B5EF4-FFF2-40B4-BE49-F238E27FC236}">
              <a16:creationId xmlns:a16="http://schemas.microsoft.com/office/drawing/2014/main" id="{00000000-0008-0000-1200-0000A90B0000}"/>
            </a:ext>
          </a:extLst>
        </xdr:cNvPr>
        <xdr:cNvCxnSpPr/>
      </xdr:nvCxnSpPr>
      <xdr:spPr>
        <a:xfrm>
          <a:off x="11281833" y="129762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728</xdr:row>
      <xdr:rowOff>31750</xdr:rowOff>
    </xdr:from>
    <xdr:to>
      <xdr:col>16</xdr:col>
      <xdr:colOff>42334</xdr:colOff>
      <xdr:row>735</xdr:row>
      <xdr:rowOff>63501</xdr:rowOff>
    </xdr:to>
    <xdr:cxnSp macro="">
      <xdr:nvCxnSpPr>
        <xdr:cNvPr id="2986" name="Straight Arrow Connector 2985">
          <a:extLst>
            <a:ext uri="{FF2B5EF4-FFF2-40B4-BE49-F238E27FC236}">
              <a16:creationId xmlns:a16="http://schemas.microsoft.com/office/drawing/2014/main" id="{00000000-0008-0000-1200-0000AA0B0000}"/>
            </a:ext>
          </a:extLst>
        </xdr:cNvPr>
        <xdr:cNvCxnSpPr/>
      </xdr:nvCxnSpPr>
      <xdr:spPr>
        <a:xfrm>
          <a:off x="11281833" y="129762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987" name="Straight Arrow Connector 2986">
          <a:extLst>
            <a:ext uri="{FF2B5EF4-FFF2-40B4-BE49-F238E27FC236}">
              <a16:creationId xmlns:a16="http://schemas.microsoft.com/office/drawing/2014/main" id="{00000000-0008-0000-1200-0000AB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88" name="Straight Arrow Connector 2987">
          <a:extLst>
            <a:ext uri="{FF2B5EF4-FFF2-40B4-BE49-F238E27FC236}">
              <a16:creationId xmlns:a16="http://schemas.microsoft.com/office/drawing/2014/main" id="{00000000-0008-0000-1200-0000AC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989" name="Straight Arrow Connector 2988">
          <a:extLst>
            <a:ext uri="{FF2B5EF4-FFF2-40B4-BE49-F238E27FC236}">
              <a16:creationId xmlns:a16="http://schemas.microsoft.com/office/drawing/2014/main" id="{00000000-0008-0000-1200-0000AD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0" name="Straight Arrow Connector 2989">
          <a:extLst>
            <a:ext uri="{FF2B5EF4-FFF2-40B4-BE49-F238E27FC236}">
              <a16:creationId xmlns:a16="http://schemas.microsoft.com/office/drawing/2014/main" id="{00000000-0008-0000-1200-0000AE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1" name="Straight Arrow Connector 2990">
          <a:extLst>
            <a:ext uri="{FF2B5EF4-FFF2-40B4-BE49-F238E27FC236}">
              <a16:creationId xmlns:a16="http://schemas.microsoft.com/office/drawing/2014/main" id="{00000000-0008-0000-1200-0000AF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2" name="Straight Arrow Connector 2991">
          <a:extLst>
            <a:ext uri="{FF2B5EF4-FFF2-40B4-BE49-F238E27FC236}">
              <a16:creationId xmlns:a16="http://schemas.microsoft.com/office/drawing/2014/main" id="{00000000-0008-0000-1200-0000B0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993" name="Straight Arrow Connector 2992">
          <a:extLst>
            <a:ext uri="{FF2B5EF4-FFF2-40B4-BE49-F238E27FC236}">
              <a16:creationId xmlns:a16="http://schemas.microsoft.com/office/drawing/2014/main" id="{00000000-0008-0000-1200-0000B1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4" name="Straight Arrow Connector 2993">
          <a:extLst>
            <a:ext uri="{FF2B5EF4-FFF2-40B4-BE49-F238E27FC236}">
              <a16:creationId xmlns:a16="http://schemas.microsoft.com/office/drawing/2014/main" id="{00000000-0008-0000-1200-0000B2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5" name="Straight Arrow Connector 2994">
          <a:extLst>
            <a:ext uri="{FF2B5EF4-FFF2-40B4-BE49-F238E27FC236}">
              <a16:creationId xmlns:a16="http://schemas.microsoft.com/office/drawing/2014/main" id="{00000000-0008-0000-1200-0000B3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6" name="Straight Arrow Connector 2995">
          <a:extLst>
            <a:ext uri="{FF2B5EF4-FFF2-40B4-BE49-F238E27FC236}">
              <a16:creationId xmlns:a16="http://schemas.microsoft.com/office/drawing/2014/main" id="{00000000-0008-0000-1200-0000B4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7" name="Straight Arrow Connector 2996">
          <a:extLst>
            <a:ext uri="{FF2B5EF4-FFF2-40B4-BE49-F238E27FC236}">
              <a16:creationId xmlns:a16="http://schemas.microsoft.com/office/drawing/2014/main" id="{00000000-0008-0000-1200-0000B5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2998" name="Straight Arrow Connector 2997">
          <a:extLst>
            <a:ext uri="{FF2B5EF4-FFF2-40B4-BE49-F238E27FC236}">
              <a16:creationId xmlns:a16="http://schemas.microsoft.com/office/drawing/2014/main" id="{00000000-0008-0000-1200-0000B6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2999" name="Straight Arrow Connector 2998">
          <a:extLst>
            <a:ext uri="{FF2B5EF4-FFF2-40B4-BE49-F238E27FC236}">
              <a16:creationId xmlns:a16="http://schemas.microsoft.com/office/drawing/2014/main" id="{00000000-0008-0000-1200-0000B7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00" name="Straight Arrow Connector 2999">
          <a:extLst>
            <a:ext uri="{FF2B5EF4-FFF2-40B4-BE49-F238E27FC236}">
              <a16:creationId xmlns:a16="http://schemas.microsoft.com/office/drawing/2014/main" id="{00000000-0008-0000-1200-0000B8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1" name="Straight Arrow Connector 3000">
          <a:extLst>
            <a:ext uri="{FF2B5EF4-FFF2-40B4-BE49-F238E27FC236}">
              <a16:creationId xmlns:a16="http://schemas.microsoft.com/office/drawing/2014/main" id="{00000000-0008-0000-1200-0000B9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02" name="Straight Arrow Connector 3001">
          <a:extLst>
            <a:ext uri="{FF2B5EF4-FFF2-40B4-BE49-F238E27FC236}">
              <a16:creationId xmlns:a16="http://schemas.microsoft.com/office/drawing/2014/main" id="{00000000-0008-0000-1200-0000BA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3" name="Straight Arrow Connector 3002">
          <a:extLst>
            <a:ext uri="{FF2B5EF4-FFF2-40B4-BE49-F238E27FC236}">
              <a16:creationId xmlns:a16="http://schemas.microsoft.com/office/drawing/2014/main" id="{00000000-0008-0000-1200-0000BB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04" name="Straight Arrow Connector 3003">
          <a:extLst>
            <a:ext uri="{FF2B5EF4-FFF2-40B4-BE49-F238E27FC236}">
              <a16:creationId xmlns:a16="http://schemas.microsoft.com/office/drawing/2014/main" id="{00000000-0008-0000-1200-0000BC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5" name="Straight Arrow Connector 3004">
          <a:extLst>
            <a:ext uri="{FF2B5EF4-FFF2-40B4-BE49-F238E27FC236}">
              <a16:creationId xmlns:a16="http://schemas.microsoft.com/office/drawing/2014/main" id="{00000000-0008-0000-1200-0000BD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6" name="Straight Arrow Connector 3005">
          <a:extLst>
            <a:ext uri="{FF2B5EF4-FFF2-40B4-BE49-F238E27FC236}">
              <a16:creationId xmlns:a16="http://schemas.microsoft.com/office/drawing/2014/main" id="{00000000-0008-0000-1200-0000BE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7" name="Straight Arrow Connector 3006">
          <a:extLst>
            <a:ext uri="{FF2B5EF4-FFF2-40B4-BE49-F238E27FC236}">
              <a16:creationId xmlns:a16="http://schemas.microsoft.com/office/drawing/2014/main" id="{00000000-0008-0000-1200-0000BF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08" name="Straight Arrow Connector 3007">
          <a:extLst>
            <a:ext uri="{FF2B5EF4-FFF2-40B4-BE49-F238E27FC236}">
              <a16:creationId xmlns:a16="http://schemas.microsoft.com/office/drawing/2014/main" id="{00000000-0008-0000-1200-0000C0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09" name="Straight Arrow Connector 3008">
          <a:extLst>
            <a:ext uri="{FF2B5EF4-FFF2-40B4-BE49-F238E27FC236}">
              <a16:creationId xmlns:a16="http://schemas.microsoft.com/office/drawing/2014/main" id="{00000000-0008-0000-1200-0000C1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10" name="Straight Arrow Connector 3009">
          <a:extLst>
            <a:ext uri="{FF2B5EF4-FFF2-40B4-BE49-F238E27FC236}">
              <a16:creationId xmlns:a16="http://schemas.microsoft.com/office/drawing/2014/main" id="{00000000-0008-0000-1200-0000C2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11" name="Straight Arrow Connector 3010">
          <a:extLst>
            <a:ext uri="{FF2B5EF4-FFF2-40B4-BE49-F238E27FC236}">
              <a16:creationId xmlns:a16="http://schemas.microsoft.com/office/drawing/2014/main" id="{00000000-0008-0000-1200-0000C3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758</xdr:row>
      <xdr:rowOff>31750</xdr:rowOff>
    </xdr:from>
    <xdr:to>
      <xdr:col>16</xdr:col>
      <xdr:colOff>42334</xdr:colOff>
      <xdr:row>765</xdr:row>
      <xdr:rowOff>63501</xdr:rowOff>
    </xdr:to>
    <xdr:cxnSp macro="">
      <xdr:nvCxnSpPr>
        <xdr:cNvPr id="3012" name="Straight Arrow Connector 3011">
          <a:extLst>
            <a:ext uri="{FF2B5EF4-FFF2-40B4-BE49-F238E27FC236}">
              <a16:creationId xmlns:a16="http://schemas.microsoft.com/office/drawing/2014/main" id="{00000000-0008-0000-1200-0000C40B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771</xdr:row>
      <xdr:rowOff>31750</xdr:rowOff>
    </xdr:from>
    <xdr:to>
      <xdr:col>16</xdr:col>
      <xdr:colOff>21167</xdr:colOff>
      <xdr:row>778</xdr:row>
      <xdr:rowOff>95250</xdr:rowOff>
    </xdr:to>
    <xdr:cxnSp macro="">
      <xdr:nvCxnSpPr>
        <xdr:cNvPr id="3013" name="Straight Arrow Connector 3012">
          <a:extLst>
            <a:ext uri="{FF2B5EF4-FFF2-40B4-BE49-F238E27FC236}">
              <a16:creationId xmlns:a16="http://schemas.microsoft.com/office/drawing/2014/main" id="{00000000-0008-0000-1200-0000C50B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784</xdr:row>
      <xdr:rowOff>31750</xdr:rowOff>
    </xdr:from>
    <xdr:to>
      <xdr:col>16</xdr:col>
      <xdr:colOff>42334</xdr:colOff>
      <xdr:row>791</xdr:row>
      <xdr:rowOff>63501</xdr:rowOff>
    </xdr:to>
    <xdr:cxnSp macro="">
      <xdr:nvCxnSpPr>
        <xdr:cNvPr id="3014" name="Straight Arrow Connector 3013">
          <a:extLst>
            <a:ext uri="{FF2B5EF4-FFF2-40B4-BE49-F238E27FC236}">
              <a16:creationId xmlns:a16="http://schemas.microsoft.com/office/drawing/2014/main" id="{00000000-0008-0000-1200-0000C60B0000}"/>
            </a:ext>
          </a:extLst>
        </xdr:cNvPr>
        <xdr:cNvCxnSpPr/>
      </xdr:nvCxnSpPr>
      <xdr:spPr>
        <a:xfrm>
          <a:off x="11281833" y="1406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784</xdr:row>
      <xdr:rowOff>31750</xdr:rowOff>
    </xdr:from>
    <xdr:to>
      <xdr:col>16</xdr:col>
      <xdr:colOff>42334</xdr:colOff>
      <xdr:row>791</xdr:row>
      <xdr:rowOff>63501</xdr:rowOff>
    </xdr:to>
    <xdr:cxnSp macro="">
      <xdr:nvCxnSpPr>
        <xdr:cNvPr id="3015" name="Straight Arrow Connector 3014">
          <a:extLst>
            <a:ext uri="{FF2B5EF4-FFF2-40B4-BE49-F238E27FC236}">
              <a16:creationId xmlns:a16="http://schemas.microsoft.com/office/drawing/2014/main" id="{00000000-0008-0000-1200-0000C70B0000}"/>
            </a:ext>
          </a:extLst>
        </xdr:cNvPr>
        <xdr:cNvCxnSpPr/>
      </xdr:nvCxnSpPr>
      <xdr:spPr>
        <a:xfrm>
          <a:off x="11281833" y="1406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18" name="Straight Arrow Connector 3017">
          <a:extLst>
            <a:ext uri="{FF2B5EF4-FFF2-40B4-BE49-F238E27FC236}">
              <a16:creationId xmlns:a16="http://schemas.microsoft.com/office/drawing/2014/main" id="{00000000-0008-0000-1200-0000CA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22" name="Straight Arrow Connector 3021">
          <a:extLst>
            <a:ext uri="{FF2B5EF4-FFF2-40B4-BE49-F238E27FC236}">
              <a16:creationId xmlns:a16="http://schemas.microsoft.com/office/drawing/2014/main" id="{00000000-0008-0000-1200-0000CE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24" name="Straight Arrow Connector 3023">
          <a:extLst>
            <a:ext uri="{FF2B5EF4-FFF2-40B4-BE49-F238E27FC236}">
              <a16:creationId xmlns:a16="http://schemas.microsoft.com/office/drawing/2014/main" id="{00000000-0008-0000-1200-0000D0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26" name="Straight Arrow Connector 3025">
          <a:extLst>
            <a:ext uri="{FF2B5EF4-FFF2-40B4-BE49-F238E27FC236}">
              <a16:creationId xmlns:a16="http://schemas.microsoft.com/office/drawing/2014/main" id="{00000000-0008-0000-1200-0000D2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30" name="Straight Arrow Connector 3029">
          <a:extLst>
            <a:ext uri="{FF2B5EF4-FFF2-40B4-BE49-F238E27FC236}">
              <a16:creationId xmlns:a16="http://schemas.microsoft.com/office/drawing/2014/main" id="{00000000-0008-0000-1200-0000D6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35" name="Straight Arrow Connector 3034">
          <a:extLst>
            <a:ext uri="{FF2B5EF4-FFF2-40B4-BE49-F238E27FC236}">
              <a16:creationId xmlns:a16="http://schemas.microsoft.com/office/drawing/2014/main" id="{00000000-0008-0000-1200-0000DB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37" name="Straight Arrow Connector 3036">
          <a:extLst>
            <a:ext uri="{FF2B5EF4-FFF2-40B4-BE49-F238E27FC236}">
              <a16:creationId xmlns:a16="http://schemas.microsoft.com/office/drawing/2014/main" id="{00000000-0008-0000-1200-0000DD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39" name="Straight Arrow Connector 3038">
          <a:extLst>
            <a:ext uri="{FF2B5EF4-FFF2-40B4-BE49-F238E27FC236}">
              <a16:creationId xmlns:a16="http://schemas.microsoft.com/office/drawing/2014/main" id="{00000000-0008-0000-1200-0000DF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41" name="Straight Arrow Connector 3040">
          <a:extLst>
            <a:ext uri="{FF2B5EF4-FFF2-40B4-BE49-F238E27FC236}">
              <a16:creationId xmlns:a16="http://schemas.microsoft.com/office/drawing/2014/main" id="{00000000-0008-0000-1200-0000E1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814</xdr:row>
      <xdr:rowOff>31750</xdr:rowOff>
    </xdr:from>
    <xdr:to>
      <xdr:col>16</xdr:col>
      <xdr:colOff>42334</xdr:colOff>
      <xdr:row>821</xdr:row>
      <xdr:rowOff>63501</xdr:rowOff>
    </xdr:to>
    <xdr:cxnSp macro="">
      <xdr:nvCxnSpPr>
        <xdr:cNvPr id="3045" name="Straight Arrow Connector 3044">
          <a:extLst>
            <a:ext uri="{FF2B5EF4-FFF2-40B4-BE49-F238E27FC236}">
              <a16:creationId xmlns:a16="http://schemas.microsoft.com/office/drawing/2014/main" id="{00000000-0008-0000-1200-0000E50B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54" name="Straight Arrow Connector 3053">
          <a:extLst>
            <a:ext uri="{FF2B5EF4-FFF2-40B4-BE49-F238E27FC236}">
              <a16:creationId xmlns:a16="http://schemas.microsoft.com/office/drawing/2014/main" id="{00000000-0008-0000-1200-0000EE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56" name="Straight Arrow Connector 3055">
          <a:extLst>
            <a:ext uri="{FF2B5EF4-FFF2-40B4-BE49-F238E27FC236}">
              <a16:creationId xmlns:a16="http://schemas.microsoft.com/office/drawing/2014/main" id="{00000000-0008-0000-1200-0000F0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58" name="Straight Arrow Connector 3057">
          <a:extLst>
            <a:ext uri="{FF2B5EF4-FFF2-40B4-BE49-F238E27FC236}">
              <a16:creationId xmlns:a16="http://schemas.microsoft.com/office/drawing/2014/main" id="{00000000-0008-0000-1200-0000F2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59" name="Straight Arrow Connector 3058">
          <a:extLst>
            <a:ext uri="{FF2B5EF4-FFF2-40B4-BE49-F238E27FC236}">
              <a16:creationId xmlns:a16="http://schemas.microsoft.com/office/drawing/2014/main" id="{00000000-0008-0000-1200-0000F3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0" name="Straight Arrow Connector 3059">
          <a:extLst>
            <a:ext uri="{FF2B5EF4-FFF2-40B4-BE49-F238E27FC236}">
              <a16:creationId xmlns:a16="http://schemas.microsoft.com/office/drawing/2014/main" id="{00000000-0008-0000-1200-0000F4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2" name="Straight Arrow Connector 3061">
          <a:extLst>
            <a:ext uri="{FF2B5EF4-FFF2-40B4-BE49-F238E27FC236}">
              <a16:creationId xmlns:a16="http://schemas.microsoft.com/office/drawing/2014/main" id="{00000000-0008-0000-1200-0000F6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3" name="Straight Arrow Connector 3062">
          <a:extLst>
            <a:ext uri="{FF2B5EF4-FFF2-40B4-BE49-F238E27FC236}">
              <a16:creationId xmlns:a16="http://schemas.microsoft.com/office/drawing/2014/main" id="{00000000-0008-0000-1200-0000F7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4" name="Straight Arrow Connector 3063">
          <a:extLst>
            <a:ext uri="{FF2B5EF4-FFF2-40B4-BE49-F238E27FC236}">
              <a16:creationId xmlns:a16="http://schemas.microsoft.com/office/drawing/2014/main" id="{00000000-0008-0000-1200-0000F8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6" name="Straight Arrow Connector 3065">
          <a:extLst>
            <a:ext uri="{FF2B5EF4-FFF2-40B4-BE49-F238E27FC236}">
              <a16:creationId xmlns:a16="http://schemas.microsoft.com/office/drawing/2014/main" id="{00000000-0008-0000-1200-0000FA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7" name="Straight Arrow Connector 3066">
          <a:extLst>
            <a:ext uri="{FF2B5EF4-FFF2-40B4-BE49-F238E27FC236}">
              <a16:creationId xmlns:a16="http://schemas.microsoft.com/office/drawing/2014/main" id="{00000000-0008-0000-1200-0000FB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68" name="Straight Arrow Connector 3067">
          <a:extLst>
            <a:ext uri="{FF2B5EF4-FFF2-40B4-BE49-F238E27FC236}">
              <a16:creationId xmlns:a16="http://schemas.microsoft.com/office/drawing/2014/main" id="{00000000-0008-0000-1200-0000FC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0" name="Straight Arrow Connector 3069">
          <a:extLst>
            <a:ext uri="{FF2B5EF4-FFF2-40B4-BE49-F238E27FC236}">
              <a16:creationId xmlns:a16="http://schemas.microsoft.com/office/drawing/2014/main" id="{00000000-0008-0000-1200-0000FE0B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2" name="Straight Arrow Connector 3071">
          <a:extLst>
            <a:ext uri="{FF2B5EF4-FFF2-40B4-BE49-F238E27FC236}">
              <a16:creationId xmlns:a16="http://schemas.microsoft.com/office/drawing/2014/main" id="{00000000-0008-0000-1200-000000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4" name="Straight Arrow Connector 3073">
          <a:extLst>
            <a:ext uri="{FF2B5EF4-FFF2-40B4-BE49-F238E27FC236}">
              <a16:creationId xmlns:a16="http://schemas.microsoft.com/office/drawing/2014/main" id="{00000000-0008-0000-1200-000002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5" name="Straight Arrow Connector 3074">
          <a:extLst>
            <a:ext uri="{FF2B5EF4-FFF2-40B4-BE49-F238E27FC236}">
              <a16:creationId xmlns:a16="http://schemas.microsoft.com/office/drawing/2014/main" id="{00000000-0008-0000-1200-000003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6" name="Straight Arrow Connector 3075">
          <a:extLst>
            <a:ext uri="{FF2B5EF4-FFF2-40B4-BE49-F238E27FC236}">
              <a16:creationId xmlns:a16="http://schemas.microsoft.com/office/drawing/2014/main" id="{00000000-0008-0000-1200-000004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8" name="Straight Arrow Connector 3077">
          <a:extLst>
            <a:ext uri="{FF2B5EF4-FFF2-40B4-BE49-F238E27FC236}">
              <a16:creationId xmlns:a16="http://schemas.microsoft.com/office/drawing/2014/main" id="{00000000-0008-0000-1200-000006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79" name="Straight Arrow Connector 3078">
          <a:extLst>
            <a:ext uri="{FF2B5EF4-FFF2-40B4-BE49-F238E27FC236}">
              <a16:creationId xmlns:a16="http://schemas.microsoft.com/office/drawing/2014/main" id="{00000000-0008-0000-1200-000007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0" name="Straight Arrow Connector 3079">
          <a:extLst>
            <a:ext uri="{FF2B5EF4-FFF2-40B4-BE49-F238E27FC236}">
              <a16:creationId xmlns:a16="http://schemas.microsoft.com/office/drawing/2014/main" id="{00000000-0008-0000-1200-000008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1" name="Straight Arrow Connector 3080">
          <a:extLst>
            <a:ext uri="{FF2B5EF4-FFF2-40B4-BE49-F238E27FC236}">
              <a16:creationId xmlns:a16="http://schemas.microsoft.com/office/drawing/2014/main" id="{00000000-0008-0000-1200-000009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3" name="Straight Arrow Connector 3082">
          <a:extLst>
            <a:ext uri="{FF2B5EF4-FFF2-40B4-BE49-F238E27FC236}">
              <a16:creationId xmlns:a16="http://schemas.microsoft.com/office/drawing/2014/main" id="{00000000-0008-0000-1200-00000B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5" name="Straight Arrow Connector 3084">
          <a:extLst>
            <a:ext uri="{FF2B5EF4-FFF2-40B4-BE49-F238E27FC236}">
              <a16:creationId xmlns:a16="http://schemas.microsoft.com/office/drawing/2014/main" id="{00000000-0008-0000-1200-00000D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883</xdr:row>
      <xdr:rowOff>31750</xdr:rowOff>
    </xdr:from>
    <xdr:to>
      <xdr:col>16</xdr:col>
      <xdr:colOff>21167</xdr:colOff>
      <xdr:row>890</xdr:row>
      <xdr:rowOff>95250</xdr:rowOff>
    </xdr:to>
    <xdr:cxnSp macro="">
      <xdr:nvCxnSpPr>
        <xdr:cNvPr id="3087" name="Straight Arrow Connector 3086">
          <a:extLst>
            <a:ext uri="{FF2B5EF4-FFF2-40B4-BE49-F238E27FC236}">
              <a16:creationId xmlns:a16="http://schemas.microsoft.com/office/drawing/2014/main" id="{00000000-0008-0000-1200-00000F0C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912</xdr:row>
      <xdr:rowOff>10584</xdr:rowOff>
    </xdr:from>
    <xdr:to>
      <xdr:col>1</xdr:col>
      <xdr:colOff>603250</xdr:colOff>
      <xdr:row>1005</xdr:row>
      <xdr:rowOff>158750</xdr:rowOff>
    </xdr:to>
    <xdr:cxnSp macro="">
      <xdr:nvCxnSpPr>
        <xdr:cNvPr id="3100" name="Straight Arrow Connector 3099">
          <a:extLst>
            <a:ext uri="{FF2B5EF4-FFF2-40B4-BE49-F238E27FC236}">
              <a16:creationId xmlns:a16="http://schemas.microsoft.com/office/drawing/2014/main" id="{00000000-0008-0000-1200-00001C0C0000}"/>
            </a:ext>
          </a:extLst>
        </xdr:cNvPr>
        <xdr:cNvCxnSpPr/>
      </xdr:nvCxnSpPr>
      <xdr:spPr>
        <a:xfrm flipV="1">
          <a:off x="603250" y="963084"/>
          <a:ext cx="613833"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1008</xdr:row>
      <xdr:rowOff>169333</xdr:rowOff>
    </xdr:from>
    <xdr:to>
      <xdr:col>1</xdr:col>
      <xdr:colOff>603250</xdr:colOff>
      <xdr:row>1050</xdr:row>
      <xdr:rowOff>148167</xdr:rowOff>
    </xdr:to>
    <xdr:cxnSp macro="">
      <xdr:nvCxnSpPr>
        <xdr:cNvPr id="3101" name="Straight Arrow Connector 3100">
          <a:extLst>
            <a:ext uri="{FF2B5EF4-FFF2-40B4-BE49-F238E27FC236}">
              <a16:creationId xmlns:a16="http://schemas.microsoft.com/office/drawing/2014/main" id="{00000000-0008-0000-1200-00001D0C0000}"/>
            </a:ext>
          </a:extLst>
        </xdr:cNvPr>
        <xdr:cNvCxnSpPr/>
      </xdr:nvCxnSpPr>
      <xdr:spPr>
        <a:xfrm>
          <a:off x="603250" y="19790833"/>
          <a:ext cx="613833"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984</xdr:row>
      <xdr:rowOff>158750</xdr:rowOff>
    </xdr:from>
    <xdr:to>
      <xdr:col>3</xdr:col>
      <xdr:colOff>603250</xdr:colOff>
      <xdr:row>1051</xdr:row>
      <xdr:rowOff>10583</xdr:rowOff>
    </xdr:to>
    <xdr:cxnSp macro="">
      <xdr:nvCxnSpPr>
        <xdr:cNvPr id="3102" name="Straight Arrow Connector 3101">
          <a:extLst>
            <a:ext uri="{FF2B5EF4-FFF2-40B4-BE49-F238E27FC236}">
              <a16:creationId xmlns:a16="http://schemas.microsoft.com/office/drawing/2014/main" id="{00000000-0008-0000-1200-00001E0C0000}"/>
            </a:ext>
          </a:extLst>
        </xdr:cNvPr>
        <xdr:cNvCxnSpPr/>
      </xdr:nvCxnSpPr>
      <xdr:spPr>
        <a:xfrm flipV="1">
          <a:off x="2381251" y="150177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1053</xdr:row>
      <xdr:rowOff>10583</xdr:rowOff>
    </xdr:from>
    <xdr:to>
      <xdr:col>4</xdr:col>
      <xdr:colOff>63500</xdr:colOff>
      <xdr:row>1204</xdr:row>
      <xdr:rowOff>158750</xdr:rowOff>
    </xdr:to>
    <xdr:cxnSp macro="">
      <xdr:nvCxnSpPr>
        <xdr:cNvPr id="3103" name="Straight Arrow Connector 3102">
          <a:extLst>
            <a:ext uri="{FF2B5EF4-FFF2-40B4-BE49-F238E27FC236}">
              <a16:creationId xmlns:a16="http://schemas.microsoft.com/office/drawing/2014/main" id="{00000000-0008-0000-1200-00001F0C0000}"/>
            </a:ext>
          </a:extLst>
        </xdr:cNvPr>
        <xdr:cNvCxnSpPr/>
      </xdr:nvCxnSpPr>
      <xdr:spPr>
        <a:xfrm>
          <a:off x="2391834" y="28395083"/>
          <a:ext cx="656166"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947</xdr:row>
      <xdr:rowOff>1</xdr:rowOff>
    </xdr:from>
    <xdr:to>
      <xdr:col>6</xdr:col>
      <xdr:colOff>0</xdr:colOff>
      <xdr:row>981</xdr:row>
      <xdr:rowOff>116417</xdr:rowOff>
    </xdr:to>
    <xdr:cxnSp macro="">
      <xdr:nvCxnSpPr>
        <xdr:cNvPr id="3104" name="Straight Arrow Connector 3103">
          <a:extLst>
            <a:ext uri="{FF2B5EF4-FFF2-40B4-BE49-F238E27FC236}">
              <a16:creationId xmlns:a16="http://schemas.microsoft.com/office/drawing/2014/main" id="{00000000-0008-0000-1200-0000200C0000}"/>
            </a:ext>
          </a:extLst>
        </xdr:cNvPr>
        <xdr:cNvCxnSpPr/>
      </xdr:nvCxnSpPr>
      <xdr:spPr>
        <a:xfrm flipV="1">
          <a:off x="3810000" y="78105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984</xdr:row>
      <xdr:rowOff>169334</xdr:rowOff>
    </xdr:from>
    <xdr:to>
      <xdr:col>5</xdr:col>
      <xdr:colOff>571500</xdr:colOff>
      <xdr:row>1053</xdr:row>
      <xdr:rowOff>0</xdr:rowOff>
    </xdr:to>
    <xdr:cxnSp macro="">
      <xdr:nvCxnSpPr>
        <xdr:cNvPr id="3105" name="Straight Arrow Connector 3104">
          <a:extLst>
            <a:ext uri="{FF2B5EF4-FFF2-40B4-BE49-F238E27FC236}">
              <a16:creationId xmlns:a16="http://schemas.microsoft.com/office/drawing/2014/main" id="{00000000-0008-0000-1200-0000210C0000}"/>
            </a:ext>
          </a:extLst>
        </xdr:cNvPr>
        <xdr:cNvCxnSpPr/>
      </xdr:nvCxnSpPr>
      <xdr:spPr>
        <a:xfrm>
          <a:off x="3894667" y="15028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922</xdr:row>
      <xdr:rowOff>148167</xdr:rowOff>
    </xdr:from>
    <xdr:to>
      <xdr:col>7</xdr:col>
      <xdr:colOff>603250</xdr:colOff>
      <xdr:row>944</xdr:row>
      <xdr:rowOff>31750</xdr:rowOff>
    </xdr:to>
    <xdr:cxnSp macro="">
      <xdr:nvCxnSpPr>
        <xdr:cNvPr id="3106" name="Straight Arrow Connector 3105">
          <a:extLst>
            <a:ext uri="{FF2B5EF4-FFF2-40B4-BE49-F238E27FC236}">
              <a16:creationId xmlns:a16="http://schemas.microsoft.com/office/drawing/2014/main" id="{00000000-0008-0000-1200-0000220C0000}"/>
            </a:ext>
          </a:extLst>
        </xdr:cNvPr>
        <xdr:cNvCxnSpPr/>
      </xdr:nvCxnSpPr>
      <xdr:spPr>
        <a:xfrm flipV="1">
          <a:off x="5461000" y="3005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947</xdr:row>
      <xdr:rowOff>10584</xdr:rowOff>
    </xdr:from>
    <xdr:to>
      <xdr:col>8</xdr:col>
      <xdr:colOff>21167</xdr:colOff>
      <xdr:row>975</xdr:row>
      <xdr:rowOff>148166</xdr:rowOff>
    </xdr:to>
    <xdr:cxnSp macro="">
      <xdr:nvCxnSpPr>
        <xdr:cNvPr id="3107" name="Straight Arrow Connector 3106">
          <a:extLst>
            <a:ext uri="{FF2B5EF4-FFF2-40B4-BE49-F238E27FC236}">
              <a16:creationId xmlns:a16="http://schemas.microsoft.com/office/drawing/2014/main" id="{00000000-0008-0000-1200-0000230C0000}"/>
            </a:ext>
          </a:extLst>
        </xdr:cNvPr>
        <xdr:cNvCxnSpPr/>
      </xdr:nvCxnSpPr>
      <xdr:spPr>
        <a:xfrm>
          <a:off x="5461000" y="78210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914</xdr:row>
      <xdr:rowOff>137583</xdr:rowOff>
    </xdr:from>
    <xdr:to>
      <xdr:col>9</xdr:col>
      <xdr:colOff>603250</xdr:colOff>
      <xdr:row>920</xdr:row>
      <xdr:rowOff>21166</xdr:rowOff>
    </xdr:to>
    <xdr:cxnSp macro="">
      <xdr:nvCxnSpPr>
        <xdr:cNvPr id="3108" name="Straight Arrow Connector 3107">
          <a:extLst>
            <a:ext uri="{FF2B5EF4-FFF2-40B4-BE49-F238E27FC236}">
              <a16:creationId xmlns:a16="http://schemas.microsoft.com/office/drawing/2014/main" id="{00000000-0008-0000-1200-0000240C0000}"/>
            </a:ext>
          </a:extLst>
        </xdr:cNvPr>
        <xdr:cNvCxnSpPr/>
      </xdr:nvCxnSpPr>
      <xdr:spPr>
        <a:xfrm flipV="1">
          <a:off x="6688667" y="1471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923</xdr:row>
      <xdr:rowOff>0</xdr:rowOff>
    </xdr:from>
    <xdr:to>
      <xdr:col>9</xdr:col>
      <xdr:colOff>582083</xdr:colOff>
      <xdr:row>931</xdr:row>
      <xdr:rowOff>10583</xdr:rowOff>
    </xdr:to>
    <xdr:cxnSp macro="">
      <xdr:nvCxnSpPr>
        <xdr:cNvPr id="3109" name="Straight Arrow Connector 3108">
          <a:extLst>
            <a:ext uri="{FF2B5EF4-FFF2-40B4-BE49-F238E27FC236}">
              <a16:creationId xmlns:a16="http://schemas.microsoft.com/office/drawing/2014/main" id="{00000000-0008-0000-1200-0000250C0000}"/>
            </a:ext>
          </a:extLst>
        </xdr:cNvPr>
        <xdr:cNvCxnSpPr/>
      </xdr:nvCxnSpPr>
      <xdr:spPr>
        <a:xfrm>
          <a:off x="6720417" y="3048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928</xdr:row>
      <xdr:rowOff>169333</xdr:rowOff>
    </xdr:from>
    <xdr:to>
      <xdr:col>11</xdr:col>
      <xdr:colOff>603250</xdr:colOff>
      <xdr:row>931</xdr:row>
      <xdr:rowOff>21167</xdr:rowOff>
    </xdr:to>
    <xdr:cxnSp macro="">
      <xdr:nvCxnSpPr>
        <xdr:cNvPr id="3110" name="Straight Arrow Connector 3109">
          <a:extLst>
            <a:ext uri="{FF2B5EF4-FFF2-40B4-BE49-F238E27FC236}">
              <a16:creationId xmlns:a16="http://schemas.microsoft.com/office/drawing/2014/main" id="{00000000-0008-0000-1200-0000260C0000}"/>
            </a:ext>
          </a:extLst>
        </xdr:cNvPr>
        <xdr:cNvCxnSpPr/>
      </xdr:nvCxnSpPr>
      <xdr:spPr>
        <a:xfrm flipV="1">
          <a:off x="7937500" y="4169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934</xdr:row>
      <xdr:rowOff>42333</xdr:rowOff>
    </xdr:from>
    <xdr:to>
      <xdr:col>11</xdr:col>
      <xdr:colOff>603250</xdr:colOff>
      <xdr:row>946</xdr:row>
      <xdr:rowOff>10583</xdr:rowOff>
    </xdr:to>
    <xdr:cxnSp macro="">
      <xdr:nvCxnSpPr>
        <xdr:cNvPr id="3111" name="Straight Arrow Connector 3110">
          <a:extLst>
            <a:ext uri="{FF2B5EF4-FFF2-40B4-BE49-F238E27FC236}">
              <a16:creationId xmlns:a16="http://schemas.microsoft.com/office/drawing/2014/main" id="{00000000-0008-0000-1200-0000270C0000}"/>
            </a:ext>
          </a:extLst>
        </xdr:cNvPr>
        <xdr:cNvCxnSpPr/>
      </xdr:nvCxnSpPr>
      <xdr:spPr>
        <a:xfrm>
          <a:off x="7926917" y="5185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924</xdr:row>
      <xdr:rowOff>21167</xdr:rowOff>
    </xdr:from>
    <xdr:to>
      <xdr:col>13</xdr:col>
      <xdr:colOff>592667</xdr:colOff>
      <xdr:row>926</xdr:row>
      <xdr:rowOff>0</xdr:rowOff>
    </xdr:to>
    <xdr:cxnSp macro="">
      <xdr:nvCxnSpPr>
        <xdr:cNvPr id="3112" name="Straight Arrow Connector 3111">
          <a:extLst>
            <a:ext uri="{FF2B5EF4-FFF2-40B4-BE49-F238E27FC236}">
              <a16:creationId xmlns:a16="http://schemas.microsoft.com/office/drawing/2014/main" id="{00000000-0008-0000-1200-0000280C0000}"/>
            </a:ext>
          </a:extLst>
        </xdr:cNvPr>
        <xdr:cNvCxnSpPr/>
      </xdr:nvCxnSpPr>
      <xdr:spPr>
        <a:xfrm flipV="1">
          <a:off x="9133417" y="3259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929</xdr:row>
      <xdr:rowOff>21166</xdr:rowOff>
    </xdr:from>
    <xdr:to>
      <xdr:col>13</xdr:col>
      <xdr:colOff>592667</xdr:colOff>
      <xdr:row>930</xdr:row>
      <xdr:rowOff>169334</xdr:rowOff>
    </xdr:to>
    <xdr:cxnSp macro="">
      <xdr:nvCxnSpPr>
        <xdr:cNvPr id="3113" name="Straight Arrow Connector 3112">
          <a:extLst>
            <a:ext uri="{FF2B5EF4-FFF2-40B4-BE49-F238E27FC236}">
              <a16:creationId xmlns:a16="http://schemas.microsoft.com/office/drawing/2014/main" id="{00000000-0008-0000-1200-0000290C0000}"/>
            </a:ext>
          </a:extLst>
        </xdr:cNvPr>
        <xdr:cNvCxnSpPr/>
      </xdr:nvCxnSpPr>
      <xdr:spPr>
        <a:xfrm>
          <a:off x="9122833" y="4212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944</xdr:row>
      <xdr:rowOff>21167</xdr:rowOff>
    </xdr:from>
    <xdr:to>
      <xdr:col>13</xdr:col>
      <xdr:colOff>592667</xdr:colOff>
      <xdr:row>946</xdr:row>
      <xdr:rowOff>63500</xdr:rowOff>
    </xdr:to>
    <xdr:cxnSp macro="">
      <xdr:nvCxnSpPr>
        <xdr:cNvPr id="3114" name="Straight Arrow Connector 3113">
          <a:extLst>
            <a:ext uri="{FF2B5EF4-FFF2-40B4-BE49-F238E27FC236}">
              <a16:creationId xmlns:a16="http://schemas.microsoft.com/office/drawing/2014/main" id="{00000000-0008-0000-1200-00002A0C0000}"/>
            </a:ext>
          </a:extLst>
        </xdr:cNvPr>
        <xdr:cNvCxnSpPr/>
      </xdr:nvCxnSpPr>
      <xdr:spPr>
        <a:xfrm flipV="1">
          <a:off x="9525000" y="7260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949</xdr:row>
      <xdr:rowOff>0</xdr:rowOff>
    </xdr:from>
    <xdr:to>
      <xdr:col>14</xdr:col>
      <xdr:colOff>10584</xdr:colOff>
      <xdr:row>957</xdr:row>
      <xdr:rowOff>148167</xdr:rowOff>
    </xdr:to>
    <xdr:cxnSp macro="">
      <xdr:nvCxnSpPr>
        <xdr:cNvPr id="3115" name="Straight Arrow Connector 3114">
          <a:extLst>
            <a:ext uri="{FF2B5EF4-FFF2-40B4-BE49-F238E27FC236}">
              <a16:creationId xmlns:a16="http://schemas.microsoft.com/office/drawing/2014/main" id="{00000000-0008-0000-1200-00002B0C0000}"/>
            </a:ext>
          </a:extLst>
        </xdr:cNvPr>
        <xdr:cNvCxnSpPr/>
      </xdr:nvCxnSpPr>
      <xdr:spPr>
        <a:xfrm>
          <a:off x="9535583" y="8191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916</xdr:row>
      <xdr:rowOff>0</xdr:rowOff>
    </xdr:from>
    <xdr:to>
      <xdr:col>15</xdr:col>
      <xdr:colOff>603250</xdr:colOff>
      <xdr:row>921</xdr:row>
      <xdr:rowOff>31750</xdr:rowOff>
    </xdr:to>
    <xdr:cxnSp macro="">
      <xdr:nvCxnSpPr>
        <xdr:cNvPr id="3116" name="Straight Arrow Connector 3115">
          <a:extLst>
            <a:ext uri="{FF2B5EF4-FFF2-40B4-BE49-F238E27FC236}">
              <a16:creationId xmlns:a16="http://schemas.microsoft.com/office/drawing/2014/main" id="{00000000-0008-0000-1200-00002C0C0000}"/>
            </a:ext>
          </a:extLst>
        </xdr:cNvPr>
        <xdr:cNvCxnSpPr/>
      </xdr:nvCxnSpPr>
      <xdr:spPr>
        <a:xfrm flipV="1">
          <a:off x="11281833" y="1714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919</xdr:row>
      <xdr:rowOff>52917</xdr:rowOff>
    </xdr:from>
    <xdr:to>
      <xdr:col>15</xdr:col>
      <xdr:colOff>603250</xdr:colOff>
      <xdr:row>921</xdr:row>
      <xdr:rowOff>95250</xdr:rowOff>
    </xdr:to>
    <xdr:cxnSp macro="">
      <xdr:nvCxnSpPr>
        <xdr:cNvPr id="3117" name="Straight Arrow Connector 3116">
          <a:extLst>
            <a:ext uri="{FF2B5EF4-FFF2-40B4-BE49-F238E27FC236}">
              <a16:creationId xmlns:a16="http://schemas.microsoft.com/office/drawing/2014/main" id="{00000000-0008-0000-1200-00002D0C0000}"/>
            </a:ext>
          </a:extLst>
        </xdr:cNvPr>
        <xdr:cNvCxnSpPr/>
      </xdr:nvCxnSpPr>
      <xdr:spPr>
        <a:xfrm flipV="1">
          <a:off x="11324166" y="2338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921</xdr:row>
      <xdr:rowOff>158750</xdr:rowOff>
    </xdr:from>
    <xdr:to>
      <xdr:col>15</xdr:col>
      <xdr:colOff>582083</xdr:colOff>
      <xdr:row>922</xdr:row>
      <xdr:rowOff>137583</xdr:rowOff>
    </xdr:to>
    <xdr:cxnSp macro="">
      <xdr:nvCxnSpPr>
        <xdr:cNvPr id="3118" name="Straight Arrow Connector 3117">
          <a:extLst>
            <a:ext uri="{FF2B5EF4-FFF2-40B4-BE49-F238E27FC236}">
              <a16:creationId xmlns:a16="http://schemas.microsoft.com/office/drawing/2014/main" id="{00000000-0008-0000-1200-00002E0C0000}"/>
            </a:ext>
          </a:extLst>
        </xdr:cNvPr>
        <xdr:cNvCxnSpPr/>
      </xdr:nvCxnSpPr>
      <xdr:spPr>
        <a:xfrm>
          <a:off x="11345333" y="2825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921</xdr:row>
      <xdr:rowOff>105834</xdr:rowOff>
    </xdr:from>
    <xdr:to>
      <xdr:col>16</xdr:col>
      <xdr:colOff>0</xdr:colOff>
      <xdr:row>925</xdr:row>
      <xdr:rowOff>84667</xdr:rowOff>
    </xdr:to>
    <xdr:cxnSp macro="">
      <xdr:nvCxnSpPr>
        <xdr:cNvPr id="3119" name="Straight Arrow Connector 3118">
          <a:extLst>
            <a:ext uri="{FF2B5EF4-FFF2-40B4-BE49-F238E27FC236}">
              <a16:creationId xmlns:a16="http://schemas.microsoft.com/office/drawing/2014/main" id="{00000000-0008-0000-1200-00002F0C0000}"/>
            </a:ext>
          </a:extLst>
        </xdr:cNvPr>
        <xdr:cNvCxnSpPr/>
      </xdr:nvCxnSpPr>
      <xdr:spPr>
        <a:xfrm>
          <a:off x="11260667" y="2772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929</xdr:row>
      <xdr:rowOff>52916</xdr:rowOff>
    </xdr:from>
    <xdr:to>
      <xdr:col>16</xdr:col>
      <xdr:colOff>0</xdr:colOff>
      <xdr:row>931</xdr:row>
      <xdr:rowOff>0</xdr:rowOff>
    </xdr:to>
    <xdr:cxnSp macro="">
      <xdr:nvCxnSpPr>
        <xdr:cNvPr id="3120" name="Straight Arrow Connector 3119">
          <a:extLst>
            <a:ext uri="{FF2B5EF4-FFF2-40B4-BE49-F238E27FC236}">
              <a16:creationId xmlns:a16="http://schemas.microsoft.com/office/drawing/2014/main" id="{00000000-0008-0000-1200-0000300C0000}"/>
            </a:ext>
          </a:extLst>
        </xdr:cNvPr>
        <xdr:cNvCxnSpPr/>
      </xdr:nvCxnSpPr>
      <xdr:spPr>
        <a:xfrm flipV="1">
          <a:off x="11281833" y="4243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931</xdr:row>
      <xdr:rowOff>21167</xdr:rowOff>
    </xdr:from>
    <xdr:to>
      <xdr:col>15</xdr:col>
      <xdr:colOff>582083</xdr:colOff>
      <xdr:row>932</xdr:row>
      <xdr:rowOff>42333</xdr:rowOff>
    </xdr:to>
    <xdr:cxnSp macro="">
      <xdr:nvCxnSpPr>
        <xdr:cNvPr id="3121" name="Straight Arrow Connector 3120">
          <a:extLst>
            <a:ext uri="{FF2B5EF4-FFF2-40B4-BE49-F238E27FC236}">
              <a16:creationId xmlns:a16="http://schemas.microsoft.com/office/drawing/2014/main" id="{00000000-0008-0000-1200-0000310C0000}"/>
            </a:ext>
          </a:extLst>
        </xdr:cNvPr>
        <xdr:cNvCxnSpPr/>
      </xdr:nvCxnSpPr>
      <xdr:spPr>
        <a:xfrm>
          <a:off x="11292416" y="4593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931</xdr:row>
      <xdr:rowOff>21167</xdr:rowOff>
    </xdr:from>
    <xdr:to>
      <xdr:col>16</xdr:col>
      <xdr:colOff>42333</xdr:colOff>
      <xdr:row>936</xdr:row>
      <xdr:rowOff>21168</xdr:rowOff>
    </xdr:to>
    <xdr:cxnSp macro="">
      <xdr:nvCxnSpPr>
        <xdr:cNvPr id="3122" name="Straight Arrow Connector 3121">
          <a:extLst>
            <a:ext uri="{FF2B5EF4-FFF2-40B4-BE49-F238E27FC236}">
              <a16:creationId xmlns:a16="http://schemas.microsoft.com/office/drawing/2014/main" id="{00000000-0008-0000-1200-0000320C0000}"/>
            </a:ext>
          </a:extLst>
        </xdr:cNvPr>
        <xdr:cNvCxnSpPr/>
      </xdr:nvCxnSpPr>
      <xdr:spPr>
        <a:xfrm>
          <a:off x="11271250" y="4593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931</xdr:row>
      <xdr:rowOff>31750</xdr:rowOff>
    </xdr:from>
    <xdr:to>
      <xdr:col>16</xdr:col>
      <xdr:colOff>42334</xdr:colOff>
      <xdr:row>938</xdr:row>
      <xdr:rowOff>63501</xdr:rowOff>
    </xdr:to>
    <xdr:cxnSp macro="">
      <xdr:nvCxnSpPr>
        <xdr:cNvPr id="3123" name="Straight Arrow Connector 3122">
          <a:extLst>
            <a:ext uri="{FF2B5EF4-FFF2-40B4-BE49-F238E27FC236}">
              <a16:creationId xmlns:a16="http://schemas.microsoft.com/office/drawing/2014/main" id="{00000000-0008-0000-1200-0000330C0000}"/>
            </a:ext>
          </a:extLst>
        </xdr:cNvPr>
        <xdr:cNvCxnSpPr/>
      </xdr:nvCxnSpPr>
      <xdr:spPr>
        <a:xfrm>
          <a:off x="11281833" y="46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968</xdr:row>
      <xdr:rowOff>42333</xdr:rowOff>
    </xdr:from>
    <xdr:to>
      <xdr:col>9</xdr:col>
      <xdr:colOff>592666</xdr:colOff>
      <xdr:row>976</xdr:row>
      <xdr:rowOff>42333</xdr:rowOff>
    </xdr:to>
    <xdr:cxnSp macro="">
      <xdr:nvCxnSpPr>
        <xdr:cNvPr id="3124" name="Straight Arrow Connector 3123">
          <a:extLst>
            <a:ext uri="{FF2B5EF4-FFF2-40B4-BE49-F238E27FC236}">
              <a16:creationId xmlns:a16="http://schemas.microsoft.com/office/drawing/2014/main" id="{00000000-0008-0000-1200-0000340C0000}"/>
            </a:ext>
          </a:extLst>
        </xdr:cNvPr>
        <xdr:cNvCxnSpPr/>
      </xdr:nvCxnSpPr>
      <xdr:spPr>
        <a:xfrm flipV="1">
          <a:off x="6699250" y="11853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978</xdr:row>
      <xdr:rowOff>169334</xdr:rowOff>
    </xdr:from>
    <xdr:to>
      <xdr:col>9</xdr:col>
      <xdr:colOff>603250</xdr:colOff>
      <xdr:row>987</xdr:row>
      <xdr:rowOff>31750</xdr:rowOff>
    </xdr:to>
    <xdr:cxnSp macro="">
      <xdr:nvCxnSpPr>
        <xdr:cNvPr id="3125" name="Straight Arrow Connector 3124">
          <a:extLst>
            <a:ext uri="{FF2B5EF4-FFF2-40B4-BE49-F238E27FC236}">
              <a16:creationId xmlns:a16="http://schemas.microsoft.com/office/drawing/2014/main" id="{00000000-0008-0000-1200-0000350C0000}"/>
            </a:ext>
          </a:extLst>
        </xdr:cNvPr>
        <xdr:cNvCxnSpPr/>
      </xdr:nvCxnSpPr>
      <xdr:spPr>
        <a:xfrm>
          <a:off x="6720417" y="13885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984</xdr:row>
      <xdr:rowOff>158750</xdr:rowOff>
    </xdr:from>
    <xdr:to>
      <xdr:col>11</xdr:col>
      <xdr:colOff>571500</xdr:colOff>
      <xdr:row>987</xdr:row>
      <xdr:rowOff>0</xdr:rowOff>
    </xdr:to>
    <xdr:cxnSp macro="">
      <xdr:nvCxnSpPr>
        <xdr:cNvPr id="3126" name="Straight Arrow Connector 3125">
          <a:extLst>
            <a:ext uri="{FF2B5EF4-FFF2-40B4-BE49-F238E27FC236}">
              <a16:creationId xmlns:a16="http://schemas.microsoft.com/office/drawing/2014/main" id="{00000000-0008-0000-1200-0000360C0000}"/>
            </a:ext>
          </a:extLst>
        </xdr:cNvPr>
        <xdr:cNvCxnSpPr/>
      </xdr:nvCxnSpPr>
      <xdr:spPr>
        <a:xfrm flipV="1">
          <a:off x="7874000" y="15017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942</xdr:row>
      <xdr:rowOff>0</xdr:rowOff>
    </xdr:from>
    <xdr:to>
      <xdr:col>15</xdr:col>
      <xdr:colOff>603250</xdr:colOff>
      <xdr:row>944</xdr:row>
      <xdr:rowOff>1</xdr:rowOff>
    </xdr:to>
    <xdr:cxnSp macro="">
      <xdr:nvCxnSpPr>
        <xdr:cNvPr id="3127" name="Straight Arrow Connector 3126">
          <a:extLst>
            <a:ext uri="{FF2B5EF4-FFF2-40B4-BE49-F238E27FC236}">
              <a16:creationId xmlns:a16="http://schemas.microsoft.com/office/drawing/2014/main" id="{00000000-0008-0000-1200-0000370C0000}"/>
            </a:ext>
          </a:extLst>
        </xdr:cNvPr>
        <xdr:cNvCxnSpPr/>
      </xdr:nvCxnSpPr>
      <xdr:spPr>
        <a:xfrm flipV="1">
          <a:off x="11271250" y="6858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944</xdr:row>
      <xdr:rowOff>10584</xdr:rowOff>
    </xdr:from>
    <xdr:to>
      <xdr:col>15</xdr:col>
      <xdr:colOff>592666</xdr:colOff>
      <xdr:row>945</xdr:row>
      <xdr:rowOff>95250</xdr:rowOff>
    </xdr:to>
    <xdr:cxnSp macro="">
      <xdr:nvCxnSpPr>
        <xdr:cNvPr id="3128" name="Straight Arrow Connector 3127">
          <a:extLst>
            <a:ext uri="{FF2B5EF4-FFF2-40B4-BE49-F238E27FC236}">
              <a16:creationId xmlns:a16="http://schemas.microsoft.com/office/drawing/2014/main" id="{00000000-0008-0000-1200-0000380C0000}"/>
            </a:ext>
          </a:extLst>
        </xdr:cNvPr>
        <xdr:cNvCxnSpPr/>
      </xdr:nvCxnSpPr>
      <xdr:spPr>
        <a:xfrm>
          <a:off x="11313583" y="7249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944</xdr:row>
      <xdr:rowOff>10584</xdr:rowOff>
    </xdr:from>
    <xdr:to>
      <xdr:col>15</xdr:col>
      <xdr:colOff>560916</xdr:colOff>
      <xdr:row>948</xdr:row>
      <xdr:rowOff>52917</xdr:rowOff>
    </xdr:to>
    <xdr:cxnSp macro="">
      <xdr:nvCxnSpPr>
        <xdr:cNvPr id="3129" name="Straight Arrow Connector 3128">
          <a:extLst>
            <a:ext uri="{FF2B5EF4-FFF2-40B4-BE49-F238E27FC236}">
              <a16:creationId xmlns:a16="http://schemas.microsoft.com/office/drawing/2014/main" id="{00000000-0008-0000-1200-0000390C0000}"/>
            </a:ext>
          </a:extLst>
        </xdr:cNvPr>
        <xdr:cNvCxnSpPr/>
      </xdr:nvCxnSpPr>
      <xdr:spPr>
        <a:xfrm>
          <a:off x="11292416" y="7249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944</xdr:row>
      <xdr:rowOff>31750</xdr:rowOff>
    </xdr:from>
    <xdr:to>
      <xdr:col>16</xdr:col>
      <xdr:colOff>21167</xdr:colOff>
      <xdr:row>951</xdr:row>
      <xdr:rowOff>95250</xdr:rowOff>
    </xdr:to>
    <xdr:cxnSp macro="">
      <xdr:nvCxnSpPr>
        <xdr:cNvPr id="3130" name="Straight Arrow Connector 3129">
          <a:extLst>
            <a:ext uri="{FF2B5EF4-FFF2-40B4-BE49-F238E27FC236}">
              <a16:creationId xmlns:a16="http://schemas.microsoft.com/office/drawing/2014/main" id="{00000000-0008-0000-1200-00003A0C0000}"/>
            </a:ext>
          </a:extLst>
        </xdr:cNvPr>
        <xdr:cNvCxnSpPr/>
      </xdr:nvCxnSpPr>
      <xdr:spPr>
        <a:xfrm>
          <a:off x="11324166" y="727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958</xdr:row>
      <xdr:rowOff>0</xdr:rowOff>
    </xdr:from>
    <xdr:to>
      <xdr:col>16</xdr:col>
      <xdr:colOff>0</xdr:colOff>
      <xdr:row>958</xdr:row>
      <xdr:rowOff>42334</xdr:rowOff>
    </xdr:to>
    <xdr:cxnSp macro="">
      <xdr:nvCxnSpPr>
        <xdr:cNvPr id="3131" name="Straight Arrow Connector 3130">
          <a:extLst>
            <a:ext uri="{FF2B5EF4-FFF2-40B4-BE49-F238E27FC236}">
              <a16:creationId xmlns:a16="http://schemas.microsoft.com/office/drawing/2014/main" id="{00000000-0008-0000-1200-00003B0C0000}"/>
            </a:ext>
          </a:extLst>
        </xdr:cNvPr>
        <xdr:cNvCxnSpPr/>
      </xdr:nvCxnSpPr>
      <xdr:spPr>
        <a:xfrm>
          <a:off x="11302999" y="9906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958</xdr:row>
      <xdr:rowOff>21166</xdr:rowOff>
    </xdr:from>
    <xdr:to>
      <xdr:col>15</xdr:col>
      <xdr:colOff>560916</xdr:colOff>
      <xdr:row>961</xdr:row>
      <xdr:rowOff>84667</xdr:rowOff>
    </xdr:to>
    <xdr:cxnSp macro="">
      <xdr:nvCxnSpPr>
        <xdr:cNvPr id="3132" name="Straight Arrow Connector 3131">
          <a:extLst>
            <a:ext uri="{FF2B5EF4-FFF2-40B4-BE49-F238E27FC236}">
              <a16:creationId xmlns:a16="http://schemas.microsoft.com/office/drawing/2014/main" id="{00000000-0008-0000-1200-00003C0C0000}"/>
            </a:ext>
          </a:extLst>
        </xdr:cNvPr>
        <xdr:cNvCxnSpPr/>
      </xdr:nvCxnSpPr>
      <xdr:spPr>
        <a:xfrm>
          <a:off x="11355916" y="9927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958</xdr:row>
      <xdr:rowOff>52916</xdr:rowOff>
    </xdr:from>
    <xdr:to>
      <xdr:col>15</xdr:col>
      <xdr:colOff>592666</xdr:colOff>
      <xdr:row>964</xdr:row>
      <xdr:rowOff>63501</xdr:rowOff>
    </xdr:to>
    <xdr:cxnSp macro="">
      <xdr:nvCxnSpPr>
        <xdr:cNvPr id="3133" name="Straight Arrow Connector 3132">
          <a:extLst>
            <a:ext uri="{FF2B5EF4-FFF2-40B4-BE49-F238E27FC236}">
              <a16:creationId xmlns:a16="http://schemas.microsoft.com/office/drawing/2014/main" id="{00000000-0008-0000-1200-00003D0C0000}"/>
            </a:ext>
          </a:extLst>
        </xdr:cNvPr>
        <xdr:cNvCxnSpPr/>
      </xdr:nvCxnSpPr>
      <xdr:spPr>
        <a:xfrm>
          <a:off x="11313583" y="9958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972</xdr:row>
      <xdr:rowOff>116416</xdr:rowOff>
    </xdr:from>
    <xdr:to>
      <xdr:col>15</xdr:col>
      <xdr:colOff>592666</xdr:colOff>
      <xdr:row>975</xdr:row>
      <xdr:rowOff>158750</xdr:rowOff>
    </xdr:to>
    <xdr:cxnSp macro="">
      <xdr:nvCxnSpPr>
        <xdr:cNvPr id="3134" name="Straight Arrow Connector 3133">
          <a:extLst>
            <a:ext uri="{FF2B5EF4-FFF2-40B4-BE49-F238E27FC236}">
              <a16:creationId xmlns:a16="http://schemas.microsoft.com/office/drawing/2014/main" id="{00000000-0008-0000-1200-00003E0C0000}"/>
            </a:ext>
          </a:extLst>
        </xdr:cNvPr>
        <xdr:cNvCxnSpPr/>
      </xdr:nvCxnSpPr>
      <xdr:spPr>
        <a:xfrm flipV="1">
          <a:off x="11302999" y="12689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974</xdr:row>
      <xdr:rowOff>95250</xdr:rowOff>
    </xdr:from>
    <xdr:to>
      <xdr:col>15</xdr:col>
      <xdr:colOff>582083</xdr:colOff>
      <xdr:row>976</xdr:row>
      <xdr:rowOff>52917</xdr:rowOff>
    </xdr:to>
    <xdr:cxnSp macro="">
      <xdr:nvCxnSpPr>
        <xdr:cNvPr id="3135" name="Straight Arrow Connector 3134">
          <a:extLst>
            <a:ext uri="{FF2B5EF4-FFF2-40B4-BE49-F238E27FC236}">
              <a16:creationId xmlns:a16="http://schemas.microsoft.com/office/drawing/2014/main" id="{00000000-0008-0000-1200-00003F0C0000}"/>
            </a:ext>
          </a:extLst>
        </xdr:cNvPr>
        <xdr:cNvCxnSpPr/>
      </xdr:nvCxnSpPr>
      <xdr:spPr>
        <a:xfrm flipV="1">
          <a:off x="11345333" y="13049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116417</xdr:rowOff>
    </xdr:from>
    <xdr:to>
      <xdr:col>15</xdr:col>
      <xdr:colOff>592666</xdr:colOff>
      <xdr:row>980</xdr:row>
      <xdr:rowOff>95250</xdr:rowOff>
    </xdr:to>
    <xdr:cxnSp macro="">
      <xdr:nvCxnSpPr>
        <xdr:cNvPr id="3136" name="Straight Arrow Connector 3135">
          <a:extLst>
            <a:ext uri="{FF2B5EF4-FFF2-40B4-BE49-F238E27FC236}">
              <a16:creationId xmlns:a16="http://schemas.microsoft.com/office/drawing/2014/main" id="{00000000-0008-0000-1200-0000400C0000}"/>
            </a:ext>
          </a:extLst>
        </xdr:cNvPr>
        <xdr:cNvCxnSpPr/>
      </xdr:nvCxnSpPr>
      <xdr:spPr>
        <a:xfrm>
          <a:off x="11334749" y="13451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987</xdr:row>
      <xdr:rowOff>116416</xdr:rowOff>
    </xdr:from>
    <xdr:to>
      <xdr:col>16</xdr:col>
      <xdr:colOff>0</xdr:colOff>
      <xdr:row>994</xdr:row>
      <xdr:rowOff>74084</xdr:rowOff>
    </xdr:to>
    <xdr:cxnSp macro="">
      <xdr:nvCxnSpPr>
        <xdr:cNvPr id="3137" name="Straight Arrow Connector 3136">
          <a:extLst>
            <a:ext uri="{FF2B5EF4-FFF2-40B4-BE49-F238E27FC236}">
              <a16:creationId xmlns:a16="http://schemas.microsoft.com/office/drawing/2014/main" id="{00000000-0008-0000-1200-0000410C0000}"/>
            </a:ext>
          </a:extLst>
        </xdr:cNvPr>
        <xdr:cNvCxnSpPr/>
      </xdr:nvCxnSpPr>
      <xdr:spPr>
        <a:xfrm>
          <a:off x="11313583" y="15546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955</xdr:row>
      <xdr:rowOff>52917</xdr:rowOff>
    </xdr:from>
    <xdr:to>
      <xdr:col>15</xdr:col>
      <xdr:colOff>603250</xdr:colOff>
      <xdr:row>957</xdr:row>
      <xdr:rowOff>148167</xdr:rowOff>
    </xdr:to>
    <xdr:cxnSp macro="">
      <xdr:nvCxnSpPr>
        <xdr:cNvPr id="3138" name="Straight Arrow Connector 3137">
          <a:extLst>
            <a:ext uri="{FF2B5EF4-FFF2-40B4-BE49-F238E27FC236}">
              <a16:creationId xmlns:a16="http://schemas.microsoft.com/office/drawing/2014/main" id="{00000000-0008-0000-1200-0000420C0000}"/>
            </a:ext>
          </a:extLst>
        </xdr:cNvPr>
        <xdr:cNvCxnSpPr/>
      </xdr:nvCxnSpPr>
      <xdr:spPr>
        <a:xfrm flipV="1">
          <a:off x="11324166" y="9387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990</xdr:row>
      <xdr:rowOff>42333</xdr:rowOff>
    </xdr:from>
    <xdr:to>
      <xdr:col>11</xdr:col>
      <xdr:colOff>603250</xdr:colOff>
      <xdr:row>1002</xdr:row>
      <xdr:rowOff>10583</xdr:rowOff>
    </xdr:to>
    <xdr:cxnSp macro="">
      <xdr:nvCxnSpPr>
        <xdr:cNvPr id="3139" name="Straight Arrow Connector 3138">
          <a:extLst>
            <a:ext uri="{FF2B5EF4-FFF2-40B4-BE49-F238E27FC236}">
              <a16:creationId xmlns:a16="http://schemas.microsoft.com/office/drawing/2014/main" id="{00000000-0008-0000-1200-0000430C0000}"/>
            </a:ext>
          </a:extLst>
        </xdr:cNvPr>
        <xdr:cNvCxnSpPr/>
      </xdr:nvCxnSpPr>
      <xdr:spPr>
        <a:xfrm>
          <a:off x="7926917" y="16044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980</xdr:row>
      <xdr:rowOff>21167</xdr:rowOff>
    </xdr:from>
    <xdr:to>
      <xdr:col>13</xdr:col>
      <xdr:colOff>592667</xdr:colOff>
      <xdr:row>982</xdr:row>
      <xdr:rowOff>0</xdr:rowOff>
    </xdr:to>
    <xdr:cxnSp macro="">
      <xdr:nvCxnSpPr>
        <xdr:cNvPr id="3140" name="Straight Arrow Connector 3139">
          <a:extLst>
            <a:ext uri="{FF2B5EF4-FFF2-40B4-BE49-F238E27FC236}">
              <a16:creationId xmlns:a16="http://schemas.microsoft.com/office/drawing/2014/main" id="{00000000-0008-0000-1200-0000440C0000}"/>
            </a:ext>
          </a:extLst>
        </xdr:cNvPr>
        <xdr:cNvCxnSpPr/>
      </xdr:nvCxnSpPr>
      <xdr:spPr>
        <a:xfrm flipV="1">
          <a:off x="9133417" y="14118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985</xdr:row>
      <xdr:rowOff>21166</xdr:rowOff>
    </xdr:from>
    <xdr:to>
      <xdr:col>13</xdr:col>
      <xdr:colOff>592667</xdr:colOff>
      <xdr:row>986</xdr:row>
      <xdr:rowOff>169334</xdr:rowOff>
    </xdr:to>
    <xdr:cxnSp macro="">
      <xdr:nvCxnSpPr>
        <xdr:cNvPr id="3141" name="Straight Arrow Connector 3140">
          <a:extLst>
            <a:ext uri="{FF2B5EF4-FFF2-40B4-BE49-F238E27FC236}">
              <a16:creationId xmlns:a16="http://schemas.microsoft.com/office/drawing/2014/main" id="{00000000-0008-0000-1200-0000450C0000}"/>
            </a:ext>
          </a:extLst>
        </xdr:cNvPr>
        <xdr:cNvCxnSpPr/>
      </xdr:nvCxnSpPr>
      <xdr:spPr>
        <a:xfrm>
          <a:off x="9122833" y="15070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1000</xdr:row>
      <xdr:rowOff>21167</xdr:rowOff>
    </xdr:from>
    <xdr:to>
      <xdr:col>13</xdr:col>
      <xdr:colOff>592667</xdr:colOff>
      <xdr:row>1002</xdr:row>
      <xdr:rowOff>63500</xdr:rowOff>
    </xdr:to>
    <xdr:cxnSp macro="">
      <xdr:nvCxnSpPr>
        <xdr:cNvPr id="3142" name="Straight Arrow Connector 3141">
          <a:extLst>
            <a:ext uri="{FF2B5EF4-FFF2-40B4-BE49-F238E27FC236}">
              <a16:creationId xmlns:a16="http://schemas.microsoft.com/office/drawing/2014/main" id="{00000000-0008-0000-1200-0000460C0000}"/>
            </a:ext>
          </a:extLst>
        </xdr:cNvPr>
        <xdr:cNvCxnSpPr/>
      </xdr:nvCxnSpPr>
      <xdr:spPr>
        <a:xfrm flipV="1">
          <a:off x="9525000" y="18118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1005</xdr:row>
      <xdr:rowOff>0</xdr:rowOff>
    </xdr:from>
    <xdr:to>
      <xdr:col>14</xdr:col>
      <xdr:colOff>10584</xdr:colOff>
      <xdr:row>1013</xdr:row>
      <xdr:rowOff>148167</xdr:rowOff>
    </xdr:to>
    <xdr:cxnSp macro="">
      <xdr:nvCxnSpPr>
        <xdr:cNvPr id="3143" name="Straight Arrow Connector 3142">
          <a:extLst>
            <a:ext uri="{FF2B5EF4-FFF2-40B4-BE49-F238E27FC236}">
              <a16:creationId xmlns:a16="http://schemas.microsoft.com/office/drawing/2014/main" id="{00000000-0008-0000-1200-0000470C0000}"/>
            </a:ext>
          </a:extLst>
        </xdr:cNvPr>
        <xdr:cNvCxnSpPr/>
      </xdr:nvCxnSpPr>
      <xdr:spPr>
        <a:xfrm>
          <a:off x="9535583" y="19050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976</xdr:row>
      <xdr:rowOff>95250</xdr:rowOff>
    </xdr:from>
    <xdr:to>
      <xdr:col>15</xdr:col>
      <xdr:colOff>582083</xdr:colOff>
      <xdr:row>978</xdr:row>
      <xdr:rowOff>137583</xdr:rowOff>
    </xdr:to>
    <xdr:cxnSp macro="">
      <xdr:nvCxnSpPr>
        <xdr:cNvPr id="3144" name="Straight Arrow Connector 3143">
          <a:extLst>
            <a:ext uri="{FF2B5EF4-FFF2-40B4-BE49-F238E27FC236}">
              <a16:creationId xmlns:a16="http://schemas.microsoft.com/office/drawing/2014/main" id="{00000000-0008-0000-1200-0000480C0000}"/>
            </a:ext>
          </a:extLst>
        </xdr:cNvPr>
        <xdr:cNvCxnSpPr/>
      </xdr:nvCxnSpPr>
      <xdr:spPr>
        <a:xfrm>
          <a:off x="11334749" y="13430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985</xdr:row>
      <xdr:rowOff>52916</xdr:rowOff>
    </xdr:from>
    <xdr:to>
      <xdr:col>16</xdr:col>
      <xdr:colOff>0</xdr:colOff>
      <xdr:row>987</xdr:row>
      <xdr:rowOff>0</xdr:rowOff>
    </xdr:to>
    <xdr:cxnSp macro="">
      <xdr:nvCxnSpPr>
        <xdr:cNvPr id="3145" name="Straight Arrow Connector 3144">
          <a:extLst>
            <a:ext uri="{FF2B5EF4-FFF2-40B4-BE49-F238E27FC236}">
              <a16:creationId xmlns:a16="http://schemas.microsoft.com/office/drawing/2014/main" id="{00000000-0008-0000-1200-0000490C0000}"/>
            </a:ext>
          </a:extLst>
        </xdr:cNvPr>
        <xdr:cNvCxnSpPr/>
      </xdr:nvCxnSpPr>
      <xdr:spPr>
        <a:xfrm flipV="1">
          <a:off x="11281833" y="15102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21167</xdr:rowOff>
    </xdr:from>
    <xdr:to>
      <xdr:col>15</xdr:col>
      <xdr:colOff>592666</xdr:colOff>
      <xdr:row>988</xdr:row>
      <xdr:rowOff>84667</xdr:rowOff>
    </xdr:to>
    <xdr:cxnSp macro="">
      <xdr:nvCxnSpPr>
        <xdr:cNvPr id="3146" name="Straight Arrow Connector 3145">
          <a:extLst>
            <a:ext uri="{FF2B5EF4-FFF2-40B4-BE49-F238E27FC236}">
              <a16:creationId xmlns:a16="http://schemas.microsoft.com/office/drawing/2014/main" id="{00000000-0008-0000-1200-00004A0C0000}"/>
            </a:ext>
          </a:extLst>
        </xdr:cNvPr>
        <xdr:cNvCxnSpPr/>
      </xdr:nvCxnSpPr>
      <xdr:spPr>
        <a:xfrm>
          <a:off x="11271250" y="15451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987</xdr:row>
      <xdr:rowOff>0</xdr:rowOff>
    </xdr:from>
    <xdr:to>
      <xdr:col>16</xdr:col>
      <xdr:colOff>0</xdr:colOff>
      <xdr:row>991</xdr:row>
      <xdr:rowOff>42334</xdr:rowOff>
    </xdr:to>
    <xdr:cxnSp macro="">
      <xdr:nvCxnSpPr>
        <xdr:cNvPr id="3147" name="Straight Arrow Connector 3146">
          <a:extLst>
            <a:ext uri="{FF2B5EF4-FFF2-40B4-BE49-F238E27FC236}">
              <a16:creationId xmlns:a16="http://schemas.microsoft.com/office/drawing/2014/main" id="{00000000-0008-0000-1200-00004B0C0000}"/>
            </a:ext>
          </a:extLst>
        </xdr:cNvPr>
        <xdr:cNvCxnSpPr/>
      </xdr:nvCxnSpPr>
      <xdr:spPr>
        <a:xfrm>
          <a:off x="11271250" y="15430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1000</xdr:row>
      <xdr:rowOff>10584</xdr:rowOff>
    </xdr:from>
    <xdr:to>
      <xdr:col>15</xdr:col>
      <xdr:colOff>560916</xdr:colOff>
      <xdr:row>1004</xdr:row>
      <xdr:rowOff>52917</xdr:rowOff>
    </xdr:to>
    <xdr:cxnSp macro="">
      <xdr:nvCxnSpPr>
        <xdr:cNvPr id="3150" name="Straight Arrow Connector 3149">
          <a:extLst>
            <a:ext uri="{FF2B5EF4-FFF2-40B4-BE49-F238E27FC236}">
              <a16:creationId xmlns:a16="http://schemas.microsoft.com/office/drawing/2014/main" id="{00000000-0008-0000-1200-00004E0C0000}"/>
            </a:ext>
          </a:extLst>
        </xdr:cNvPr>
        <xdr:cNvCxnSpPr/>
      </xdr:nvCxnSpPr>
      <xdr:spPr>
        <a:xfrm>
          <a:off x="11292416" y="18108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3151" name="Straight Arrow Connector 3150">
          <a:extLst>
            <a:ext uri="{FF2B5EF4-FFF2-40B4-BE49-F238E27FC236}">
              <a16:creationId xmlns:a16="http://schemas.microsoft.com/office/drawing/2014/main" id="{00000000-0008-0000-1200-00004F0C0000}"/>
            </a:ext>
          </a:extLst>
        </xdr:cNvPr>
        <xdr:cNvCxnSpPr/>
      </xdr:nvCxnSpPr>
      <xdr:spPr>
        <a:xfrm>
          <a:off x="11324166" y="18129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1014</xdr:row>
      <xdr:rowOff>0</xdr:rowOff>
    </xdr:from>
    <xdr:to>
      <xdr:col>16</xdr:col>
      <xdr:colOff>0</xdr:colOff>
      <xdr:row>1014</xdr:row>
      <xdr:rowOff>42334</xdr:rowOff>
    </xdr:to>
    <xdr:cxnSp macro="">
      <xdr:nvCxnSpPr>
        <xdr:cNvPr id="3152" name="Straight Arrow Connector 3151">
          <a:extLst>
            <a:ext uri="{FF2B5EF4-FFF2-40B4-BE49-F238E27FC236}">
              <a16:creationId xmlns:a16="http://schemas.microsoft.com/office/drawing/2014/main" id="{00000000-0008-0000-1200-0000500C0000}"/>
            </a:ext>
          </a:extLst>
        </xdr:cNvPr>
        <xdr:cNvCxnSpPr/>
      </xdr:nvCxnSpPr>
      <xdr:spPr>
        <a:xfrm>
          <a:off x="11302999" y="20764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1014</xdr:row>
      <xdr:rowOff>21166</xdr:rowOff>
    </xdr:from>
    <xdr:to>
      <xdr:col>15</xdr:col>
      <xdr:colOff>560916</xdr:colOff>
      <xdr:row>1017</xdr:row>
      <xdr:rowOff>84667</xdr:rowOff>
    </xdr:to>
    <xdr:cxnSp macro="">
      <xdr:nvCxnSpPr>
        <xdr:cNvPr id="3153" name="Straight Arrow Connector 3152">
          <a:extLst>
            <a:ext uri="{FF2B5EF4-FFF2-40B4-BE49-F238E27FC236}">
              <a16:creationId xmlns:a16="http://schemas.microsoft.com/office/drawing/2014/main" id="{00000000-0008-0000-1200-0000510C0000}"/>
            </a:ext>
          </a:extLst>
        </xdr:cNvPr>
        <xdr:cNvCxnSpPr/>
      </xdr:nvCxnSpPr>
      <xdr:spPr>
        <a:xfrm>
          <a:off x="11355916" y="20785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1014</xdr:row>
      <xdr:rowOff>52916</xdr:rowOff>
    </xdr:from>
    <xdr:to>
      <xdr:col>15</xdr:col>
      <xdr:colOff>592666</xdr:colOff>
      <xdr:row>1020</xdr:row>
      <xdr:rowOff>63501</xdr:rowOff>
    </xdr:to>
    <xdr:cxnSp macro="">
      <xdr:nvCxnSpPr>
        <xdr:cNvPr id="3154" name="Straight Arrow Connector 3153">
          <a:extLst>
            <a:ext uri="{FF2B5EF4-FFF2-40B4-BE49-F238E27FC236}">
              <a16:creationId xmlns:a16="http://schemas.microsoft.com/office/drawing/2014/main" id="{00000000-0008-0000-1200-0000520C0000}"/>
            </a:ext>
          </a:extLst>
        </xdr:cNvPr>
        <xdr:cNvCxnSpPr/>
      </xdr:nvCxnSpPr>
      <xdr:spPr>
        <a:xfrm>
          <a:off x="11313583" y="20817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1011</xdr:row>
      <xdr:rowOff>52917</xdr:rowOff>
    </xdr:from>
    <xdr:to>
      <xdr:col>15</xdr:col>
      <xdr:colOff>603250</xdr:colOff>
      <xdr:row>1013</xdr:row>
      <xdr:rowOff>148167</xdr:rowOff>
    </xdr:to>
    <xdr:cxnSp macro="">
      <xdr:nvCxnSpPr>
        <xdr:cNvPr id="3155" name="Straight Arrow Connector 3154">
          <a:extLst>
            <a:ext uri="{FF2B5EF4-FFF2-40B4-BE49-F238E27FC236}">
              <a16:creationId xmlns:a16="http://schemas.microsoft.com/office/drawing/2014/main" id="{00000000-0008-0000-1200-0000530C0000}"/>
            </a:ext>
          </a:extLst>
        </xdr:cNvPr>
        <xdr:cNvCxnSpPr/>
      </xdr:nvCxnSpPr>
      <xdr:spPr>
        <a:xfrm flipV="1">
          <a:off x="11324166" y="20245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1055</xdr:row>
      <xdr:rowOff>95250</xdr:rowOff>
    </xdr:from>
    <xdr:to>
      <xdr:col>8</xdr:col>
      <xdr:colOff>21167</xdr:colOff>
      <xdr:row>1087</xdr:row>
      <xdr:rowOff>148166</xdr:rowOff>
    </xdr:to>
    <xdr:cxnSp macro="">
      <xdr:nvCxnSpPr>
        <xdr:cNvPr id="3156" name="Straight Arrow Connector 3155">
          <a:extLst>
            <a:ext uri="{FF2B5EF4-FFF2-40B4-BE49-F238E27FC236}">
              <a16:creationId xmlns:a16="http://schemas.microsoft.com/office/drawing/2014/main" id="{00000000-0008-0000-1200-0000540C0000}"/>
            </a:ext>
          </a:extLst>
        </xdr:cNvPr>
        <xdr:cNvCxnSpPr/>
      </xdr:nvCxnSpPr>
      <xdr:spPr>
        <a:xfrm>
          <a:off x="5185833" y="288607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1026</xdr:row>
      <xdr:rowOff>137583</xdr:rowOff>
    </xdr:from>
    <xdr:to>
      <xdr:col>9</xdr:col>
      <xdr:colOff>603250</xdr:colOff>
      <xdr:row>1032</xdr:row>
      <xdr:rowOff>21166</xdr:rowOff>
    </xdr:to>
    <xdr:cxnSp macro="">
      <xdr:nvCxnSpPr>
        <xdr:cNvPr id="3157" name="Straight Arrow Connector 3156">
          <a:extLst>
            <a:ext uri="{FF2B5EF4-FFF2-40B4-BE49-F238E27FC236}">
              <a16:creationId xmlns:a16="http://schemas.microsoft.com/office/drawing/2014/main" id="{00000000-0008-0000-1200-0000550C0000}"/>
            </a:ext>
          </a:extLst>
        </xdr:cNvPr>
        <xdr:cNvCxnSpPr/>
      </xdr:nvCxnSpPr>
      <xdr:spPr>
        <a:xfrm flipV="1">
          <a:off x="6688667" y="23188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1035</xdr:row>
      <xdr:rowOff>0</xdr:rowOff>
    </xdr:from>
    <xdr:to>
      <xdr:col>9</xdr:col>
      <xdr:colOff>582083</xdr:colOff>
      <xdr:row>1043</xdr:row>
      <xdr:rowOff>10583</xdr:rowOff>
    </xdr:to>
    <xdr:cxnSp macro="">
      <xdr:nvCxnSpPr>
        <xdr:cNvPr id="3158" name="Straight Arrow Connector 3157">
          <a:extLst>
            <a:ext uri="{FF2B5EF4-FFF2-40B4-BE49-F238E27FC236}">
              <a16:creationId xmlns:a16="http://schemas.microsoft.com/office/drawing/2014/main" id="{00000000-0008-0000-1200-0000560C0000}"/>
            </a:ext>
          </a:extLst>
        </xdr:cNvPr>
        <xdr:cNvCxnSpPr/>
      </xdr:nvCxnSpPr>
      <xdr:spPr>
        <a:xfrm>
          <a:off x="6720417" y="24765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3159" name="Straight Arrow Connector 3158">
          <a:extLst>
            <a:ext uri="{FF2B5EF4-FFF2-40B4-BE49-F238E27FC236}">
              <a16:creationId xmlns:a16="http://schemas.microsoft.com/office/drawing/2014/main" id="{00000000-0008-0000-1200-0000570C0000}"/>
            </a:ext>
          </a:extLst>
        </xdr:cNvPr>
        <xdr:cNvCxnSpPr/>
      </xdr:nvCxnSpPr>
      <xdr:spPr>
        <a:xfrm flipV="1">
          <a:off x="7937500"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3160" name="Straight Arrow Connector 3159">
          <a:extLst>
            <a:ext uri="{FF2B5EF4-FFF2-40B4-BE49-F238E27FC236}">
              <a16:creationId xmlns:a16="http://schemas.microsoft.com/office/drawing/2014/main" id="{00000000-0008-0000-1200-0000580C0000}"/>
            </a:ext>
          </a:extLst>
        </xdr:cNvPr>
        <xdr:cNvCxnSpPr/>
      </xdr:nvCxnSpPr>
      <xdr:spPr>
        <a:xfrm>
          <a:off x="7926917"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3161" name="Straight Arrow Connector 3160">
          <a:extLst>
            <a:ext uri="{FF2B5EF4-FFF2-40B4-BE49-F238E27FC236}">
              <a16:creationId xmlns:a16="http://schemas.microsoft.com/office/drawing/2014/main" id="{00000000-0008-0000-1200-0000590C0000}"/>
            </a:ext>
          </a:extLst>
        </xdr:cNvPr>
        <xdr:cNvCxnSpPr/>
      </xdr:nvCxnSpPr>
      <xdr:spPr>
        <a:xfrm flipV="1">
          <a:off x="9133417" y="24976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3162" name="Straight Arrow Connector 3161">
          <a:extLst>
            <a:ext uri="{FF2B5EF4-FFF2-40B4-BE49-F238E27FC236}">
              <a16:creationId xmlns:a16="http://schemas.microsoft.com/office/drawing/2014/main" id="{00000000-0008-0000-1200-00005A0C0000}"/>
            </a:ext>
          </a:extLst>
        </xdr:cNvPr>
        <xdr:cNvCxnSpPr/>
      </xdr:nvCxnSpPr>
      <xdr:spPr>
        <a:xfrm>
          <a:off x="9122833" y="25929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3163" name="Straight Arrow Connector 3162">
          <a:extLst>
            <a:ext uri="{FF2B5EF4-FFF2-40B4-BE49-F238E27FC236}">
              <a16:creationId xmlns:a16="http://schemas.microsoft.com/office/drawing/2014/main" id="{00000000-0008-0000-1200-00005B0C0000}"/>
            </a:ext>
          </a:extLst>
        </xdr:cNvPr>
        <xdr:cNvCxnSpPr/>
      </xdr:nvCxnSpPr>
      <xdr:spPr>
        <a:xfrm flipV="1">
          <a:off x="952500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3164" name="Straight Arrow Connector 3163">
          <a:extLst>
            <a:ext uri="{FF2B5EF4-FFF2-40B4-BE49-F238E27FC236}">
              <a16:creationId xmlns:a16="http://schemas.microsoft.com/office/drawing/2014/main" id="{00000000-0008-0000-1200-00005C0C0000}"/>
            </a:ext>
          </a:extLst>
        </xdr:cNvPr>
        <xdr:cNvCxnSpPr/>
      </xdr:nvCxnSpPr>
      <xdr:spPr>
        <a:xfrm>
          <a:off x="9535583" y="29908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1028</xdr:row>
      <xdr:rowOff>0</xdr:rowOff>
    </xdr:from>
    <xdr:to>
      <xdr:col>15</xdr:col>
      <xdr:colOff>603250</xdr:colOff>
      <xdr:row>1033</xdr:row>
      <xdr:rowOff>31750</xdr:rowOff>
    </xdr:to>
    <xdr:cxnSp macro="">
      <xdr:nvCxnSpPr>
        <xdr:cNvPr id="3165" name="Straight Arrow Connector 3164">
          <a:extLst>
            <a:ext uri="{FF2B5EF4-FFF2-40B4-BE49-F238E27FC236}">
              <a16:creationId xmlns:a16="http://schemas.microsoft.com/office/drawing/2014/main" id="{00000000-0008-0000-1200-00005D0C0000}"/>
            </a:ext>
          </a:extLst>
        </xdr:cNvPr>
        <xdr:cNvCxnSpPr/>
      </xdr:nvCxnSpPr>
      <xdr:spPr>
        <a:xfrm flipV="1">
          <a:off x="11281833"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3166" name="Straight Arrow Connector 3165">
          <a:extLst>
            <a:ext uri="{FF2B5EF4-FFF2-40B4-BE49-F238E27FC236}">
              <a16:creationId xmlns:a16="http://schemas.microsoft.com/office/drawing/2014/main" id="{00000000-0008-0000-1200-00005E0C0000}"/>
            </a:ext>
          </a:extLst>
        </xdr:cNvPr>
        <xdr:cNvCxnSpPr/>
      </xdr:nvCxnSpPr>
      <xdr:spPr>
        <a:xfrm flipV="1">
          <a:off x="11324166"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3167" name="Straight Arrow Connector 3166">
          <a:extLst>
            <a:ext uri="{FF2B5EF4-FFF2-40B4-BE49-F238E27FC236}">
              <a16:creationId xmlns:a16="http://schemas.microsoft.com/office/drawing/2014/main" id="{00000000-0008-0000-1200-00005F0C0000}"/>
            </a:ext>
          </a:extLst>
        </xdr:cNvPr>
        <xdr:cNvCxnSpPr/>
      </xdr:nvCxnSpPr>
      <xdr:spPr>
        <a:xfrm>
          <a:off x="11345333"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3168" name="Straight Arrow Connector 3167">
          <a:extLst>
            <a:ext uri="{FF2B5EF4-FFF2-40B4-BE49-F238E27FC236}">
              <a16:creationId xmlns:a16="http://schemas.microsoft.com/office/drawing/2014/main" id="{00000000-0008-0000-1200-0000600C0000}"/>
            </a:ext>
          </a:extLst>
        </xdr:cNvPr>
        <xdr:cNvCxnSpPr/>
      </xdr:nvCxnSpPr>
      <xdr:spPr>
        <a:xfrm>
          <a:off x="11260667" y="24489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1041</xdr:row>
      <xdr:rowOff>52916</xdr:rowOff>
    </xdr:from>
    <xdr:to>
      <xdr:col>16</xdr:col>
      <xdr:colOff>0</xdr:colOff>
      <xdr:row>1043</xdr:row>
      <xdr:rowOff>0</xdr:rowOff>
    </xdr:to>
    <xdr:cxnSp macro="">
      <xdr:nvCxnSpPr>
        <xdr:cNvPr id="3169" name="Straight Arrow Connector 3168">
          <a:extLst>
            <a:ext uri="{FF2B5EF4-FFF2-40B4-BE49-F238E27FC236}">
              <a16:creationId xmlns:a16="http://schemas.microsoft.com/office/drawing/2014/main" id="{00000000-0008-0000-1200-0000610C0000}"/>
            </a:ext>
          </a:extLst>
        </xdr:cNvPr>
        <xdr:cNvCxnSpPr/>
      </xdr:nvCxnSpPr>
      <xdr:spPr>
        <a:xfrm flipV="1">
          <a:off x="11281833" y="25960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3170" name="Straight Arrow Connector 3169">
          <a:extLst>
            <a:ext uri="{FF2B5EF4-FFF2-40B4-BE49-F238E27FC236}">
              <a16:creationId xmlns:a16="http://schemas.microsoft.com/office/drawing/2014/main" id="{00000000-0008-0000-1200-0000620C0000}"/>
            </a:ext>
          </a:extLst>
        </xdr:cNvPr>
        <xdr:cNvCxnSpPr/>
      </xdr:nvCxnSpPr>
      <xdr:spPr>
        <a:xfrm>
          <a:off x="11292416"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3171" name="Straight Arrow Connector 3170">
          <a:extLst>
            <a:ext uri="{FF2B5EF4-FFF2-40B4-BE49-F238E27FC236}">
              <a16:creationId xmlns:a16="http://schemas.microsoft.com/office/drawing/2014/main" id="{00000000-0008-0000-1200-0000630C0000}"/>
            </a:ext>
          </a:extLst>
        </xdr:cNvPr>
        <xdr:cNvCxnSpPr/>
      </xdr:nvCxnSpPr>
      <xdr:spPr>
        <a:xfrm>
          <a:off x="11271250" y="26310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1043</xdr:row>
      <xdr:rowOff>31750</xdr:rowOff>
    </xdr:from>
    <xdr:to>
      <xdr:col>16</xdr:col>
      <xdr:colOff>42334</xdr:colOff>
      <xdr:row>1050</xdr:row>
      <xdr:rowOff>63501</xdr:rowOff>
    </xdr:to>
    <xdr:cxnSp macro="">
      <xdr:nvCxnSpPr>
        <xdr:cNvPr id="3172" name="Straight Arrow Connector 3171">
          <a:extLst>
            <a:ext uri="{FF2B5EF4-FFF2-40B4-BE49-F238E27FC236}">
              <a16:creationId xmlns:a16="http://schemas.microsoft.com/office/drawing/2014/main" id="{00000000-0008-0000-1200-0000640C0000}"/>
            </a:ext>
          </a:extLst>
        </xdr:cNvPr>
        <xdr:cNvCxnSpPr/>
      </xdr:nvCxnSpPr>
      <xdr:spPr>
        <a:xfrm>
          <a:off x="11281833" y="263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1080</xdr:row>
      <xdr:rowOff>42333</xdr:rowOff>
    </xdr:from>
    <xdr:to>
      <xdr:col>9</xdr:col>
      <xdr:colOff>592666</xdr:colOff>
      <xdr:row>1088</xdr:row>
      <xdr:rowOff>42333</xdr:rowOff>
    </xdr:to>
    <xdr:cxnSp macro="">
      <xdr:nvCxnSpPr>
        <xdr:cNvPr id="3173" name="Straight Arrow Connector 3172">
          <a:extLst>
            <a:ext uri="{FF2B5EF4-FFF2-40B4-BE49-F238E27FC236}">
              <a16:creationId xmlns:a16="http://schemas.microsoft.com/office/drawing/2014/main" id="{00000000-0008-0000-1200-0000650C0000}"/>
            </a:ext>
          </a:extLst>
        </xdr:cNvPr>
        <xdr:cNvCxnSpPr/>
      </xdr:nvCxnSpPr>
      <xdr:spPr>
        <a:xfrm flipV="1">
          <a:off x="6699250" y="33570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1090</xdr:row>
      <xdr:rowOff>169334</xdr:rowOff>
    </xdr:from>
    <xdr:to>
      <xdr:col>9</xdr:col>
      <xdr:colOff>603250</xdr:colOff>
      <xdr:row>1099</xdr:row>
      <xdr:rowOff>31750</xdr:rowOff>
    </xdr:to>
    <xdr:cxnSp macro="">
      <xdr:nvCxnSpPr>
        <xdr:cNvPr id="3174" name="Straight Arrow Connector 3173">
          <a:extLst>
            <a:ext uri="{FF2B5EF4-FFF2-40B4-BE49-F238E27FC236}">
              <a16:creationId xmlns:a16="http://schemas.microsoft.com/office/drawing/2014/main" id="{00000000-0008-0000-1200-0000660C0000}"/>
            </a:ext>
          </a:extLst>
        </xdr:cNvPr>
        <xdr:cNvCxnSpPr/>
      </xdr:nvCxnSpPr>
      <xdr:spPr>
        <a:xfrm>
          <a:off x="6720417" y="35602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3175" name="Straight Arrow Connector 3174">
          <a:extLst>
            <a:ext uri="{FF2B5EF4-FFF2-40B4-BE49-F238E27FC236}">
              <a16:creationId xmlns:a16="http://schemas.microsoft.com/office/drawing/2014/main" id="{00000000-0008-0000-1200-0000670C0000}"/>
            </a:ext>
          </a:extLst>
        </xdr:cNvPr>
        <xdr:cNvCxnSpPr/>
      </xdr:nvCxnSpPr>
      <xdr:spPr>
        <a:xfrm flipV="1">
          <a:off x="7874000" y="36734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3176" name="Straight Arrow Connector 3175">
          <a:extLst>
            <a:ext uri="{FF2B5EF4-FFF2-40B4-BE49-F238E27FC236}">
              <a16:creationId xmlns:a16="http://schemas.microsoft.com/office/drawing/2014/main" id="{00000000-0008-0000-1200-0000680C0000}"/>
            </a:ext>
          </a:extLst>
        </xdr:cNvPr>
        <xdr:cNvCxnSpPr/>
      </xdr:nvCxnSpPr>
      <xdr:spPr>
        <a:xfrm flipV="1">
          <a:off x="11271250"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3177" name="Straight Arrow Connector 3176">
          <a:extLst>
            <a:ext uri="{FF2B5EF4-FFF2-40B4-BE49-F238E27FC236}">
              <a16:creationId xmlns:a16="http://schemas.microsoft.com/office/drawing/2014/main" id="{00000000-0008-0000-1200-0000690C0000}"/>
            </a:ext>
          </a:extLst>
        </xdr:cNvPr>
        <xdr:cNvCxnSpPr/>
      </xdr:nvCxnSpPr>
      <xdr:spPr>
        <a:xfrm>
          <a:off x="11313583"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3178" name="Straight Arrow Connector 3177">
          <a:extLst>
            <a:ext uri="{FF2B5EF4-FFF2-40B4-BE49-F238E27FC236}">
              <a16:creationId xmlns:a16="http://schemas.microsoft.com/office/drawing/2014/main" id="{00000000-0008-0000-1200-00006A0C0000}"/>
            </a:ext>
          </a:extLst>
        </xdr:cNvPr>
        <xdr:cNvCxnSpPr/>
      </xdr:nvCxnSpPr>
      <xdr:spPr>
        <a:xfrm>
          <a:off x="11292416"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3179" name="Straight Arrow Connector 3178">
          <a:extLst>
            <a:ext uri="{FF2B5EF4-FFF2-40B4-BE49-F238E27FC236}">
              <a16:creationId xmlns:a16="http://schemas.microsoft.com/office/drawing/2014/main" id="{00000000-0008-0000-1200-00006B0C0000}"/>
            </a:ext>
          </a:extLst>
        </xdr:cNvPr>
        <xdr:cNvCxnSpPr/>
      </xdr:nvCxnSpPr>
      <xdr:spPr>
        <a:xfrm>
          <a:off x="11324166" y="28987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3180" name="Straight Arrow Connector 3179">
          <a:extLst>
            <a:ext uri="{FF2B5EF4-FFF2-40B4-BE49-F238E27FC236}">
              <a16:creationId xmlns:a16="http://schemas.microsoft.com/office/drawing/2014/main" id="{00000000-0008-0000-1200-00006C0C0000}"/>
            </a:ext>
          </a:extLst>
        </xdr:cNvPr>
        <xdr:cNvCxnSpPr/>
      </xdr:nvCxnSpPr>
      <xdr:spPr>
        <a:xfrm>
          <a:off x="11302999" y="31623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3181" name="Straight Arrow Connector 3180">
          <a:extLst>
            <a:ext uri="{FF2B5EF4-FFF2-40B4-BE49-F238E27FC236}">
              <a16:creationId xmlns:a16="http://schemas.microsoft.com/office/drawing/2014/main" id="{00000000-0008-0000-1200-00006D0C0000}"/>
            </a:ext>
          </a:extLst>
        </xdr:cNvPr>
        <xdr:cNvCxnSpPr/>
      </xdr:nvCxnSpPr>
      <xdr:spPr>
        <a:xfrm>
          <a:off x="11355916"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3182" name="Straight Arrow Connector 3181">
          <a:extLst>
            <a:ext uri="{FF2B5EF4-FFF2-40B4-BE49-F238E27FC236}">
              <a16:creationId xmlns:a16="http://schemas.microsoft.com/office/drawing/2014/main" id="{00000000-0008-0000-1200-00006E0C0000}"/>
            </a:ext>
          </a:extLst>
        </xdr:cNvPr>
        <xdr:cNvCxnSpPr/>
      </xdr:nvCxnSpPr>
      <xdr:spPr>
        <a:xfrm>
          <a:off x="11313583"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3183" name="Straight Arrow Connector 3182">
          <a:extLst>
            <a:ext uri="{FF2B5EF4-FFF2-40B4-BE49-F238E27FC236}">
              <a16:creationId xmlns:a16="http://schemas.microsoft.com/office/drawing/2014/main" id="{00000000-0008-0000-1200-00006F0C0000}"/>
            </a:ext>
          </a:extLst>
        </xdr:cNvPr>
        <xdr:cNvCxnSpPr/>
      </xdr:nvCxnSpPr>
      <xdr:spPr>
        <a:xfrm flipV="1">
          <a:off x="11302999"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3184" name="Straight Arrow Connector 3183">
          <a:extLst>
            <a:ext uri="{FF2B5EF4-FFF2-40B4-BE49-F238E27FC236}">
              <a16:creationId xmlns:a16="http://schemas.microsoft.com/office/drawing/2014/main" id="{00000000-0008-0000-1200-0000700C0000}"/>
            </a:ext>
          </a:extLst>
        </xdr:cNvPr>
        <xdr:cNvCxnSpPr/>
      </xdr:nvCxnSpPr>
      <xdr:spPr>
        <a:xfrm flipV="1">
          <a:off x="11345333"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3185" name="Straight Arrow Connector 3184">
          <a:extLst>
            <a:ext uri="{FF2B5EF4-FFF2-40B4-BE49-F238E27FC236}">
              <a16:creationId xmlns:a16="http://schemas.microsoft.com/office/drawing/2014/main" id="{00000000-0008-0000-1200-0000710C0000}"/>
            </a:ext>
          </a:extLst>
        </xdr:cNvPr>
        <xdr:cNvCxnSpPr/>
      </xdr:nvCxnSpPr>
      <xdr:spPr>
        <a:xfrm>
          <a:off x="11334749"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3186" name="Straight Arrow Connector 3185">
          <a:extLst>
            <a:ext uri="{FF2B5EF4-FFF2-40B4-BE49-F238E27FC236}">
              <a16:creationId xmlns:a16="http://schemas.microsoft.com/office/drawing/2014/main" id="{00000000-0008-0000-1200-0000720C0000}"/>
            </a:ext>
          </a:extLst>
        </xdr:cNvPr>
        <xdr:cNvCxnSpPr/>
      </xdr:nvCxnSpPr>
      <xdr:spPr>
        <a:xfrm>
          <a:off x="11313583" y="37263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3187" name="Straight Arrow Connector 3186">
          <a:extLst>
            <a:ext uri="{FF2B5EF4-FFF2-40B4-BE49-F238E27FC236}">
              <a16:creationId xmlns:a16="http://schemas.microsoft.com/office/drawing/2014/main" id="{00000000-0008-0000-1200-0000730C0000}"/>
            </a:ext>
          </a:extLst>
        </xdr:cNvPr>
        <xdr:cNvCxnSpPr/>
      </xdr:nvCxnSpPr>
      <xdr:spPr>
        <a:xfrm flipV="1">
          <a:off x="11324166"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3188" name="Straight Arrow Connector 3187">
          <a:extLst>
            <a:ext uri="{FF2B5EF4-FFF2-40B4-BE49-F238E27FC236}">
              <a16:creationId xmlns:a16="http://schemas.microsoft.com/office/drawing/2014/main" id="{00000000-0008-0000-1200-0000740C0000}"/>
            </a:ext>
          </a:extLst>
        </xdr:cNvPr>
        <xdr:cNvCxnSpPr/>
      </xdr:nvCxnSpPr>
      <xdr:spPr>
        <a:xfrm>
          <a:off x="7926917"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3189" name="Straight Arrow Connector 3188">
          <a:extLst>
            <a:ext uri="{FF2B5EF4-FFF2-40B4-BE49-F238E27FC236}">
              <a16:creationId xmlns:a16="http://schemas.microsoft.com/office/drawing/2014/main" id="{00000000-0008-0000-1200-0000750C0000}"/>
            </a:ext>
          </a:extLst>
        </xdr:cNvPr>
        <xdr:cNvCxnSpPr/>
      </xdr:nvCxnSpPr>
      <xdr:spPr>
        <a:xfrm flipV="1">
          <a:off x="9133417" y="35835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3190" name="Straight Arrow Connector 3189">
          <a:extLst>
            <a:ext uri="{FF2B5EF4-FFF2-40B4-BE49-F238E27FC236}">
              <a16:creationId xmlns:a16="http://schemas.microsoft.com/office/drawing/2014/main" id="{00000000-0008-0000-1200-0000760C0000}"/>
            </a:ext>
          </a:extLst>
        </xdr:cNvPr>
        <xdr:cNvCxnSpPr/>
      </xdr:nvCxnSpPr>
      <xdr:spPr>
        <a:xfrm>
          <a:off x="9122833" y="36787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3191" name="Straight Arrow Connector 3190">
          <a:extLst>
            <a:ext uri="{FF2B5EF4-FFF2-40B4-BE49-F238E27FC236}">
              <a16:creationId xmlns:a16="http://schemas.microsoft.com/office/drawing/2014/main" id="{00000000-0008-0000-1200-0000770C0000}"/>
            </a:ext>
          </a:extLst>
        </xdr:cNvPr>
        <xdr:cNvCxnSpPr/>
      </xdr:nvCxnSpPr>
      <xdr:spPr>
        <a:xfrm flipV="1">
          <a:off x="952500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3192" name="Straight Arrow Connector 3191">
          <a:extLst>
            <a:ext uri="{FF2B5EF4-FFF2-40B4-BE49-F238E27FC236}">
              <a16:creationId xmlns:a16="http://schemas.microsoft.com/office/drawing/2014/main" id="{00000000-0008-0000-1200-0000780C0000}"/>
            </a:ext>
          </a:extLst>
        </xdr:cNvPr>
        <xdr:cNvCxnSpPr/>
      </xdr:nvCxnSpPr>
      <xdr:spPr>
        <a:xfrm>
          <a:off x="9535583" y="40767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3193" name="Straight Arrow Connector 3192">
          <a:extLst>
            <a:ext uri="{FF2B5EF4-FFF2-40B4-BE49-F238E27FC236}">
              <a16:creationId xmlns:a16="http://schemas.microsoft.com/office/drawing/2014/main" id="{00000000-0008-0000-1200-0000790C0000}"/>
            </a:ext>
          </a:extLst>
        </xdr:cNvPr>
        <xdr:cNvCxnSpPr/>
      </xdr:nvCxnSpPr>
      <xdr:spPr>
        <a:xfrm>
          <a:off x="11334749"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1097</xdr:row>
      <xdr:rowOff>52916</xdr:rowOff>
    </xdr:from>
    <xdr:to>
      <xdr:col>16</xdr:col>
      <xdr:colOff>0</xdr:colOff>
      <xdr:row>1099</xdr:row>
      <xdr:rowOff>0</xdr:rowOff>
    </xdr:to>
    <xdr:cxnSp macro="">
      <xdr:nvCxnSpPr>
        <xdr:cNvPr id="3194" name="Straight Arrow Connector 3193">
          <a:extLst>
            <a:ext uri="{FF2B5EF4-FFF2-40B4-BE49-F238E27FC236}">
              <a16:creationId xmlns:a16="http://schemas.microsoft.com/office/drawing/2014/main" id="{00000000-0008-0000-1200-00007A0C0000}"/>
            </a:ext>
          </a:extLst>
        </xdr:cNvPr>
        <xdr:cNvCxnSpPr/>
      </xdr:nvCxnSpPr>
      <xdr:spPr>
        <a:xfrm flipV="1">
          <a:off x="11281833" y="36819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3195" name="Straight Arrow Connector 3194">
          <a:extLst>
            <a:ext uri="{FF2B5EF4-FFF2-40B4-BE49-F238E27FC236}">
              <a16:creationId xmlns:a16="http://schemas.microsoft.com/office/drawing/2014/main" id="{00000000-0008-0000-1200-00007B0C0000}"/>
            </a:ext>
          </a:extLst>
        </xdr:cNvPr>
        <xdr:cNvCxnSpPr/>
      </xdr:nvCxnSpPr>
      <xdr:spPr>
        <a:xfrm>
          <a:off x="11271250"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3196" name="Straight Arrow Connector 3195">
          <a:extLst>
            <a:ext uri="{FF2B5EF4-FFF2-40B4-BE49-F238E27FC236}">
              <a16:creationId xmlns:a16="http://schemas.microsoft.com/office/drawing/2014/main" id="{00000000-0008-0000-1200-00007C0C0000}"/>
            </a:ext>
          </a:extLst>
        </xdr:cNvPr>
        <xdr:cNvCxnSpPr/>
      </xdr:nvCxnSpPr>
      <xdr:spPr>
        <a:xfrm>
          <a:off x="11271250" y="37147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3197" name="Straight Arrow Connector 3196">
          <a:extLst>
            <a:ext uri="{FF2B5EF4-FFF2-40B4-BE49-F238E27FC236}">
              <a16:creationId xmlns:a16="http://schemas.microsoft.com/office/drawing/2014/main" id="{00000000-0008-0000-1200-00007D0C0000}"/>
            </a:ext>
          </a:extLst>
        </xdr:cNvPr>
        <xdr:cNvCxnSpPr/>
      </xdr:nvCxnSpPr>
      <xdr:spPr>
        <a:xfrm flipV="1">
          <a:off x="11271250"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3198" name="Straight Arrow Connector 3197">
          <a:extLst>
            <a:ext uri="{FF2B5EF4-FFF2-40B4-BE49-F238E27FC236}">
              <a16:creationId xmlns:a16="http://schemas.microsoft.com/office/drawing/2014/main" id="{00000000-0008-0000-1200-00007E0C0000}"/>
            </a:ext>
          </a:extLst>
        </xdr:cNvPr>
        <xdr:cNvCxnSpPr/>
      </xdr:nvCxnSpPr>
      <xdr:spPr>
        <a:xfrm>
          <a:off x="11313583"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3199" name="Straight Arrow Connector 3198">
          <a:extLst>
            <a:ext uri="{FF2B5EF4-FFF2-40B4-BE49-F238E27FC236}">
              <a16:creationId xmlns:a16="http://schemas.microsoft.com/office/drawing/2014/main" id="{00000000-0008-0000-1200-00007F0C0000}"/>
            </a:ext>
          </a:extLst>
        </xdr:cNvPr>
        <xdr:cNvCxnSpPr/>
      </xdr:nvCxnSpPr>
      <xdr:spPr>
        <a:xfrm>
          <a:off x="11292416"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3200" name="Straight Arrow Connector 3199">
          <a:extLst>
            <a:ext uri="{FF2B5EF4-FFF2-40B4-BE49-F238E27FC236}">
              <a16:creationId xmlns:a16="http://schemas.microsoft.com/office/drawing/2014/main" id="{00000000-0008-0000-1200-0000800C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3201" name="Straight Arrow Connector 3200">
          <a:extLst>
            <a:ext uri="{FF2B5EF4-FFF2-40B4-BE49-F238E27FC236}">
              <a16:creationId xmlns:a16="http://schemas.microsoft.com/office/drawing/2014/main" id="{00000000-0008-0000-1200-0000810C0000}"/>
            </a:ext>
          </a:extLst>
        </xdr:cNvPr>
        <xdr:cNvCxnSpPr/>
      </xdr:nvCxnSpPr>
      <xdr:spPr>
        <a:xfrm>
          <a:off x="11302999" y="42481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3202" name="Straight Arrow Connector 3201">
          <a:extLst>
            <a:ext uri="{FF2B5EF4-FFF2-40B4-BE49-F238E27FC236}">
              <a16:creationId xmlns:a16="http://schemas.microsoft.com/office/drawing/2014/main" id="{00000000-0008-0000-1200-0000820C0000}"/>
            </a:ext>
          </a:extLst>
        </xdr:cNvPr>
        <xdr:cNvCxnSpPr/>
      </xdr:nvCxnSpPr>
      <xdr:spPr>
        <a:xfrm>
          <a:off x="11355916"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3203" name="Straight Arrow Connector 3202">
          <a:extLst>
            <a:ext uri="{FF2B5EF4-FFF2-40B4-BE49-F238E27FC236}">
              <a16:creationId xmlns:a16="http://schemas.microsoft.com/office/drawing/2014/main" id="{00000000-0008-0000-1200-0000830C0000}"/>
            </a:ext>
          </a:extLst>
        </xdr:cNvPr>
        <xdr:cNvCxnSpPr/>
      </xdr:nvCxnSpPr>
      <xdr:spPr>
        <a:xfrm>
          <a:off x="11313583"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3204" name="Straight Arrow Connector 3203">
          <a:extLst>
            <a:ext uri="{FF2B5EF4-FFF2-40B4-BE49-F238E27FC236}">
              <a16:creationId xmlns:a16="http://schemas.microsoft.com/office/drawing/2014/main" id="{00000000-0008-0000-1200-0000840C0000}"/>
            </a:ext>
          </a:extLst>
        </xdr:cNvPr>
        <xdr:cNvCxnSpPr/>
      </xdr:nvCxnSpPr>
      <xdr:spPr>
        <a:xfrm flipV="1">
          <a:off x="11324166"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1034</xdr:row>
      <xdr:rowOff>127000</xdr:rowOff>
    </xdr:from>
    <xdr:to>
      <xdr:col>8</xdr:col>
      <xdr:colOff>63500</xdr:colOff>
      <xdr:row>1053</xdr:row>
      <xdr:rowOff>0</xdr:rowOff>
    </xdr:to>
    <xdr:cxnSp macro="">
      <xdr:nvCxnSpPr>
        <xdr:cNvPr id="3205" name="Straight Arrow Connector 3204">
          <a:extLst>
            <a:ext uri="{FF2B5EF4-FFF2-40B4-BE49-F238E27FC236}">
              <a16:creationId xmlns:a16="http://schemas.microsoft.com/office/drawing/2014/main" id="{00000000-0008-0000-1200-0000850C0000}"/>
            </a:ext>
          </a:extLst>
        </xdr:cNvPr>
        <xdr:cNvCxnSpPr/>
      </xdr:nvCxnSpPr>
      <xdr:spPr>
        <a:xfrm flipV="1">
          <a:off x="5492750" y="247015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1171</xdr:row>
      <xdr:rowOff>1</xdr:rowOff>
    </xdr:from>
    <xdr:to>
      <xdr:col>6</xdr:col>
      <xdr:colOff>0</xdr:colOff>
      <xdr:row>1205</xdr:row>
      <xdr:rowOff>116417</xdr:rowOff>
    </xdr:to>
    <xdr:cxnSp macro="">
      <xdr:nvCxnSpPr>
        <xdr:cNvPr id="3206" name="Straight Arrow Connector 3205">
          <a:extLst>
            <a:ext uri="{FF2B5EF4-FFF2-40B4-BE49-F238E27FC236}">
              <a16:creationId xmlns:a16="http://schemas.microsoft.com/office/drawing/2014/main" id="{00000000-0008-0000-1200-0000860C0000}"/>
            </a:ext>
          </a:extLst>
        </xdr:cNvPr>
        <xdr:cNvCxnSpPr/>
      </xdr:nvCxnSpPr>
      <xdr:spPr>
        <a:xfrm flipV="1">
          <a:off x="3810000" y="512445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1208</xdr:row>
      <xdr:rowOff>169334</xdr:rowOff>
    </xdr:from>
    <xdr:to>
      <xdr:col>5</xdr:col>
      <xdr:colOff>571500</xdr:colOff>
      <xdr:row>1277</xdr:row>
      <xdr:rowOff>0</xdr:rowOff>
    </xdr:to>
    <xdr:cxnSp macro="">
      <xdr:nvCxnSpPr>
        <xdr:cNvPr id="3207" name="Straight Arrow Connector 3206">
          <a:extLst>
            <a:ext uri="{FF2B5EF4-FFF2-40B4-BE49-F238E27FC236}">
              <a16:creationId xmlns:a16="http://schemas.microsoft.com/office/drawing/2014/main" id="{00000000-0008-0000-1200-0000870C0000}"/>
            </a:ext>
          </a:extLst>
        </xdr:cNvPr>
        <xdr:cNvCxnSpPr/>
      </xdr:nvCxnSpPr>
      <xdr:spPr>
        <a:xfrm>
          <a:off x="3894667" y="584623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1146</xdr:row>
      <xdr:rowOff>148167</xdr:rowOff>
    </xdr:from>
    <xdr:to>
      <xdr:col>7</xdr:col>
      <xdr:colOff>603250</xdr:colOff>
      <xdr:row>1168</xdr:row>
      <xdr:rowOff>31750</xdr:rowOff>
    </xdr:to>
    <xdr:cxnSp macro="">
      <xdr:nvCxnSpPr>
        <xdr:cNvPr id="3208" name="Straight Arrow Connector 3207">
          <a:extLst>
            <a:ext uri="{FF2B5EF4-FFF2-40B4-BE49-F238E27FC236}">
              <a16:creationId xmlns:a16="http://schemas.microsoft.com/office/drawing/2014/main" id="{00000000-0008-0000-1200-0000880C0000}"/>
            </a:ext>
          </a:extLst>
        </xdr:cNvPr>
        <xdr:cNvCxnSpPr/>
      </xdr:nvCxnSpPr>
      <xdr:spPr>
        <a:xfrm flipV="1">
          <a:off x="5461000" y="464396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1171</xdr:row>
      <xdr:rowOff>10584</xdr:rowOff>
    </xdr:from>
    <xdr:to>
      <xdr:col>8</xdr:col>
      <xdr:colOff>21167</xdr:colOff>
      <xdr:row>1199</xdr:row>
      <xdr:rowOff>148166</xdr:rowOff>
    </xdr:to>
    <xdr:cxnSp macro="">
      <xdr:nvCxnSpPr>
        <xdr:cNvPr id="3209" name="Straight Arrow Connector 3208">
          <a:extLst>
            <a:ext uri="{FF2B5EF4-FFF2-40B4-BE49-F238E27FC236}">
              <a16:creationId xmlns:a16="http://schemas.microsoft.com/office/drawing/2014/main" id="{00000000-0008-0000-1200-0000890C0000}"/>
            </a:ext>
          </a:extLst>
        </xdr:cNvPr>
        <xdr:cNvCxnSpPr/>
      </xdr:nvCxnSpPr>
      <xdr:spPr>
        <a:xfrm>
          <a:off x="5461000" y="512550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1138</xdr:row>
      <xdr:rowOff>137583</xdr:rowOff>
    </xdr:from>
    <xdr:to>
      <xdr:col>9</xdr:col>
      <xdr:colOff>603250</xdr:colOff>
      <xdr:row>1144</xdr:row>
      <xdr:rowOff>21166</xdr:rowOff>
    </xdr:to>
    <xdr:cxnSp macro="">
      <xdr:nvCxnSpPr>
        <xdr:cNvPr id="3210" name="Straight Arrow Connector 3209">
          <a:extLst>
            <a:ext uri="{FF2B5EF4-FFF2-40B4-BE49-F238E27FC236}">
              <a16:creationId xmlns:a16="http://schemas.microsoft.com/office/drawing/2014/main" id="{00000000-0008-0000-1200-00008A0C0000}"/>
            </a:ext>
          </a:extLst>
        </xdr:cNvPr>
        <xdr:cNvCxnSpPr/>
      </xdr:nvCxnSpPr>
      <xdr:spPr>
        <a:xfrm flipV="1">
          <a:off x="6688667" y="44905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1147</xdr:row>
      <xdr:rowOff>0</xdr:rowOff>
    </xdr:from>
    <xdr:to>
      <xdr:col>9</xdr:col>
      <xdr:colOff>582083</xdr:colOff>
      <xdr:row>1155</xdr:row>
      <xdr:rowOff>10583</xdr:rowOff>
    </xdr:to>
    <xdr:cxnSp macro="">
      <xdr:nvCxnSpPr>
        <xdr:cNvPr id="3211" name="Straight Arrow Connector 3210">
          <a:extLst>
            <a:ext uri="{FF2B5EF4-FFF2-40B4-BE49-F238E27FC236}">
              <a16:creationId xmlns:a16="http://schemas.microsoft.com/office/drawing/2014/main" id="{00000000-0008-0000-1200-00008B0C0000}"/>
            </a:ext>
          </a:extLst>
        </xdr:cNvPr>
        <xdr:cNvCxnSpPr/>
      </xdr:nvCxnSpPr>
      <xdr:spPr>
        <a:xfrm>
          <a:off x="6720417" y="46482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1152</xdr:row>
      <xdr:rowOff>169333</xdr:rowOff>
    </xdr:from>
    <xdr:to>
      <xdr:col>11</xdr:col>
      <xdr:colOff>603250</xdr:colOff>
      <xdr:row>1155</xdr:row>
      <xdr:rowOff>21167</xdr:rowOff>
    </xdr:to>
    <xdr:cxnSp macro="">
      <xdr:nvCxnSpPr>
        <xdr:cNvPr id="3212" name="Straight Arrow Connector 3211">
          <a:extLst>
            <a:ext uri="{FF2B5EF4-FFF2-40B4-BE49-F238E27FC236}">
              <a16:creationId xmlns:a16="http://schemas.microsoft.com/office/drawing/2014/main" id="{00000000-0008-0000-1200-00008C0C0000}"/>
            </a:ext>
          </a:extLst>
        </xdr:cNvPr>
        <xdr:cNvCxnSpPr/>
      </xdr:nvCxnSpPr>
      <xdr:spPr>
        <a:xfrm flipV="1">
          <a:off x="7937500" y="47603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1158</xdr:row>
      <xdr:rowOff>42333</xdr:rowOff>
    </xdr:from>
    <xdr:to>
      <xdr:col>11</xdr:col>
      <xdr:colOff>603250</xdr:colOff>
      <xdr:row>1170</xdr:row>
      <xdr:rowOff>10583</xdr:rowOff>
    </xdr:to>
    <xdr:cxnSp macro="">
      <xdr:nvCxnSpPr>
        <xdr:cNvPr id="3213" name="Straight Arrow Connector 3212">
          <a:extLst>
            <a:ext uri="{FF2B5EF4-FFF2-40B4-BE49-F238E27FC236}">
              <a16:creationId xmlns:a16="http://schemas.microsoft.com/office/drawing/2014/main" id="{00000000-0008-0000-1200-00008D0C0000}"/>
            </a:ext>
          </a:extLst>
        </xdr:cNvPr>
        <xdr:cNvCxnSpPr/>
      </xdr:nvCxnSpPr>
      <xdr:spPr>
        <a:xfrm>
          <a:off x="7926917" y="48619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1148</xdr:row>
      <xdr:rowOff>21167</xdr:rowOff>
    </xdr:from>
    <xdr:to>
      <xdr:col>13</xdr:col>
      <xdr:colOff>592667</xdr:colOff>
      <xdr:row>1150</xdr:row>
      <xdr:rowOff>0</xdr:rowOff>
    </xdr:to>
    <xdr:cxnSp macro="">
      <xdr:nvCxnSpPr>
        <xdr:cNvPr id="3214" name="Straight Arrow Connector 3213">
          <a:extLst>
            <a:ext uri="{FF2B5EF4-FFF2-40B4-BE49-F238E27FC236}">
              <a16:creationId xmlns:a16="http://schemas.microsoft.com/office/drawing/2014/main" id="{00000000-0008-0000-1200-00008E0C0000}"/>
            </a:ext>
          </a:extLst>
        </xdr:cNvPr>
        <xdr:cNvCxnSpPr/>
      </xdr:nvCxnSpPr>
      <xdr:spPr>
        <a:xfrm flipV="1">
          <a:off x="9133417" y="46693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1153</xdr:row>
      <xdr:rowOff>21166</xdr:rowOff>
    </xdr:from>
    <xdr:to>
      <xdr:col>13</xdr:col>
      <xdr:colOff>592667</xdr:colOff>
      <xdr:row>1154</xdr:row>
      <xdr:rowOff>169334</xdr:rowOff>
    </xdr:to>
    <xdr:cxnSp macro="">
      <xdr:nvCxnSpPr>
        <xdr:cNvPr id="3215" name="Straight Arrow Connector 3214">
          <a:extLst>
            <a:ext uri="{FF2B5EF4-FFF2-40B4-BE49-F238E27FC236}">
              <a16:creationId xmlns:a16="http://schemas.microsoft.com/office/drawing/2014/main" id="{00000000-0008-0000-1200-00008F0C0000}"/>
            </a:ext>
          </a:extLst>
        </xdr:cNvPr>
        <xdr:cNvCxnSpPr/>
      </xdr:nvCxnSpPr>
      <xdr:spPr>
        <a:xfrm>
          <a:off x="9122833" y="47646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1168</xdr:row>
      <xdr:rowOff>21167</xdr:rowOff>
    </xdr:from>
    <xdr:to>
      <xdr:col>13</xdr:col>
      <xdr:colOff>592667</xdr:colOff>
      <xdr:row>1170</xdr:row>
      <xdr:rowOff>63500</xdr:rowOff>
    </xdr:to>
    <xdr:cxnSp macro="">
      <xdr:nvCxnSpPr>
        <xdr:cNvPr id="3216" name="Straight Arrow Connector 3215">
          <a:extLst>
            <a:ext uri="{FF2B5EF4-FFF2-40B4-BE49-F238E27FC236}">
              <a16:creationId xmlns:a16="http://schemas.microsoft.com/office/drawing/2014/main" id="{00000000-0008-0000-1200-0000900C0000}"/>
            </a:ext>
          </a:extLst>
        </xdr:cNvPr>
        <xdr:cNvCxnSpPr/>
      </xdr:nvCxnSpPr>
      <xdr:spPr>
        <a:xfrm flipV="1">
          <a:off x="9525000" y="50694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1173</xdr:row>
      <xdr:rowOff>0</xdr:rowOff>
    </xdr:from>
    <xdr:to>
      <xdr:col>14</xdr:col>
      <xdr:colOff>10584</xdr:colOff>
      <xdr:row>1181</xdr:row>
      <xdr:rowOff>148167</xdr:rowOff>
    </xdr:to>
    <xdr:cxnSp macro="">
      <xdr:nvCxnSpPr>
        <xdr:cNvPr id="3217" name="Straight Arrow Connector 3216">
          <a:extLst>
            <a:ext uri="{FF2B5EF4-FFF2-40B4-BE49-F238E27FC236}">
              <a16:creationId xmlns:a16="http://schemas.microsoft.com/office/drawing/2014/main" id="{00000000-0008-0000-1200-0000910C0000}"/>
            </a:ext>
          </a:extLst>
        </xdr:cNvPr>
        <xdr:cNvCxnSpPr/>
      </xdr:nvCxnSpPr>
      <xdr:spPr>
        <a:xfrm>
          <a:off x="9535583" y="51625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1140</xdr:row>
      <xdr:rowOff>0</xdr:rowOff>
    </xdr:from>
    <xdr:to>
      <xdr:col>15</xdr:col>
      <xdr:colOff>603250</xdr:colOff>
      <xdr:row>1145</xdr:row>
      <xdr:rowOff>31750</xdr:rowOff>
    </xdr:to>
    <xdr:cxnSp macro="">
      <xdr:nvCxnSpPr>
        <xdr:cNvPr id="3218" name="Straight Arrow Connector 3217">
          <a:extLst>
            <a:ext uri="{FF2B5EF4-FFF2-40B4-BE49-F238E27FC236}">
              <a16:creationId xmlns:a16="http://schemas.microsoft.com/office/drawing/2014/main" id="{00000000-0008-0000-1200-0000920C0000}"/>
            </a:ext>
          </a:extLst>
        </xdr:cNvPr>
        <xdr:cNvCxnSpPr/>
      </xdr:nvCxnSpPr>
      <xdr:spPr>
        <a:xfrm flipV="1">
          <a:off x="11281833" y="45148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1143</xdr:row>
      <xdr:rowOff>52917</xdr:rowOff>
    </xdr:from>
    <xdr:to>
      <xdr:col>15</xdr:col>
      <xdr:colOff>603250</xdr:colOff>
      <xdr:row>1145</xdr:row>
      <xdr:rowOff>95250</xdr:rowOff>
    </xdr:to>
    <xdr:cxnSp macro="">
      <xdr:nvCxnSpPr>
        <xdr:cNvPr id="3219" name="Straight Arrow Connector 3218">
          <a:extLst>
            <a:ext uri="{FF2B5EF4-FFF2-40B4-BE49-F238E27FC236}">
              <a16:creationId xmlns:a16="http://schemas.microsoft.com/office/drawing/2014/main" id="{00000000-0008-0000-1200-0000930C0000}"/>
            </a:ext>
          </a:extLst>
        </xdr:cNvPr>
        <xdr:cNvCxnSpPr/>
      </xdr:nvCxnSpPr>
      <xdr:spPr>
        <a:xfrm flipV="1">
          <a:off x="11324166" y="45772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1145</xdr:row>
      <xdr:rowOff>158750</xdr:rowOff>
    </xdr:from>
    <xdr:to>
      <xdr:col>15</xdr:col>
      <xdr:colOff>582083</xdr:colOff>
      <xdr:row>1146</xdr:row>
      <xdr:rowOff>137583</xdr:rowOff>
    </xdr:to>
    <xdr:cxnSp macro="">
      <xdr:nvCxnSpPr>
        <xdr:cNvPr id="3220" name="Straight Arrow Connector 3219">
          <a:extLst>
            <a:ext uri="{FF2B5EF4-FFF2-40B4-BE49-F238E27FC236}">
              <a16:creationId xmlns:a16="http://schemas.microsoft.com/office/drawing/2014/main" id="{00000000-0008-0000-1200-0000940C0000}"/>
            </a:ext>
          </a:extLst>
        </xdr:cNvPr>
        <xdr:cNvCxnSpPr/>
      </xdr:nvCxnSpPr>
      <xdr:spPr>
        <a:xfrm>
          <a:off x="11345333" y="46259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1145</xdr:row>
      <xdr:rowOff>105834</xdr:rowOff>
    </xdr:from>
    <xdr:to>
      <xdr:col>16</xdr:col>
      <xdr:colOff>0</xdr:colOff>
      <xdr:row>1149</xdr:row>
      <xdr:rowOff>84667</xdr:rowOff>
    </xdr:to>
    <xdr:cxnSp macro="">
      <xdr:nvCxnSpPr>
        <xdr:cNvPr id="3221" name="Straight Arrow Connector 3220">
          <a:extLst>
            <a:ext uri="{FF2B5EF4-FFF2-40B4-BE49-F238E27FC236}">
              <a16:creationId xmlns:a16="http://schemas.microsoft.com/office/drawing/2014/main" id="{00000000-0008-0000-1200-0000950C0000}"/>
            </a:ext>
          </a:extLst>
        </xdr:cNvPr>
        <xdr:cNvCxnSpPr/>
      </xdr:nvCxnSpPr>
      <xdr:spPr>
        <a:xfrm>
          <a:off x="11260667" y="46206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1153</xdr:row>
      <xdr:rowOff>52916</xdr:rowOff>
    </xdr:from>
    <xdr:to>
      <xdr:col>16</xdr:col>
      <xdr:colOff>0</xdr:colOff>
      <xdr:row>1155</xdr:row>
      <xdr:rowOff>0</xdr:rowOff>
    </xdr:to>
    <xdr:cxnSp macro="">
      <xdr:nvCxnSpPr>
        <xdr:cNvPr id="3222" name="Straight Arrow Connector 3221">
          <a:extLst>
            <a:ext uri="{FF2B5EF4-FFF2-40B4-BE49-F238E27FC236}">
              <a16:creationId xmlns:a16="http://schemas.microsoft.com/office/drawing/2014/main" id="{00000000-0008-0000-1200-0000960C0000}"/>
            </a:ext>
          </a:extLst>
        </xdr:cNvPr>
        <xdr:cNvCxnSpPr/>
      </xdr:nvCxnSpPr>
      <xdr:spPr>
        <a:xfrm flipV="1">
          <a:off x="11281833" y="47677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1155</xdr:row>
      <xdr:rowOff>21167</xdr:rowOff>
    </xdr:from>
    <xdr:to>
      <xdr:col>15</xdr:col>
      <xdr:colOff>582083</xdr:colOff>
      <xdr:row>1156</xdr:row>
      <xdr:rowOff>42333</xdr:rowOff>
    </xdr:to>
    <xdr:cxnSp macro="">
      <xdr:nvCxnSpPr>
        <xdr:cNvPr id="3223" name="Straight Arrow Connector 3222">
          <a:extLst>
            <a:ext uri="{FF2B5EF4-FFF2-40B4-BE49-F238E27FC236}">
              <a16:creationId xmlns:a16="http://schemas.microsoft.com/office/drawing/2014/main" id="{00000000-0008-0000-1200-0000970C0000}"/>
            </a:ext>
          </a:extLst>
        </xdr:cNvPr>
        <xdr:cNvCxnSpPr/>
      </xdr:nvCxnSpPr>
      <xdr:spPr>
        <a:xfrm>
          <a:off x="11292416" y="48027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1155</xdr:row>
      <xdr:rowOff>21167</xdr:rowOff>
    </xdr:from>
    <xdr:to>
      <xdr:col>16</xdr:col>
      <xdr:colOff>42333</xdr:colOff>
      <xdr:row>1160</xdr:row>
      <xdr:rowOff>21168</xdr:rowOff>
    </xdr:to>
    <xdr:cxnSp macro="">
      <xdr:nvCxnSpPr>
        <xdr:cNvPr id="3224" name="Straight Arrow Connector 3223">
          <a:extLst>
            <a:ext uri="{FF2B5EF4-FFF2-40B4-BE49-F238E27FC236}">
              <a16:creationId xmlns:a16="http://schemas.microsoft.com/office/drawing/2014/main" id="{00000000-0008-0000-1200-0000980C0000}"/>
            </a:ext>
          </a:extLst>
        </xdr:cNvPr>
        <xdr:cNvCxnSpPr/>
      </xdr:nvCxnSpPr>
      <xdr:spPr>
        <a:xfrm>
          <a:off x="11271250" y="48027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3225" name="Straight Arrow Connector 3224">
          <a:extLst>
            <a:ext uri="{FF2B5EF4-FFF2-40B4-BE49-F238E27FC236}">
              <a16:creationId xmlns:a16="http://schemas.microsoft.com/office/drawing/2014/main" id="{00000000-0008-0000-1200-0000990C0000}"/>
            </a:ext>
          </a:extLst>
        </xdr:cNvPr>
        <xdr:cNvCxnSpPr/>
      </xdr:nvCxnSpPr>
      <xdr:spPr>
        <a:xfrm>
          <a:off x="11281833" y="480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1192</xdr:row>
      <xdr:rowOff>42333</xdr:rowOff>
    </xdr:from>
    <xdr:to>
      <xdr:col>9</xdr:col>
      <xdr:colOff>592666</xdr:colOff>
      <xdr:row>1200</xdr:row>
      <xdr:rowOff>42333</xdr:rowOff>
    </xdr:to>
    <xdr:cxnSp macro="">
      <xdr:nvCxnSpPr>
        <xdr:cNvPr id="3226" name="Straight Arrow Connector 3225">
          <a:extLst>
            <a:ext uri="{FF2B5EF4-FFF2-40B4-BE49-F238E27FC236}">
              <a16:creationId xmlns:a16="http://schemas.microsoft.com/office/drawing/2014/main" id="{00000000-0008-0000-1200-00009A0C0000}"/>
            </a:ext>
          </a:extLst>
        </xdr:cNvPr>
        <xdr:cNvCxnSpPr/>
      </xdr:nvCxnSpPr>
      <xdr:spPr>
        <a:xfrm flipV="1">
          <a:off x="6699250" y="55287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1202</xdr:row>
      <xdr:rowOff>169334</xdr:rowOff>
    </xdr:from>
    <xdr:to>
      <xdr:col>9</xdr:col>
      <xdr:colOff>603250</xdr:colOff>
      <xdr:row>1211</xdr:row>
      <xdr:rowOff>31750</xdr:rowOff>
    </xdr:to>
    <xdr:cxnSp macro="">
      <xdr:nvCxnSpPr>
        <xdr:cNvPr id="3227" name="Straight Arrow Connector 3226">
          <a:extLst>
            <a:ext uri="{FF2B5EF4-FFF2-40B4-BE49-F238E27FC236}">
              <a16:creationId xmlns:a16="http://schemas.microsoft.com/office/drawing/2014/main" id="{00000000-0008-0000-1200-00009B0C0000}"/>
            </a:ext>
          </a:extLst>
        </xdr:cNvPr>
        <xdr:cNvCxnSpPr/>
      </xdr:nvCxnSpPr>
      <xdr:spPr>
        <a:xfrm>
          <a:off x="6720417" y="57319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1208</xdr:row>
      <xdr:rowOff>158750</xdr:rowOff>
    </xdr:from>
    <xdr:to>
      <xdr:col>11</xdr:col>
      <xdr:colOff>571500</xdr:colOff>
      <xdr:row>1211</xdr:row>
      <xdr:rowOff>0</xdr:rowOff>
    </xdr:to>
    <xdr:cxnSp macro="">
      <xdr:nvCxnSpPr>
        <xdr:cNvPr id="3228" name="Straight Arrow Connector 3227">
          <a:extLst>
            <a:ext uri="{FF2B5EF4-FFF2-40B4-BE49-F238E27FC236}">
              <a16:creationId xmlns:a16="http://schemas.microsoft.com/office/drawing/2014/main" id="{00000000-0008-0000-1200-00009C0C0000}"/>
            </a:ext>
          </a:extLst>
        </xdr:cNvPr>
        <xdr:cNvCxnSpPr/>
      </xdr:nvCxnSpPr>
      <xdr:spPr>
        <a:xfrm flipV="1">
          <a:off x="7874000" y="58451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1166</xdr:row>
      <xdr:rowOff>0</xdr:rowOff>
    </xdr:from>
    <xdr:to>
      <xdr:col>15</xdr:col>
      <xdr:colOff>603250</xdr:colOff>
      <xdr:row>1168</xdr:row>
      <xdr:rowOff>1</xdr:rowOff>
    </xdr:to>
    <xdr:cxnSp macro="">
      <xdr:nvCxnSpPr>
        <xdr:cNvPr id="3229" name="Straight Arrow Connector 3228">
          <a:extLst>
            <a:ext uri="{FF2B5EF4-FFF2-40B4-BE49-F238E27FC236}">
              <a16:creationId xmlns:a16="http://schemas.microsoft.com/office/drawing/2014/main" id="{00000000-0008-0000-1200-00009D0C0000}"/>
            </a:ext>
          </a:extLst>
        </xdr:cNvPr>
        <xdr:cNvCxnSpPr/>
      </xdr:nvCxnSpPr>
      <xdr:spPr>
        <a:xfrm flipV="1">
          <a:off x="11271250" y="50292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1168</xdr:row>
      <xdr:rowOff>10584</xdr:rowOff>
    </xdr:from>
    <xdr:to>
      <xdr:col>15</xdr:col>
      <xdr:colOff>592666</xdr:colOff>
      <xdr:row>1169</xdr:row>
      <xdr:rowOff>95250</xdr:rowOff>
    </xdr:to>
    <xdr:cxnSp macro="">
      <xdr:nvCxnSpPr>
        <xdr:cNvPr id="3230" name="Straight Arrow Connector 3229">
          <a:extLst>
            <a:ext uri="{FF2B5EF4-FFF2-40B4-BE49-F238E27FC236}">
              <a16:creationId xmlns:a16="http://schemas.microsoft.com/office/drawing/2014/main" id="{00000000-0008-0000-1200-00009E0C0000}"/>
            </a:ext>
          </a:extLst>
        </xdr:cNvPr>
        <xdr:cNvCxnSpPr/>
      </xdr:nvCxnSpPr>
      <xdr:spPr>
        <a:xfrm>
          <a:off x="11313583" y="50683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1168</xdr:row>
      <xdr:rowOff>10584</xdr:rowOff>
    </xdr:from>
    <xdr:to>
      <xdr:col>15</xdr:col>
      <xdr:colOff>560916</xdr:colOff>
      <xdr:row>1172</xdr:row>
      <xdr:rowOff>52917</xdr:rowOff>
    </xdr:to>
    <xdr:cxnSp macro="">
      <xdr:nvCxnSpPr>
        <xdr:cNvPr id="3231" name="Straight Arrow Connector 3230">
          <a:extLst>
            <a:ext uri="{FF2B5EF4-FFF2-40B4-BE49-F238E27FC236}">
              <a16:creationId xmlns:a16="http://schemas.microsoft.com/office/drawing/2014/main" id="{00000000-0008-0000-1200-00009F0C0000}"/>
            </a:ext>
          </a:extLst>
        </xdr:cNvPr>
        <xdr:cNvCxnSpPr/>
      </xdr:nvCxnSpPr>
      <xdr:spPr>
        <a:xfrm>
          <a:off x="11292416" y="50683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3232" name="Straight Arrow Connector 3231">
          <a:extLst>
            <a:ext uri="{FF2B5EF4-FFF2-40B4-BE49-F238E27FC236}">
              <a16:creationId xmlns:a16="http://schemas.microsoft.com/office/drawing/2014/main" id="{00000000-0008-0000-1200-0000A00C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1182</xdr:row>
      <xdr:rowOff>0</xdr:rowOff>
    </xdr:from>
    <xdr:to>
      <xdr:col>16</xdr:col>
      <xdr:colOff>0</xdr:colOff>
      <xdr:row>1182</xdr:row>
      <xdr:rowOff>42334</xdr:rowOff>
    </xdr:to>
    <xdr:cxnSp macro="">
      <xdr:nvCxnSpPr>
        <xdr:cNvPr id="3233" name="Straight Arrow Connector 3232">
          <a:extLst>
            <a:ext uri="{FF2B5EF4-FFF2-40B4-BE49-F238E27FC236}">
              <a16:creationId xmlns:a16="http://schemas.microsoft.com/office/drawing/2014/main" id="{00000000-0008-0000-1200-0000A10C0000}"/>
            </a:ext>
          </a:extLst>
        </xdr:cNvPr>
        <xdr:cNvCxnSpPr/>
      </xdr:nvCxnSpPr>
      <xdr:spPr>
        <a:xfrm>
          <a:off x="11302999" y="53340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1182</xdr:row>
      <xdr:rowOff>21166</xdr:rowOff>
    </xdr:from>
    <xdr:to>
      <xdr:col>15</xdr:col>
      <xdr:colOff>560916</xdr:colOff>
      <xdr:row>1185</xdr:row>
      <xdr:rowOff>84667</xdr:rowOff>
    </xdr:to>
    <xdr:cxnSp macro="">
      <xdr:nvCxnSpPr>
        <xdr:cNvPr id="3234" name="Straight Arrow Connector 3233">
          <a:extLst>
            <a:ext uri="{FF2B5EF4-FFF2-40B4-BE49-F238E27FC236}">
              <a16:creationId xmlns:a16="http://schemas.microsoft.com/office/drawing/2014/main" id="{00000000-0008-0000-1200-0000A20C0000}"/>
            </a:ext>
          </a:extLst>
        </xdr:cNvPr>
        <xdr:cNvCxnSpPr/>
      </xdr:nvCxnSpPr>
      <xdr:spPr>
        <a:xfrm>
          <a:off x="11355916" y="53361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1182</xdr:row>
      <xdr:rowOff>52916</xdr:rowOff>
    </xdr:from>
    <xdr:to>
      <xdr:col>15</xdr:col>
      <xdr:colOff>592666</xdr:colOff>
      <xdr:row>1188</xdr:row>
      <xdr:rowOff>63501</xdr:rowOff>
    </xdr:to>
    <xdr:cxnSp macro="">
      <xdr:nvCxnSpPr>
        <xdr:cNvPr id="3235" name="Straight Arrow Connector 3234">
          <a:extLst>
            <a:ext uri="{FF2B5EF4-FFF2-40B4-BE49-F238E27FC236}">
              <a16:creationId xmlns:a16="http://schemas.microsoft.com/office/drawing/2014/main" id="{00000000-0008-0000-1200-0000A30C0000}"/>
            </a:ext>
          </a:extLst>
        </xdr:cNvPr>
        <xdr:cNvCxnSpPr/>
      </xdr:nvCxnSpPr>
      <xdr:spPr>
        <a:xfrm>
          <a:off x="11313583" y="53392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1196</xdr:row>
      <xdr:rowOff>116416</xdr:rowOff>
    </xdr:from>
    <xdr:to>
      <xdr:col>15</xdr:col>
      <xdr:colOff>592666</xdr:colOff>
      <xdr:row>1199</xdr:row>
      <xdr:rowOff>158750</xdr:rowOff>
    </xdr:to>
    <xdr:cxnSp macro="">
      <xdr:nvCxnSpPr>
        <xdr:cNvPr id="3236" name="Straight Arrow Connector 3235">
          <a:extLst>
            <a:ext uri="{FF2B5EF4-FFF2-40B4-BE49-F238E27FC236}">
              <a16:creationId xmlns:a16="http://schemas.microsoft.com/office/drawing/2014/main" id="{00000000-0008-0000-1200-0000A40C0000}"/>
            </a:ext>
          </a:extLst>
        </xdr:cNvPr>
        <xdr:cNvCxnSpPr/>
      </xdr:nvCxnSpPr>
      <xdr:spPr>
        <a:xfrm flipV="1">
          <a:off x="11302999" y="56123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1198</xdr:row>
      <xdr:rowOff>95250</xdr:rowOff>
    </xdr:from>
    <xdr:to>
      <xdr:col>15</xdr:col>
      <xdr:colOff>582083</xdr:colOff>
      <xdr:row>1200</xdr:row>
      <xdr:rowOff>52917</xdr:rowOff>
    </xdr:to>
    <xdr:cxnSp macro="">
      <xdr:nvCxnSpPr>
        <xdr:cNvPr id="3237" name="Straight Arrow Connector 3236">
          <a:extLst>
            <a:ext uri="{FF2B5EF4-FFF2-40B4-BE49-F238E27FC236}">
              <a16:creationId xmlns:a16="http://schemas.microsoft.com/office/drawing/2014/main" id="{00000000-0008-0000-1200-0000A50C0000}"/>
            </a:ext>
          </a:extLst>
        </xdr:cNvPr>
        <xdr:cNvCxnSpPr/>
      </xdr:nvCxnSpPr>
      <xdr:spPr>
        <a:xfrm flipV="1">
          <a:off x="11345333" y="56483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116417</xdr:rowOff>
    </xdr:from>
    <xdr:to>
      <xdr:col>15</xdr:col>
      <xdr:colOff>592666</xdr:colOff>
      <xdr:row>1204</xdr:row>
      <xdr:rowOff>95250</xdr:rowOff>
    </xdr:to>
    <xdr:cxnSp macro="">
      <xdr:nvCxnSpPr>
        <xdr:cNvPr id="3238" name="Straight Arrow Connector 3237">
          <a:extLst>
            <a:ext uri="{FF2B5EF4-FFF2-40B4-BE49-F238E27FC236}">
              <a16:creationId xmlns:a16="http://schemas.microsoft.com/office/drawing/2014/main" id="{00000000-0008-0000-1200-0000A60C0000}"/>
            </a:ext>
          </a:extLst>
        </xdr:cNvPr>
        <xdr:cNvCxnSpPr/>
      </xdr:nvCxnSpPr>
      <xdr:spPr>
        <a:xfrm>
          <a:off x="11334749" y="56885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1211</xdr:row>
      <xdr:rowOff>116416</xdr:rowOff>
    </xdr:from>
    <xdr:to>
      <xdr:col>16</xdr:col>
      <xdr:colOff>0</xdr:colOff>
      <xdr:row>1218</xdr:row>
      <xdr:rowOff>74084</xdr:rowOff>
    </xdr:to>
    <xdr:cxnSp macro="">
      <xdr:nvCxnSpPr>
        <xdr:cNvPr id="3239" name="Straight Arrow Connector 3238">
          <a:extLst>
            <a:ext uri="{FF2B5EF4-FFF2-40B4-BE49-F238E27FC236}">
              <a16:creationId xmlns:a16="http://schemas.microsoft.com/office/drawing/2014/main" id="{00000000-0008-0000-1200-0000A70C0000}"/>
            </a:ext>
          </a:extLst>
        </xdr:cNvPr>
        <xdr:cNvCxnSpPr/>
      </xdr:nvCxnSpPr>
      <xdr:spPr>
        <a:xfrm>
          <a:off x="11313583" y="58980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1179</xdr:row>
      <xdr:rowOff>52917</xdr:rowOff>
    </xdr:from>
    <xdr:to>
      <xdr:col>15</xdr:col>
      <xdr:colOff>603250</xdr:colOff>
      <xdr:row>1181</xdr:row>
      <xdr:rowOff>148167</xdr:rowOff>
    </xdr:to>
    <xdr:cxnSp macro="">
      <xdr:nvCxnSpPr>
        <xdr:cNvPr id="3240" name="Straight Arrow Connector 3239">
          <a:extLst>
            <a:ext uri="{FF2B5EF4-FFF2-40B4-BE49-F238E27FC236}">
              <a16:creationId xmlns:a16="http://schemas.microsoft.com/office/drawing/2014/main" id="{00000000-0008-0000-1200-0000A80C0000}"/>
            </a:ext>
          </a:extLst>
        </xdr:cNvPr>
        <xdr:cNvCxnSpPr/>
      </xdr:nvCxnSpPr>
      <xdr:spPr>
        <a:xfrm flipV="1">
          <a:off x="11324166" y="52821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1214</xdr:row>
      <xdr:rowOff>42333</xdr:rowOff>
    </xdr:from>
    <xdr:to>
      <xdr:col>11</xdr:col>
      <xdr:colOff>603250</xdr:colOff>
      <xdr:row>1226</xdr:row>
      <xdr:rowOff>10583</xdr:rowOff>
    </xdr:to>
    <xdr:cxnSp macro="">
      <xdr:nvCxnSpPr>
        <xdr:cNvPr id="3241" name="Straight Arrow Connector 3240">
          <a:extLst>
            <a:ext uri="{FF2B5EF4-FFF2-40B4-BE49-F238E27FC236}">
              <a16:creationId xmlns:a16="http://schemas.microsoft.com/office/drawing/2014/main" id="{00000000-0008-0000-1200-0000A90C0000}"/>
            </a:ext>
          </a:extLst>
        </xdr:cNvPr>
        <xdr:cNvCxnSpPr/>
      </xdr:nvCxnSpPr>
      <xdr:spPr>
        <a:xfrm>
          <a:off x="7926917" y="59478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1204</xdr:row>
      <xdr:rowOff>21167</xdr:rowOff>
    </xdr:from>
    <xdr:to>
      <xdr:col>13</xdr:col>
      <xdr:colOff>592667</xdr:colOff>
      <xdr:row>1206</xdr:row>
      <xdr:rowOff>0</xdr:rowOff>
    </xdr:to>
    <xdr:cxnSp macro="">
      <xdr:nvCxnSpPr>
        <xdr:cNvPr id="3242" name="Straight Arrow Connector 3241">
          <a:extLst>
            <a:ext uri="{FF2B5EF4-FFF2-40B4-BE49-F238E27FC236}">
              <a16:creationId xmlns:a16="http://schemas.microsoft.com/office/drawing/2014/main" id="{00000000-0008-0000-1200-0000AA0C0000}"/>
            </a:ext>
          </a:extLst>
        </xdr:cNvPr>
        <xdr:cNvCxnSpPr/>
      </xdr:nvCxnSpPr>
      <xdr:spPr>
        <a:xfrm flipV="1">
          <a:off x="9133417" y="57552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1209</xdr:row>
      <xdr:rowOff>21166</xdr:rowOff>
    </xdr:from>
    <xdr:to>
      <xdr:col>13</xdr:col>
      <xdr:colOff>592667</xdr:colOff>
      <xdr:row>1210</xdr:row>
      <xdr:rowOff>169334</xdr:rowOff>
    </xdr:to>
    <xdr:cxnSp macro="">
      <xdr:nvCxnSpPr>
        <xdr:cNvPr id="3243" name="Straight Arrow Connector 3242">
          <a:extLst>
            <a:ext uri="{FF2B5EF4-FFF2-40B4-BE49-F238E27FC236}">
              <a16:creationId xmlns:a16="http://schemas.microsoft.com/office/drawing/2014/main" id="{00000000-0008-0000-1200-0000AB0C0000}"/>
            </a:ext>
          </a:extLst>
        </xdr:cNvPr>
        <xdr:cNvCxnSpPr/>
      </xdr:nvCxnSpPr>
      <xdr:spPr>
        <a:xfrm>
          <a:off x="9122833" y="58504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1224</xdr:row>
      <xdr:rowOff>21167</xdr:rowOff>
    </xdr:from>
    <xdr:to>
      <xdr:col>13</xdr:col>
      <xdr:colOff>592667</xdr:colOff>
      <xdr:row>1226</xdr:row>
      <xdr:rowOff>63500</xdr:rowOff>
    </xdr:to>
    <xdr:cxnSp macro="">
      <xdr:nvCxnSpPr>
        <xdr:cNvPr id="3244" name="Straight Arrow Connector 3243">
          <a:extLst>
            <a:ext uri="{FF2B5EF4-FFF2-40B4-BE49-F238E27FC236}">
              <a16:creationId xmlns:a16="http://schemas.microsoft.com/office/drawing/2014/main" id="{00000000-0008-0000-1200-0000AC0C0000}"/>
            </a:ext>
          </a:extLst>
        </xdr:cNvPr>
        <xdr:cNvCxnSpPr/>
      </xdr:nvCxnSpPr>
      <xdr:spPr>
        <a:xfrm flipV="1">
          <a:off x="9525000" y="61552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1229</xdr:row>
      <xdr:rowOff>0</xdr:rowOff>
    </xdr:from>
    <xdr:to>
      <xdr:col>14</xdr:col>
      <xdr:colOff>10584</xdr:colOff>
      <xdr:row>1237</xdr:row>
      <xdr:rowOff>148167</xdr:rowOff>
    </xdr:to>
    <xdr:cxnSp macro="">
      <xdr:nvCxnSpPr>
        <xdr:cNvPr id="3245" name="Straight Arrow Connector 3244">
          <a:extLst>
            <a:ext uri="{FF2B5EF4-FFF2-40B4-BE49-F238E27FC236}">
              <a16:creationId xmlns:a16="http://schemas.microsoft.com/office/drawing/2014/main" id="{00000000-0008-0000-1200-0000AD0C0000}"/>
            </a:ext>
          </a:extLst>
        </xdr:cNvPr>
        <xdr:cNvCxnSpPr/>
      </xdr:nvCxnSpPr>
      <xdr:spPr>
        <a:xfrm>
          <a:off x="9535583" y="62484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1200</xdr:row>
      <xdr:rowOff>95250</xdr:rowOff>
    </xdr:from>
    <xdr:to>
      <xdr:col>15</xdr:col>
      <xdr:colOff>582083</xdr:colOff>
      <xdr:row>1202</xdr:row>
      <xdr:rowOff>137583</xdr:rowOff>
    </xdr:to>
    <xdr:cxnSp macro="">
      <xdr:nvCxnSpPr>
        <xdr:cNvPr id="3246" name="Straight Arrow Connector 3245">
          <a:extLst>
            <a:ext uri="{FF2B5EF4-FFF2-40B4-BE49-F238E27FC236}">
              <a16:creationId xmlns:a16="http://schemas.microsoft.com/office/drawing/2014/main" id="{00000000-0008-0000-1200-0000AE0C0000}"/>
            </a:ext>
          </a:extLst>
        </xdr:cNvPr>
        <xdr:cNvCxnSpPr/>
      </xdr:nvCxnSpPr>
      <xdr:spPr>
        <a:xfrm>
          <a:off x="11334749" y="56864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1209</xdr:row>
      <xdr:rowOff>52916</xdr:rowOff>
    </xdr:from>
    <xdr:to>
      <xdr:col>16</xdr:col>
      <xdr:colOff>0</xdr:colOff>
      <xdr:row>1211</xdr:row>
      <xdr:rowOff>0</xdr:rowOff>
    </xdr:to>
    <xdr:cxnSp macro="">
      <xdr:nvCxnSpPr>
        <xdr:cNvPr id="3247" name="Straight Arrow Connector 3246">
          <a:extLst>
            <a:ext uri="{FF2B5EF4-FFF2-40B4-BE49-F238E27FC236}">
              <a16:creationId xmlns:a16="http://schemas.microsoft.com/office/drawing/2014/main" id="{00000000-0008-0000-1200-0000AF0C0000}"/>
            </a:ext>
          </a:extLst>
        </xdr:cNvPr>
        <xdr:cNvCxnSpPr/>
      </xdr:nvCxnSpPr>
      <xdr:spPr>
        <a:xfrm flipV="1">
          <a:off x="11281833" y="58536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21167</xdr:rowOff>
    </xdr:from>
    <xdr:to>
      <xdr:col>15</xdr:col>
      <xdr:colOff>592666</xdr:colOff>
      <xdr:row>1212</xdr:row>
      <xdr:rowOff>84667</xdr:rowOff>
    </xdr:to>
    <xdr:cxnSp macro="">
      <xdr:nvCxnSpPr>
        <xdr:cNvPr id="3248" name="Straight Arrow Connector 3247">
          <a:extLst>
            <a:ext uri="{FF2B5EF4-FFF2-40B4-BE49-F238E27FC236}">
              <a16:creationId xmlns:a16="http://schemas.microsoft.com/office/drawing/2014/main" id="{00000000-0008-0000-1200-0000B00C0000}"/>
            </a:ext>
          </a:extLst>
        </xdr:cNvPr>
        <xdr:cNvCxnSpPr/>
      </xdr:nvCxnSpPr>
      <xdr:spPr>
        <a:xfrm>
          <a:off x="11271250" y="58885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1211</xdr:row>
      <xdr:rowOff>0</xdr:rowOff>
    </xdr:from>
    <xdr:to>
      <xdr:col>16</xdr:col>
      <xdr:colOff>0</xdr:colOff>
      <xdr:row>1215</xdr:row>
      <xdr:rowOff>42334</xdr:rowOff>
    </xdr:to>
    <xdr:cxnSp macro="">
      <xdr:nvCxnSpPr>
        <xdr:cNvPr id="3249" name="Straight Arrow Connector 3248">
          <a:extLst>
            <a:ext uri="{FF2B5EF4-FFF2-40B4-BE49-F238E27FC236}">
              <a16:creationId xmlns:a16="http://schemas.microsoft.com/office/drawing/2014/main" id="{00000000-0008-0000-1200-0000B10C0000}"/>
            </a:ext>
          </a:extLst>
        </xdr:cNvPr>
        <xdr:cNvCxnSpPr/>
      </xdr:nvCxnSpPr>
      <xdr:spPr>
        <a:xfrm>
          <a:off x="11271250" y="58864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1222</xdr:row>
      <xdr:rowOff>0</xdr:rowOff>
    </xdr:from>
    <xdr:to>
      <xdr:col>15</xdr:col>
      <xdr:colOff>603250</xdr:colOff>
      <xdr:row>1224</xdr:row>
      <xdr:rowOff>1</xdr:rowOff>
    </xdr:to>
    <xdr:cxnSp macro="">
      <xdr:nvCxnSpPr>
        <xdr:cNvPr id="3250" name="Straight Arrow Connector 3249">
          <a:extLst>
            <a:ext uri="{FF2B5EF4-FFF2-40B4-BE49-F238E27FC236}">
              <a16:creationId xmlns:a16="http://schemas.microsoft.com/office/drawing/2014/main" id="{00000000-0008-0000-1200-0000B20C0000}"/>
            </a:ext>
          </a:extLst>
        </xdr:cNvPr>
        <xdr:cNvCxnSpPr/>
      </xdr:nvCxnSpPr>
      <xdr:spPr>
        <a:xfrm flipV="1">
          <a:off x="11271250" y="61150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1224</xdr:row>
      <xdr:rowOff>10584</xdr:rowOff>
    </xdr:from>
    <xdr:to>
      <xdr:col>15</xdr:col>
      <xdr:colOff>592666</xdr:colOff>
      <xdr:row>1225</xdr:row>
      <xdr:rowOff>95250</xdr:rowOff>
    </xdr:to>
    <xdr:cxnSp macro="">
      <xdr:nvCxnSpPr>
        <xdr:cNvPr id="3251" name="Straight Arrow Connector 3250">
          <a:extLst>
            <a:ext uri="{FF2B5EF4-FFF2-40B4-BE49-F238E27FC236}">
              <a16:creationId xmlns:a16="http://schemas.microsoft.com/office/drawing/2014/main" id="{00000000-0008-0000-1200-0000B30C0000}"/>
            </a:ext>
          </a:extLst>
        </xdr:cNvPr>
        <xdr:cNvCxnSpPr/>
      </xdr:nvCxnSpPr>
      <xdr:spPr>
        <a:xfrm>
          <a:off x="11313583" y="61542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1224</xdr:row>
      <xdr:rowOff>10584</xdr:rowOff>
    </xdr:from>
    <xdr:to>
      <xdr:col>15</xdr:col>
      <xdr:colOff>560916</xdr:colOff>
      <xdr:row>1228</xdr:row>
      <xdr:rowOff>52917</xdr:rowOff>
    </xdr:to>
    <xdr:cxnSp macro="">
      <xdr:nvCxnSpPr>
        <xdr:cNvPr id="3252" name="Straight Arrow Connector 3251">
          <a:extLst>
            <a:ext uri="{FF2B5EF4-FFF2-40B4-BE49-F238E27FC236}">
              <a16:creationId xmlns:a16="http://schemas.microsoft.com/office/drawing/2014/main" id="{00000000-0008-0000-1200-0000B40C0000}"/>
            </a:ext>
          </a:extLst>
        </xdr:cNvPr>
        <xdr:cNvCxnSpPr/>
      </xdr:nvCxnSpPr>
      <xdr:spPr>
        <a:xfrm>
          <a:off x="11292416" y="61542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253" name="Straight Arrow Connector 3252">
          <a:extLst>
            <a:ext uri="{FF2B5EF4-FFF2-40B4-BE49-F238E27FC236}">
              <a16:creationId xmlns:a16="http://schemas.microsoft.com/office/drawing/2014/main" id="{00000000-0008-0000-1200-0000B50C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1238</xdr:row>
      <xdr:rowOff>0</xdr:rowOff>
    </xdr:from>
    <xdr:to>
      <xdr:col>16</xdr:col>
      <xdr:colOff>0</xdr:colOff>
      <xdr:row>1238</xdr:row>
      <xdr:rowOff>42334</xdr:rowOff>
    </xdr:to>
    <xdr:cxnSp macro="">
      <xdr:nvCxnSpPr>
        <xdr:cNvPr id="3254" name="Straight Arrow Connector 3253">
          <a:extLst>
            <a:ext uri="{FF2B5EF4-FFF2-40B4-BE49-F238E27FC236}">
              <a16:creationId xmlns:a16="http://schemas.microsoft.com/office/drawing/2014/main" id="{00000000-0008-0000-1200-0000B60C0000}"/>
            </a:ext>
          </a:extLst>
        </xdr:cNvPr>
        <xdr:cNvCxnSpPr/>
      </xdr:nvCxnSpPr>
      <xdr:spPr>
        <a:xfrm>
          <a:off x="11302999" y="64198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1238</xdr:row>
      <xdr:rowOff>21166</xdr:rowOff>
    </xdr:from>
    <xdr:to>
      <xdr:col>15</xdr:col>
      <xdr:colOff>560916</xdr:colOff>
      <xdr:row>1241</xdr:row>
      <xdr:rowOff>84667</xdr:rowOff>
    </xdr:to>
    <xdr:cxnSp macro="">
      <xdr:nvCxnSpPr>
        <xdr:cNvPr id="3255" name="Straight Arrow Connector 3254">
          <a:extLst>
            <a:ext uri="{FF2B5EF4-FFF2-40B4-BE49-F238E27FC236}">
              <a16:creationId xmlns:a16="http://schemas.microsoft.com/office/drawing/2014/main" id="{00000000-0008-0000-1200-0000B70C0000}"/>
            </a:ext>
          </a:extLst>
        </xdr:cNvPr>
        <xdr:cNvCxnSpPr/>
      </xdr:nvCxnSpPr>
      <xdr:spPr>
        <a:xfrm>
          <a:off x="11355916" y="64219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1238</xdr:row>
      <xdr:rowOff>52916</xdr:rowOff>
    </xdr:from>
    <xdr:to>
      <xdr:col>15</xdr:col>
      <xdr:colOff>592666</xdr:colOff>
      <xdr:row>1244</xdr:row>
      <xdr:rowOff>63501</xdr:rowOff>
    </xdr:to>
    <xdr:cxnSp macro="">
      <xdr:nvCxnSpPr>
        <xdr:cNvPr id="3256" name="Straight Arrow Connector 3255">
          <a:extLst>
            <a:ext uri="{FF2B5EF4-FFF2-40B4-BE49-F238E27FC236}">
              <a16:creationId xmlns:a16="http://schemas.microsoft.com/office/drawing/2014/main" id="{00000000-0008-0000-1200-0000B80C0000}"/>
            </a:ext>
          </a:extLst>
        </xdr:cNvPr>
        <xdr:cNvCxnSpPr/>
      </xdr:nvCxnSpPr>
      <xdr:spPr>
        <a:xfrm>
          <a:off x="11313583" y="64251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1235</xdr:row>
      <xdr:rowOff>52917</xdr:rowOff>
    </xdr:from>
    <xdr:to>
      <xdr:col>15</xdr:col>
      <xdr:colOff>603250</xdr:colOff>
      <xdr:row>1237</xdr:row>
      <xdr:rowOff>148167</xdr:rowOff>
    </xdr:to>
    <xdr:cxnSp macro="">
      <xdr:nvCxnSpPr>
        <xdr:cNvPr id="3257" name="Straight Arrow Connector 3256">
          <a:extLst>
            <a:ext uri="{FF2B5EF4-FFF2-40B4-BE49-F238E27FC236}">
              <a16:creationId xmlns:a16="http://schemas.microsoft.com/office/drawing/2014/main" id="{00000000-0008-0000-1200-0000B90C0000}"/>
            </a:ext>
          </a:extLst>
        </xdr:cNvPr>
        <xdr:cNvCxnSpPr/>
      </xdr:nvCxnSpPr>
      <xdr:spPr>
        <a:xfrm flipV="1">
          <a:off x="11324166" y="63679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1279</xdr:row>
      <xdr:rowOff>95250</xdr:rowOff>
    </xdr:from>
    <xdr:to>
      <xdr:col>8</xdr:col>
      <xdr:colOff>21167</xdr:colOff>
      <xdr:row>1311</xdr:row>
      <xdr:rowOff>148166</xdr:rowOff>
    </xdr:to>
    <xdr:cxnSp macro="">
      <xdr:nvCxnSpPr>
        <xdr:cNvPr id="3258" name="Straight Arrow Connector 3257">
          <a:extLst>
            <a:ext uri="{FF2B5EF4-FFF2-40B4-BE49-F238E27FC236}">
              <a16:creationId xmlns:a16="http://schemas.microsoft.com/office/drawing/2014/main" id="{00000000-0008-0000-1200-0000BA0C0000}"/>
            </a:ext>
          </a:extLst>
        </xdr:cNvPr>
        <xdr:cNvCxnSpPr/>
      </xdr:nvCxnSpPr>
      <xdr:spPr>
        <a:xfrm>
          <a:off x="5185833" y="722947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1250</xdr:row>
      <xdr:rowOff>137583</xdr:rowOff>
    </xdr:from>
    <xdr:to>
      <xdr:col>9</xdr:col>
      <xdr:colOff>603250</xdr:colOff>
      <xdr:row>1256</xdr:row>
      <xdr:rowOff>21166</xdr:rowOff>
    </xdr:to>
    <xdr:cxnSp macro="">
      <xdr:nvCxnSpPr>
        <xdr:cNvPr id="3259" name="Straight Arrow Connector 3258">
          <a:extLst>
            <a:ext uri="{FF2B5EF4-FFF2-40B4-BE49-F238E27FC236}">
              <a16:creationId xmlns:a16="http://schemas.microsoft.com/office/drawing/2014/main" id="{00000000-0008-0000-1200-0000BB0C0000}"/>
            </a:ext>
          </a:extLst>
        </xdr:cNvPr>
        <xdr:cNvCxnSpPr/>
      </xdr:nvCxnSpPr>
      <xdr:spPr>
        <a:xfrm flipV="1">
          <a:off x="6688667" y="666220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1259</xdr:row>
      <xdr:rowOff>0</xdr:rowOff>
    </xdr:from>
    <xdr:to>
      <xdr:col>9</xdr:col>
      <xdr:colOff>582083</xdr:colOff>
      <xdr:row>1267</xdr:row>
      <xdr:rowOff>10583</xdr:rowOff>
    </xdr:to>
    <xdr:cxnSp macro="">
      <xdr:nvCxnSpPr>
        <xdr:cNvPr id="3260" name="Straight Arrow Connector 3259">
          <a:extLst>
            <a:ext uri="{FF2B5EF4-FFF2-40B4-BE49-F238E27FC236}">
              <a16:creationId xmlns:a16="http://schemas.microsoft.com/office/drawing/2014/main" id="{00000000-0008-0000-1200-0000BC0C0000}"/>
            </a:ext>
          </a:extLst>
        </xdr:cNvPr>
        <xdr:cNvCxnSpPr/>
      </xdr:nvCxnSpPr>
      <xdr:spPr>
        <a:xfrm>
          <a:off x="6720417" y="681990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3261" name="Straight Arrow Connector 3260">
          <a:extLst>
            <a:ext uri="{FF2B5EF4-FFF2-40B4-BE49-F238E27FC236}">
              <a16:creationId xmlns:a16="http://schemas.microsoft.com/office/drawing/2014/main" id="{00000000-0008-0000-1200-0000BD0C0000}"/>
            </a:ext>
          </a:extLst>
        </xdr:cNvPr>
        <xdr:cNvCxnSpPr/>
      </xdr:nvCxnSpPr>
      <xdr:spPr>
        <a:xfrm flipV="1">
          <a:off x="7937500"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3262" name="Straight Arrow Connector 3261">
          <a:extLst>
            <a:ext uri="{FF2B5EF4-FFF2-40B4-BE49-F238E27FC236}">
              <a16:creationId xmlns:a16="http://schemas.microsoft.com/office/drawing/2014/main" id="{00000000-0008-0000-1200-0000BE0C0000}"/>
            </a:ext>
          </a:extLst>
        </xdr:cNvPr>
        <xdr:cNvCxnSpPr/>
      </xdr:nvCxnSpPr>
      <xdr:spPr>
        <a:xfrm>
          <a:off x="7926917"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3263" name="Straight Arrow Connector 3262">
          <a:extLst>
            <a:ext uri="{FF2B5EF4-FFF2-40B4-BE49-F238E27FC236}">
              <a16:creationId xmlns:a16="http://schemas.microsoft.com/office/drawing/2014/main" id="{00000000-0008-0000-1200-0000BF0C0000}"/>
            </a:ext>
          </a:extLst>
        </xdr:cNvPr>
        <xdr:cNvCxnSpPr/>
      </xdr:nvCxnSpPr>
      <xdr:spPr>
        <a:xfrm flipV="1">
          <a:off x="9133417" y="68410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3264" name="Straight Arrow Connector 3263">
          <a:extLst>
            <a:ext uri="{FF2B5EF4-FFF2-40B4-BE49-F238E27FC236}">
              <a16:creationId xmlns:a16="http://schemas.microsoft.com/office/drawing/2014/main" id="{00000000-0008-0000-1200-0000C00C0000}"/>
            </a:ext>
          </a:extLst>
        </xdr:cNvPr>
        <xdr:cNvCxnSpPr/>
      </xdr:nvCxnSpPr>
      <xdr:spPr>
        <a:xfrm>
          <a:off x="9122833" y="69363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3265" name="Straight Arrow Connector 3264">
          <a:extLst>
            <a:ext uri="{FF2B5EF4-FFF2-40B4-BE49-F238E27FC236}">
              <a16:creationId xmlns:a16="http://schemas.microsoft.com/office/drawing/2014/main" id="{00000000-0008-0000-1200-0000C10C0000}"/>
            </a:ext>
          </a:extLst>
        </xdr:cNvPr>
        <xdr:cNvCxnSpPr/>
      </xdr:nvCxnSpPr>
      <xdr:spPr>
        <a:xfrm flipV="1">
          <a:off x="952500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3266" name="Straight Arrow Connector 3265">
          <a:extLst>
            <a:ext uri="{FF2B5EF4-FFF2-40B4-BE49-F238E27FC236}">
              <a16:creationId xmlns:a16="http://schemas.microsoft.com/office/drawing/2014/main" id="{00000000-0008-0000-1200-0000C20C0000}"/>
            </a:ext>
          </a:extLst>
        </xdr:cNvPr>
        <xdr:cNvCxnSpPr/>
      </xdr:nvCxnSpPr>
      <xdr:spPr>
        <a:xfrm>
          <a:off x="9535583" y="73342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1252</xdr:row>
      <xdr:rowOff>0</xdr:rowOff>
    </xdr:from>
    <xdr:to>
      <xdr:col>15</xdr:col>
      <xdr:colOff>603250</xdr:colOff>
      <xdr:row>1257</xdr:row>
      <xdr:rowOff>31750</xdr:rowOff>
    </xdr:to>
    <xdr:cxnSp macro="">
      <xdr:nvCxnSpPr>
        <xdr:cNvPr id="3267" name="Straight Arrow Connector 3266">
          <a:extLst>
            <a:ext uri="{FF2B5EF4-FFF2-40B4-BE49-F238E27FC236}">
              <a16:creationId xmlns:a16="http://schemas.microsoft.com/office/drawing/2014/main" id="{00000000-0008-0000-1200-0000C30C0000}"/>
            </a:ext>
          </a:extLst>
        </xdr:cNvPr>
        <xdr:cNvCxnSpPr/>
      </xdr:nvCxnSpPr>
      <xdr:spPr>
        <a:xfrm flipV="1">
          <a:off x="11281833"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3268" name="Straight Arrow Connector 3267">
          <a:extLst>
            <a:ext uri="{FF2B5EF4-FFF2-40B4-BE49-F238E27FC236}">
              <a16:creationId xmlns:a16="http://schemas.microsoft.com/office/drawing/2014/main" id="{00000000-0008-0000-1200-0000C40C0000}"/>
            </a:ext>
          </a:extLst>
        </xdr:cNvPr>
        <xdr:cNvCxnSpPr/>
      </xdr:nvCxnSpPr>
      <xdr:spPr>
        <a:xfrm flipV="1">
          <a:off x="11324166"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3269" name="Straight Arrow Connector 3268">
          <a:extLst>
            <a:ext uri="{FF2B5EF4-FFF2-40B4-BE49-F238E27FC236}">
              <a16:creationId xmlns:a16="http://schemas.microsoft.com/office/drawing/2014/main" id="{00000000-0008-0000-1200-0000C50C0000}"/>
            </a:ext>
          </a:extLst>
        </xdr:cNvPr>
        <xdr:cNvCxnSpPr/>
      </xdr:nvCxnSpPr>
      <xdr:spPr>
        <a:xfrm>
          <a:off x="11345333"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3270" name="Straight Arrow Connector 3269">
          <a:extLst>
            <a:ext uri="{FF2B5EF4-FFF2-40B4-BE49-F238E27FC236}">
              <a16:creationId xmlns:a16="http://schemas.microsoft.com/office/drawing/2014/main" id="{00000000-0008-0000-1200-0000C60C0000}"/>
            </a:ext>
          </a:extLst>
        </xdr:cNvPr>
        <xdr:cNvCxnSpPr/>
      </xdr:nvCxnSpPr>
      <xdr:spPr>
        <a:xfrm>
          <a:off x="11260667" y="67923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1265</xdr:row>
      <xdr:rowOff>52916</xdr:rowOff>
    </xdr:from>
    <xdr:to>
      <xdr:col>16</xdr:col>
      <xdr:colOff>0</xdr:colOff>
      <xdr:row>1267</xdr:row>
      <xdr:rowOff>0</xdr:rowOff>
    </xdr:to>
    <xdr:cxnSp macro="">
      <xdr:nvCxnSpPr>
        <xdr:cNvPr id="3271" name="Straight Arrow Connector 3270">
          <a:extLst>
            <a:ext uri="{FF2B5EF4-FFF2-40B4-BE49-F238E27FC236}">
              <a16:creationId xmlns:a16="http://schemas.microsoft.com/office/drawing/2014/main" id="{00000000-0008-0000-1200-0000C70C0000}"/>
            </a:ext>
          </a:extLst>
        </xdr:cNvPr>
        <xdr:cNvCxnSpPr/>
      </xdr:nvCxnSpPr>
      <xdr:spPr>
        <a:xfrm flipV="1">
          <a:off x="11281833" y="69394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3272" name="Straight Arrow Connector 3271">
          <a:extLst>
            <a:ext uri="{FF2B5EF4-FFF2-40B4-BE49-F238E27FC236}">
              <a16:creationId xmlns:a16="http://schemas.microsoft.com/office/drawing/2014/main" id="{00000000-0008-0000-1200-0000C80C0000}"/>
            </a:ext>
          </a:extLst>
        </xdr:cNvPr>
        <xdr:cNvCxnSpPr/>
      </xdr:nvCxnSpPr>
      <xdr:spPr>
        <a:xfrm>
          <a:off x="11292416"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3273" name="Straight Arrow Connector 3272">
          <a:extLst>
            <a:ext uri="{FF2B5EF4-FFF2-40B4-BE49-F238E27FC236}">
              <a16:creationId xmlns:a16="http://schemas.microsoft.com/office/drawing/2014/main" id="{00000000-0008-0000-1200-0000C90C0000}"/>
            </a:ext>
          </a:extLst>
        </xdr:cNvPr>
        <xdr:cNvCxnSpPr/>
      </xdr:nvCxnSpPr>
      <xdr:spPr>
        <a:xfrm>
          <a:off x="11271250" y="69744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3274" name="Straight Arrow Connector 3273">
          <a:extLst>
            <a:ext uri="{FF2B5EF4-FFF2-40B4-BE49-F238E27FC236}">
              <a16:creationId xmlns:a16="http://schemas.microsoft.com/office/drawing/2014/main" id="{00000000-0008-0000-1200-0000CA0C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1304</xdr:row>
      <xdr:rowOff>42333</xdr:rowOff>
    </xdr:from>
    <xdr:to>
      <xdr:col>9</xdr:col>
      <xdr:colOff>592666</xdr:colOff>
      <xdr:row>1312</xdr:row>
      <xdr:rowOff>42333</xdr:rowOff>
    </xdr:to>
    <xdr:cxnSp macro="">
      <xdr:nvCxnSpPr>
        <xdr:cNvPr id="3275" name="Straight Arrow Connector 3274">
          <a:extLst>
            <a:ext uri="{FF2B5EF4-FFF2-40B4-BE49-F238E27FC236}">
              <a16:creationId xmlns:a16="http://schemas.microsoft.com/office/drawing/2014/main" id="{00000000-0008-0000-1200-0000CB0C0000}"/>
            </a:ext>
          </a:extLst>
        </xdr:cNvPr>
        <xdr:cNvCxnSpPr/>
      </xdr:nvCxnSpPr>
      <xdr:spPr>
        <a:xfrm flipV="1">
          <a:off x="6699250" y="770043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1314</xdr:row>
      <xdr:rowOff>169334</xdr:rowOff>
    </xdr:from>
    <xdr:to>
      <xdr:col>9</xdr:col>
      <xdr:colOff>603250</xdr:colOff>
      <xdr:row>1323</xdr:row>
      <xdr:rowOff>31750</xdr:rowOff>
    </xdr:to>
    <xdr:cxnSp macro="">
      <xdr:nvCxnSpPr>
        <xdr:cNvPr id="3276" name="Straight Arrow Connector 3275">
          <a:extLst>
            <a:ext uri="{FF2B5EF4-FFF2-40B4-BE49-F238E27FC236}">
              <a16:creationId xmlns:a16="http://schemas.microsoft.com/office/drawing/2014/main" id="{00000000-0008-0000-1200-0000CC0C0000}"/>
            </a:ext>
          </a:extLst>
        </xdr:cNvPr>
        <xdr:cNvCxnSpPr/>
      </xdr:nvCxnSpPr>
      <xdr:spPr>
        <a:xfrm>
          <a:off x="6720417" y="790363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3277" name="Straight Arrow Connector 3276">
          <a:extLst>
            <a:ext uri="{FF2B5EF4-FFF2-40B4-BE49-F238E27FC236}">
              <a16:creationId xmlns:a16="http://schemas.microsoft.com/office/drawing/2014/main" id="{00000000-0008-0000-1200-0000CD0C0000}"/>
            </a:ext>
          </a:extLst>
        </xdr:cNvPr>
        <xdr:cNvCxnSpPr/>
      </xdr:nvCxnSpPr>
      <xdr:spPr>
        <a:xfrm flipV="1">
          <a:off x="7874000" y="80168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3278" name="Straight Arrow Connector 3277">
          <a:extLst>
            <a:ext uri="{FF2B5EF4-FFF2-40B4-BE49-F238E27FC236}">
              <a16:creationId xmlns:a16="http://schemas.microsoft.com/office/drawing/2014/main" id="{00000000-0008-0000-1200-0000CE0C0000}"/>
            </a:ext>
          </a:extLst>
        </xdr:cNvPr>
        <xdr:cNvCxnSpPr/>
      </xdr:nvCxnSpPr>
      <xdr:spPr>
        <a:xfrm flipV="1">
          <a:off x="11271250"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3279" name="Straight Arrow Connector 3278">
          <a:extLst>
            <a:ext uri="{FF2B5EF4-FFF2-40B4-BE49-F238E27FC236}">
              <a16:creationId xmlns:a16="http://schemas.microsoft.com/office/drawing/2014/main" id="{00000000-0008-0000-1200-0000CF0C0000}"/>
            </a:ext>
          </a:extLst>
        </xdr:cNvPr>
        <xdr:cNvCxnSpPr/>
      </xdr:nvCxnSpPr>
      <xdr:spPr>
        <a:xfrm>
          <a:off x="11313583"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3280" name="Straight Arrow Connector 3279">
          <a:extLst>
            <a:ext uri="{FF2B5EF4-FFF2-40B4-BE49-F238E27FC236}">
              <a16:creationId xmlns:a16="http://schemas.microsoft.com/office/drawing/2014/main" id="{00000000-0008-0000-1200-0000D00C0000}"/>
            </a:ext>
          </a:extLst>
        </xdr:cNvPr>
        <xdr:cNvCxnSpPr/>
      </xdr:nvCxnSpPr>
      <xdr:spPr>
        <a:xfrm>
          <a:off x="11292416"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281" name="Straight Arrow Connector 3280">
          <a:extLst>
            <a:ext uri="{FF2B5EF4-FFF2-40B4-BE49-F238E27FC236}">
              <a16:creationId xmlns:a16="http://schemas.microsoft.com/office/drawing/2014/main" id="{00000000-0008-0000-1200-0000D10C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3282" name="Straight Arrow Connector 3281">
          <a:extLst>
            <a:ext uri="{FF2B5EF4-FFF2-40B4-BE49-F238E27FC236}">
              <a16:creationId xmlns:a16="http://schemas.microsoft.com/office/drawing/2014/main" id="{00000000-0008-0000-1200-0000D20C0000}"/>
            </a:ext>
          </a:extLst>
        </xdr:cNvPr>
        <xdr:cNvCxnSpPr/>
      </xdr:nvCxnSpPr>
      <xdr:spPr>
        <a:xfrm>
          <a:off x="11302999" y="75057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3283" name="Straight Arrow Connector 3282">
          <a:extLst>
            <a:ext uri="{FF2B5EF4-FFF2-40B4-BE49-F238E27FC236}">
              <a16:creationId xmlns:a16="http://schemas.microsoft.com/office/drawing/2014/main" id="{00000000-0008-0000-1200-0000D30C0000}"/>
            </a:ext>
          </a:extLst>
        </xdr:cNvPr>
        <xdr:cNvCxnSpPr/>
      </xdr:nvCxnSpPr>
      <xdr:spPr>
        <a:xfrm>
          <a:off x="11355916"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3284" name="Straight Arrow Connector 3283">
          <a:extLst>
            <a:ext uri="{FF2B5EF4-FFF2-40B4-BE49-F238E27FC236}">
              <a16:creationId xmlns:a16="http://schemas.microsoft.com/office/drawing/2014/main" id="{00000000-0008-0000-1200-0000D40C0000}"/>
            </a:ext>
          </a:extLst>
        </xdr:cNvPr>
        <xdr:cNvCxnSpPr/>
      </xdr:nvCxnSpPr>
      <xdr:spPr>
        <a:xfrm>
          <a:off x="11313583"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3285" name="Straight Arrow Connector 3284">
          <a:extLst>
            <a:ext uri="{FF2B5EF4-FFF2-40B4-BE49-F238E27FC236}">
              <a16:creationId xmlns:a16="http://schemas.microsoft.com/office/drawing/2014/main" id="{00000000-0008-0000-1200-0000D50C0000}"/>
            </a:ext>
          </a:extLst>
        </xdr:cNvPr>
        <xdr:cNvCxnSpPr/>
      </xdr:nvCxnSpPr>
      <xdr:spPr>
        <a:xfrm flipV="1">
          <a:off x="11302999"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3286" name="Straight Arrow Connector 3285">
          <a:extLst>
            <a:ext uri="{FF2B5EF4-FFF2-40B4-BE49-F238E27FC236}">
              <a16:creationId xmlns:a16="http://schemas.microsoft.com/office/drawing/2014/main" id="{00000000-0008-0000-1200-0000D60C0000}"/>
            </a:ext>
          </a:extLst>
        </xdr:cNvPr>
        <xdr:cNvCxnSpPr/>
      </xdr:nvCxnSpPr>
      <xdr:spPr>
        <a:xfrm flipV="1">
          <a:off x="11345333"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3287" name="Straight Arrow Connector 3286">
          <a:extLst>
            <a:ext uri="{FF2B5EF4-FFF2-40B4-BE49-F238E27FC236}">
              <a16:creationId xmlns:a16="http://schemas.microsoft.com/office/drawing/2014/main" id="{00000000-0008-0000-1200-0000D70C0000}"/>
            </a:ext>
          </a:extLst>
        </xdr:cNvPr>
        <xdr:cNvCxnSpPr/>
      </xdr:nvCxnSpPr>
      <xdr:spPr>
        <a:xfrm>
          <a:off x="11334749"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3288" name="Straight Arrow Connector 3287">
          <a:extLst>
            <a:ext uri="{FF2B5EF4-FFF2-40B4-BE49-F238E27FC236}">
              <a16:creationId xmlns:a16="http://schemas.microsoft.com/office/drawing/2014/main" id="{00000000-0008-0000-1200-0000D80C0000}"/>
            </a:ext>
          </a:extLst>
        </xdr:cNvPr>
        <xdr:cNvCxnSpPr/>
      </xdr:nvCxnSpPr>
      <xdr:spPr>
        <a:xfrm>
          <a:off x="11313583" y="80697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3289" name="Straight Arrow Connector 3288">
          <a:extLst>
            <a:ext uri="{FF2B5EF4-FFF2-40B4-BE49-F238E27FC236}">
              <a16:creationId xmlns:a16="http://schemas.microsoft.com/office/drawing/2014/main" id="{00000000-0008-0000-1200-0000D90C0000}"/>
            </a:ext>
          </a:extLst>
        </xdr:cNvPr>
        <xdr:cNvCxnSpPr/>
      </xdr:nvCxnSpPr>
      <xdr:spPr>
        <a:xfrm flipV="1">
          <a:off x="11324166"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3290" name="Straight Arrow Connector 3289">
          <a:extLst>
            <a:ext uri="{FF2B5EF4-FFF2-40B4-BE49-F238E27FC236}">
              <a16:creationId xmlns:a16="http://schemas.microsoft.com/office/drawing/2014/main" id="{00000000-0008-0000-1200-0000DA0C0000}"/>
            </a:ext>
          </a:extLst>
        </xdr:cNvPr>
        <xdr:cNvCxnSpPr/>
      </xdr:nvCxnSpPr>
      <xdr:spPr>
        <a:xfrm>
          <a:off x="7926917"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3291" name="Straight Arrow Connector 3290">
          <a:extLst>
            <a:ext uri="{FF2B5EF4-FFF2-40B4-BE49-F238E27FC236}">
              <a16:creationId xmlns:a16="http://schemas.microsoft.com/office/drawing/2014/main" id="{00000000-0008-0000-1200-0000DB0C0000}"/>
            </a:ext>
          </a:extLst>
        </xdr:cNvPr>
        <xdr:cNvCxnSpPr/>
      </xdr:nvCxnSpPr>
      <xdr:spPr>
        <a:xfrm flipV="1">
          <a:off x="9133417" y="7926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3292" name="Straight Arrow Connector 3291">
          <a:extLst>
            <a:ext uri="{FF2B5EF4-FFF2-40B4-BE49-F238E27FC236}">
              <a16:creationId xmlns:a16="http://schemas.microsoft.com/office/drawing/2014/main" id="{00000000-0008-0000-1200-0000DC0C0000}"/>
            </a:ext>
          </a:extLst>
        </xdr:cNvPr>
        <xdr:cNvCxnSpPr/>
      </xdr:nvCxnSpPr>
      <xdr:spPr>
        <a:xfrm>
          <a:off x="9122833" y="8022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3293" name="Straight Arrow Connector 3292">
          <a:extLst>
            <a:ext uri="{FF2B5EF4-FFF2-40B4-BE49-F238E27FC236}">
              <a16:creationId xmlns:a16="http://schemas.microsoft.com/office/drawing/2014/main" id="{00000000-0008-0000-1200-0000DD0C0000}"/>
            </a:ext>
          </a:extLst>
        </xdr:cNvPr>
        <xdr:cNvCxnSpPr/>
      </xdr:nvCxnSpPr>
      <xdr:spPr>
        <a:xfrm flipV="1">
          <a:off x="952500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3294" name="Straight Arrow Connector 3293">
          <a:extLst>
            <a:ext uri="{FF2B5EF4-FFF2-40B4-BE49-F238E27FC236}">
              <a16:creationId xmlns:a16="http://schemas.microsoft.com/office/drawing/2014/main" id="{00000000-0008-0000-1200-0000DE0C0000}"/>
            </a:ext>
          </a:extLst>
        </xdr:cNvPr>
        <xdr:cNvCxnSpPr/>
      </xdr:nvCxnSpPr>
      <xdr:spPr>
        <a:xfrm>
          <a:off x="9535583" y="8420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3295" name="Straight Arrow Connector 3294">
          <a:extLst>
            <a:ext uri="{FF2B5EF4-FFF2-40B4-BE49-F238E27FC236}">
              <a16:creationId xmlns:a16="http://schemas.microsoft.com/office/drawing/2014/main" id="{00000000-0008-0000-1200-0000DF0C0000}"/>
            </a:ext>
          </a:extLst>
        </xdr:cNvPr>
        <xdr:cNvCxnSpPr/>
      </xdr:nvCxnSpPr>
      <xdr:spPr>
        <a:xfrm>
          <a:off x="11334749"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1321</xdr:row>
      <xdr:rowOff>52916</xdr:rowOff>
    </xdr:from>
    <xdr:to>
      <xdr:col>16</xdr:col>
      <xdr:colOff>0</xdr:colOff>
      <xdr:row>1323</xdr:row>
      <xdr:rowOff>0</xdr:rowOff>
    </xdr:to>
    <xdr:cxnSp macro="">
      <xdr:nvCxnSpPr>
        <xdr:cNvPr id="3296" name="Straight Arrow Connector 3295">
          <a:extLst>
            <a:ext uri="{FF2B5EF4-FFF2-40B4-BE49-F238E27FC236}">
              <a16:creationId xmlns:a16="http://schemas.microsoft.com/office/drawing/2014/main" id="{00000000-0008-0000-1200-0000E00C0000}"/>
            </a:ext>
          </a:extLst>
        </xdr:cNvPr>
        <xdr:cNvCxnSpPr/>
      </xdr:nvCxnSpPr>
      <xdr:spPr>
        <a:xfrm flipV="1">
          <a:off x="11281833" y="8025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3297" name="Straight Arrow Connector 3296">
          <a:extLst>
            <a:ext uri="{FF2B5EF4-FFF2-40B4-BE49-F238E27FC236}">
              <a16:creationId xmlns:a16="http://schemas.microsoft.com/office/drawing/2014/main" id="{00000000-0008-0000-1200-0000E10C0000}"/>
            </a:ext>
          </a:extLst>
        </xdr:cNvPr>
        <xdr:cNvCxnSpPr/>
      </xdr:nvCxnSpPr>
      <xdr:spPr>
        <a:xfrm>
          <a:off x="11271250"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3298" name="Straight Arrow Connector 3297">
          <a:extLst>
            <a:ext uri="{FF2B5EF4-FFF2-40B4-BE49-F238E27FC236}">
              <a16:creationId xmlns:a16="http://schemas.microsoft.com/office/drawing/2014/main" id="{00000000-0008-0000-1200-0000E20C0000}"/>
            </a:ext>
          </a:extLst>
        </xdr:cNvPr>
        <xdr:cNvCxnSpPr/>
      </xdr:nvCxnSpPr>
      <xdr:spPr>
        <a:xfrm>
          <a:off x="11271250" y="80581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3299" name="Straight Arrow Connector 3298">
          <a:extLst>
            <a:ext uri="{FF2B5EF4-FFF2-40B4-BE49-F238E27FC236}">
              <a16:creationId xmlns:a16="http://schemas.microsoft.com/office/drawing/2014/main" id="{00000000-0008-0000-1200-0000E30C0000}"/>
            </a:ext>
          </a:extLst>
        </xdr:cNvPr>
        <xdr:cNvCxnSpPr/>
      </xdr:nvCxnSpPr>
      <xdr:spPr>
        <a:xfrm flipV="1">
          <a:off x="11271250"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3300" name="Straight Arrow Connector 3299">
          <a:extLst>
            <a:ext uri="{FF2B5EF4-FFF2-40B4-BE49-F238E27FC236}">
              <a16:creationId xmlns:a16="http://schemas.microsoft.com/office/drawing/2014/main" id="{00000000-0008-0000-1200-0000E40C0000}"/>
            </a:ext>
          </a:extLst>
        </xdr:cNvPr>
        <xdr:cNvCxnSpPr/>
      </xdr:nvCxnSpPr>
      <xdr:spPr>
        <a:xfrm>
          <a:off x="11313583"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3301" name="Straight Arrow Connector 3300">
          <a:extLst>
            <a:ext uri="{FF2B5EF4-FFF2-40B4-BE49-F238E27FC236}">
              <a16:creationId xmlns:a16="http://schemas.microsoft.com/office/drawing/2014/main" id="{00000000-0008-0000-1200-0000E50C0000}"/>
            </a:ext>
          </a:extLst>
        </xdr:cNvPr>
        <xdr:cNvCxnSpPr/>
      </xdr:nvCxnSpPr>
      <xdr:spPr>
        <a:xfrm>
          <a:off x="11292416"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302" name="Straight Arrow Connector 3301">
          <a:extLst>
            <a:ext uri="{FF2B5EF4-FFF2-40B4-BE49-F238E27FC236}">
              <a16:creationId xmlns:a16="http://schemas.microsoft.com/office/drawing/2014/main" id="{00000000-0008-0000-1200-0000E60C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3303" name="Straight Arrow Connector 3302">
          <a:extLst>
            <a:ext uri="{FF2B5EF4-FFF2-40B4-BE49-F238E27FC236}">
              <a16:creationId xmlns:a16="http://schemas.microsoft.com/office/drawing/2014/main" id="{00000000-0008-0000-1200-0000E70C0000}"/>
            </a:ext>
          </a:extLst>
        </xdr:cNvPr>
        <xdr:cNvCxnSpPr/>
      </xdr:nvCxnSpPr>
      <xdr:spPr>
        <a:xfrm>
          <a:off x="11302999" y="8591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3304" name="Straight Arrow Connector 3303">
          <a:extLst>
            <a:ext uri="{FF2B5EF4-FFF2-40B4-BE49-F238E27FC236}">
              <a16:creationId xmlns:a16="http://schemas.microsoft.com/office/drawing/2014/main" id="{00000000-0008-0000-1200-0000E80C0000}"/>
            </a:ext>
          </a:extLst>
        </xdr:cNvPr>
        <xdr:cNvCxnSpPr/>
      </xdr:nvCxnSpPr>
      <xdr:spPr>
        <a:xfrm>
          <a:off x="11355916"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3305" name="Straight Arrow Connector 3304">
          <a:extLst>
            <a:ext uri="{FF2B5EF4-FFF2-40B4-BE49-F238E27FC236}">
              <a16:creationId xmlns:a16="http://schemas.microsoft.com/office/drawing/2014/main" id="{00000000-0008-0000-1200-0000E90C0000}"/>
            </a:ext>
          </a:extLst>
        </xdr:cNvPr>
        <xdr:cNvCxnSpPr/>
      </xdr:nvCxnSpPr>
      <xdr:spPr>
        <a:xfrm>
          <a:off x="11313583"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3306" name="Straight Arrow Connector 3305">
          <a:extLst>
            <a:ext uri="{FF2B5EF4-FFF2-40B4-BE49-F238E27FC236}">
              <a16:creationId xmlns:a16="http://schemas.microsoft.com/office/drawing/2014/main" id="{00000000-0008-0000-1200-0000EA0C0000}"/>
            </a:ext>
          </a:extLst>
        </xdr:cNvPr>
        <xdr:cNvCxnSpPr/>
      </xdr:nvCxnSpPr>
      <xdr:spPr>
        <a:xfrm flipV="1">
          <a:off x="11324166"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1258</xdr:row>
      <xdr:rowOff>127000</xdr:rowOff>
    </xdr:from>
    <xdr:to>
      <xdr:col>8</xdr:col>
      <xdr:colOff>63500</xdr:colOff>
      <xdr:row>1277</xdr:row>
      <xdr:rowOff>0</xdr:rowOff>
    </xdr:to>
    <xdr:cxnSp macro="">
      <xdr:nvCxnSpPr>
        <xdr:cNvPr id="3307" name="Straight Arrow Connector 3306">
          <a:extLst>
            <a:ext uri="{FF2B5EF4-FFF2-40B4-BE49-F238E27FC236}">
              <a16:creationId xmlns:a16="http://schemas.microsoft.com/office/drawing/2014/main" id="{00000000-0008-0000-1200-0000EB0C0000}"/>
            </a:ext>
          </a:extLst>
        </xdr:cNvPr>
        <xdr:cNvCxnSpPr/>
      </xdr:nvCxnSpPr>
      <xdr:spPr>
        <a:xfrm flipV="1">
          <a:off x="5492750" y="681355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3308" name="Straight Arrow Connector 3307">
          <a:extLst>
            <a:ext uri="{FF2B5EF4-FFF2-40B4-BE49-F238E27FC236}">
              <a16:creationId xmlns:a16="http://schemas.microsoft.com/office/drawing/2014/main" id="{00000000-0008-0000-1200-0000EC0C0000}"/>
            </a:ext>
          </a:extLst>
        </xdr:cNvPr>
        <xdr:cNvCxnSpPr/>
      </xdr:nvCxnSpPr>
      <xdr:spPr>
        <a:xfrm flipV="1">
          <a:off x="603250" y="88402584"/>
          <a:ext cx="613833"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3309" name="Straight Arrow Connector 3308">
          <a:extLst>
            <a:ext uri="{FF2B5EF4-FFF2-40B4-BE49-F238E27FC236}">
              <a16:creationId xmlns:a16="http://schemas.microsoft.com/office/drawing/2014/main" id="{00000000-0008-0000-1200-0000ED0C0000}"/>
            </a:ext>
          </a:extLst>
        </xdr:cNvPr>
        <xdr:cNvCxnSpPr/>
      </xdr:nvCxnSpPr>
      <xdr:spPr>
        <a:xfrm>
          <a:off x="603250" y="107230333"/>
          <a:ext cx="613833"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3310" name="Straight Arrow Connector 3309">
          <a:extLst>
            <a:ext uri="{FF2B5EF4-FFF2-40B4-BE49-F238E27FC236}">
              <a16:creationId xmlns:a16="http://schemas.microsoft.com/office/drawing/2014/main" id="{00000000-0008-0000-1200-0000EE0C0000}"/>
            </a:ext>
          </a:extLst>
        </xdr:cNvPr>
        <xdr:cNvCxnSpPr/>
      </xdr:nvCxnSpPr>
      <xdr:spPr>
        <a:xfrm flipV="1">
          <a:off x="2381251" y="1024572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3311" name="Straight Arrow Connector 3310">
          <a:extLst>
            <a:ext uri="{FF2B5EF4-FFF2-40B4-BE49-F238E27FC236}">
              <a16:creationId xmlns:a16="http://schemas.microsoft.com/office/drawing/2014/main" id="{00000000-0008-0000-1200-0000EF0C0000}"/>
            </a:ext>
          </a:extLst>
        </xdr:cNvPr>
        <xdr:cNvCxnSpPr/>
      </xdr:nvCxnSpPr>
      <xdr:spPr>
        <a:xfrm>
          <a:off x="2391834" y="115834583"/>
          <a:ext cx="656166"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3312" name="Straight Arrow Connector 3311">
          <a:extLst>
            <a:ext uri="{FF2B5EF4-FFF2-40B4-BE49-F238E27FC236}">
              <a16:creationId xmlns:a16="http://schemas.microsoft.com/office/drawing/2014/main" id="{00000000-0008-0000-1200-0000F00C0000}"/>
            </a:ext>
          </a:extLst>
        </xdr:cNvPr>
        <xdr:cNvCxnSpPr/>
      </xdr:nvCxnSpPr>
      <xdr:spPr>
        <a:xfrm flipV="1">
          <a:off x="3810000" y="952500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3313" name="Straight Arrow Connector 3312">
          <a:extLst>
            <a:ext uri="{FF2B5EF4-FFF2-40B4-BE49-F238E27FC236}">
              <a16:creationId xmlns:a16="http://schemas.microsoft.com/office/drawing/2014/main" id="{00000000-0008-0000-1200-0000F10C0000}"/>
            </a:ext>
          </a:extLst>
        </xdr:cNvPr>
        <xdr:cNvCxnSpPr/>
      </xdr:nvCxnSpPr>
      <xdr:spPr>
        <a:xfrm>
          <a:off x="3894667" y="102467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3314" name="Straight Arrow Connector 3313">
          <a:extLst>
            <a:ext uri="{FF2B5EF4-FFF2-40B4-BE49-F238E27FC236}">
              <a16:creationId xmlns:a16="http://schemas.microsoft.com/office/drawing/2014/main" id="{00000000-0008-0000-1200-0000F20C0000}"/>
            </a:ext>
          </a:extLst>
        </xdr:cNvPr>
        <xdr:cNvCxnSpPr/>
      </xdr:nvCxnSpPr>
      <xdr:spPr>
        <a:xfrm flipV="1">
          <a:off x="5461000" y="90445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3315" name="Straight Arrow Connector 3314">
          <a:extLst>
            <a:ext uri="{FF2B5EF4-FFF2-40B4-BE49-F238E27FC236}">
              <a16:creationId xmlns:a16="http://schemas.microsoft.com/office/drawing/2014/main" id="{00000000-0008-0000-1200-0000F30C0000}"/>
            </a:ext>
          </a:extLst>
        </xdr:cNvPr>
        <xdr:cNvCxnSpPr/>
      </xdr:nvCxnSpPr>
      <xdr:spPr>
        <a:xfrm>
          <a:off x="5461000" y="952605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3316" name="Straight Arrow Connector 3315">
          <a:extLst>
            <a:ext uri="{FF2B5EF4-FFF2-40B4-BE49-F238E27FC236}">
              <a16:creationId xmlns:a16="http://schemas.microsoft.com/office/drawing/2014/main" id="{00000000-0008-0000-1200-0000F40C0000}"/>
            </a:ext>
          </a:extLst>
        </xdr:cNvPr>
        <xdr:cNvCxnSpPr/>
      </xdr:nvCxnSpPr>
      <xdr:spPr>
        <a:xfrm flipV="1">
          <a:off x="6688667" y="88910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3317" name="Straight Arrow Connector 3316">
          <a:extLst>
            <a:ext uri="{FF2B5EF4-FFF2-40B4-BE49-F238E27FC236}">
              <a16:creationId xmlns:a16="http://schemas.microsoft.com/office/drawing/2014/main" id="{00000000-0008-0000-1200-0000F50C0000}"/>
            </a:ext>
          </a:extLst>
        </xdr:cNvPr>
        <xdr:cNvCxnSpPr/>
      </xdr:nvCxnSpPr>
      <xdr:spPr>
        <a:xfrm>
          <a:off x="6720417" y="90487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3318" name="Straight Arrow Connector 3317">
          <a:extLst>
            <a:ext uri="{FF2B5EF4-FFF2-40B4-BE49-F238E27FC236}">
              <a16:creationId xmlns:a16="http://schemas.microsoft.com/office/drawing/2014/main" id="{00000000-0008-0000-1200-0000F60C0000}"/>
            </a:ext>
          </a:extLst>
        </xdr:cNvPr>
        <xdr:cNvCxnSpPr/>
      </xdr:nvCxnSpPr>
      <xdr:spPr>
        <a:xfrm flipV="1">
          <a:off x="7937500" y="91609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3319" name="Straight Arrow Connector 3318">
          <a:extLst>
            <a:ext uri="{FF2B5EF4-FFF2-40B4-BE49-F238E27FC236}">
              <a16:creationId xmlns:a16="http://schemas.microsoft.com/office/drawing/2014/main" id="{00000000-0008-0000-1200-0000F70C0000}"/>
            </a:ext>
          </a:extLst>
        </xdr:cNvPr>
        <xdr:cNvCxnSpPr/>
      </xdr:nvCxnSpPr>
      <xdr:spPr>
        <a:xfrm>
          <a:off x="7926917" y="9262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3320" name="Straight Arrow Connector 3319">
          <a:extLst>
            <a:ext uri="{FF2B5EF4-FFF2-40B4-BE49-F238E27FC236}">
              <a16:creationId xmlns:a16="http://schemas.microsoft.com/office/drawing/2014/main" id="{00000000-0008-0000-1200-0000F80C0000}"/>
            </a:ext>
          </a:extLst>
        </xdr:cNvPr>
        <xdr:cNvCxnSpPr/>
      </xdr:nvCxnSpPr>
      <xdr:spPr>
        <a:xfrm flipV="1">
          <a:off x="9133417" y="9069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3321" name="Straight Arrow Connector 3320">
          <a:extLst>
            <a:ext uri="{FF2B5EF4-FFF2-40B4-BE49-F238E27FC236}">
              <a16:creationId xmlns:a16="http://schemas.microsoft.com/office/drawing/2014/main" id="{00000000-0008-0000-1200-0000F90C0000}"/>
            </a:ext>
          </a:extLst>
        </xdr:cNvPr>
        <xdr:cNvCxnSpPr/>
      </xdr:nvCxnSpPr>
      <xdr:spPr>
        <a:xfrm>
          <a:off x="9122833" y="9165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3322" name="Straight Arrow Connector 3321">
          <a:extLst>
            <a:ext uri="{FF2B5EF4-FFF2-40B4-BE49-F238E27FC236}">
              <a16:creationId xmlns:a16="http://schemas.microsoft.com/office/drawing/2014/main" id="{00000000-0008-0000-1200-0000FA0C0000}"/>
            </a:ext>
          </a:extLst>
        </xdr:cNvPr>
        <xdr:cNvCxnSpPr/>
      </xdr:nvCxnSpPr>
      <xdr:spPr>
        <a:xfrm flipV="1">
          <a:off x="9525000" y="9469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3323" name="Straight Arrow Connector 3322">
          <a:extLst>
            <a:ext uri="{FF2B5EF4-FFF2-40B4-BE49-F238E27FC236}">
              <a16:creationId xmlns:a16="http://schemas.microsoft.com/office/drawing/2014/main" id="{00000000-0008-0000-1200-0000FB0C0000}"/>
            </a:ext>
          </a:extLst>
        </xdr:cNvPr>
        <xdr:cNvCxnSpPr/>
      </xdr:nvCxnSpPr>
      <xdr:spPr>
        <a:xfrm>
          <a:off x="9535583" y="9563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1368</xdr:row>
      <xdr:rowOff>0</xdr:rowOff>
    </xdr:from>
    <xdr:to>
      <xdr:col>15</xdr:col>
      <xdr:colOff>603250</xdr:colOff>
      <xdr:row>1373</xdr:row>
      <xdr:rowOff>31750</xdr:rowOff>
    </xdr:to>
    <xdr:cxnSp macro="">
      <xdr:nvCxnSpPr>
        <xdr:cNvPr id="3324" name="Straight Arrow Connector 3323">
          <a:extLst>
            <a:ext uri="{FF2B5EF4-FFF2-40B4-BE49-F238E27FC236}">
              <a16:creationId xmlns:a16="http://schemas.microsoft.com/office/drawing/2014/main" id="{00000000-0008-0000-1200-0000FC0C0000}"/>
            </a:ext>
          </a:extLst>
        </xdr:cNvPr>
        <xdr:cNvCxnSpPr/>
      </xdr:nvCxnSpPr>
      <xdr:spPr>
        <a:xfrm flipV="1">
          <a:off x="11281833" y="89154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3325" name="Straight Arrow Connector 3324">
          <a:extLst>
            <a:ext uri="{FF2B5EF4-FFF2-40B4-BE49-F238E27FC236}">
              <a16:creationId xmlns:a16="http://schemas.microsoft.com/office/drawing/2014/main" id="{00000000-0008-0000-1200-0000FD0C0000}"/>
            </a:ext>
          </a:extLst>
        </xdr:cNvPr>
        <xdr:cNvCxnSpPr/>
      </xdr:nvCxnSpPr>
      <xdr:spPr>
        <a:xfrm flipV="1">
          <a:off x="11324166" y="89778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3326" name="Straight Arrow Connector 3325">
          <a:extLst>
            <a:ext uri="{FF2B5EF4-FFF2-40B4-BE49-F238E27FC236}">
              <a16:creationId xmlns:a16="http://schemas.microsoft.com/office/drawing/2014/main" id="{00000000-0008-0000-1200-0000FE0C0000}"/>
            </a:ext>
          </a:extLst>
        </xdr:cNvPr>
        <xdr:cNvCxnSpPr/>
      </xdr:nvCxnSpPr>
      <xdr:spPr>
        <a:xfrm>
          <a:off x="11345333" y="90265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3327" name="Straight Arrow Connector 3326">
          <a:extLst>
            <a:ext uri="{FF2B5EF4-FFF2-40B4-BE49-F238E27FC236}">
              <a16:creationId xmlns:a16="http://schemas.microsoft.com/office/drawing/2014/main" id="{00000000-0008-0000-1200-0000FF0C0000}"/>
            </a:ext>
          </a:extLst>
        </xdr:cNvPr>
        <xdr:cNvCxnSpPr/>
      </xdr:nvCxnSpPr>
      <xdr:spPr>
        <a:xfrm>
          <a:off x="11260667" y="90212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1381</xdr:row>
      <xdr:rowOff>52916</xdr:rowOff>
    </xdr:from>
    <xdr:to>
      <xdr:col>16</xdr:col>
      <xdr:colOff>0</xdr:colOff>
      <xdr:row>1383</xdr:row>
      <xdr:rowOff>0</xdr:rowOff>
    </xdr:to>
    <xdr:cxnSp macro="">
      <xdr:nvCxnSpPr>
        <xdr:cNvPr id="3328" name="Straight Arrow Connector 3327">
          <a:extLst>
            <a:ext uri="{FF2B5EF4-FFF2-40B4-BE49-F238E27FC236}">
              <a16:creationId xmlns:a16="http://schemas.microsoft.com/office/drawing/2014/main" id="{00000000-0008-0000-1200-0000000D0000}"/>
            </a:ext>
          </a:extLst>
        </xdr:cNvPr>
        <xdr:cNvCxnSpPr/>
      </xdr:nvCxnSpPr>
      <xdr:spPr>
        <a:xfrm flipV="1">
          <a:off x="11281833" y="9168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3329" name="Straight Arrow Connector 3328">
          <a:extLst>
            <a:ext uri="{FF2B5EF4-FFF2-40B4-BE49-F238E27FC236}">
              <a16:creationId xmlns:a16="http://schemas.microsoft.com/office/drawing/2014/main" id="{00000000-0008-0000-1200-0000010D0000}"/>
            </a:ext>
          </a:extLst>
        </xdr:cNvPr>
        <xdr:cNvCxnSpPr/>
      </xdr:nvCxnSpPr>
      <xdr:spPr>
        <a:xfrm>
          <a:off x="11292416" y="92032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3330" name="Straight Arrow Connector 3329">
          <a:extLst>
            <a:ext uri="{FF2B5EF4-FFF2-40B4-BE49-F238E27FC236}">
              <a16:creationId xmlns:a16="http://schemas.microsoft.com/office/drawing/2014/main" id="{00000000-0008-0000-1200-0000020D0000}"/>
            </a:ext>
          </a:extLst>
        </xdr:cNvPr>
        <xdr:cNvCxnSpPr/>
      </xdr:nvCxnSpPr>
      <xdr:spPr>
        <a:xfrm>
          <a:off x="11271250" y="92032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1383</xdr:row>
      <xdr:rowOff>31750</xdr:rowOff>
    </xdr:from>
    <xdr:to>
      <xdr:col>16</xdr:col>
      <xdr:colOff>42334</xdr:colOff>
      <xdr:row>1390</xdr:row>
      <xdr:rowOff>63501</xdr:rowOff>
    </xdr:to>
    <xdr:cxnSp macro="">
      <xdr:nvCxnSpPr>
        <xdr:cNvPr id="3331" name="Straight Arrow Connector 3330">
          <a:extLst>
            <a:ext uri="{FF2B5EF4-FFF2-40B4-BE49-F238E27FC236}">
              <a16:creationId xmlns:a16="http://schemas.microsoft.com/office/drawing/2014/main" id="{00000000-0008-0000-1200-0000030D0000}"/>
            </a:ext>
          </a:extLst>
        </xdr:cNvPr>
        <xdr:cNvCxnSpPr/>
      </xdr:nvCxnSpPr>
      <xdr:spPr>
        <a:xfrm>
          <a:off x="11281833" y="9204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3332" name="Straight Arrow Connector 3331">
          <a:extLst>
            <a:ext uri="{FF2B5EF4-FFF2-40B4-BE49-F238E27FC236}">
              <a16:creationId xmlns:a16="http://schemas.microsoft.com/office/drawing/2014/main" id="{00000000-0008-0000-1200-0000040D0000}"/>
            </a:ext>
          </a:extLst>
        </xdr:cNvPr>
        <xdr:cNvCxnSpPr/>
      </xdr:nvCxnSpPr>
      <xdr:spPr>
        <a:xfrm flipV="1">
          <a:off x="6699250" y="99292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3333" name="Straight Arrow Connector 3332">
          <a:extLst>
            <a:ext uri="{FF2B5EF4-FFF2-40B4-BE49-F238E27FC236}">
              <a16:creationId xmlns:a16="http://schemas.microsoft.com/office/drawing/2014/main" id="{00000000-0008-0000-1200-0000050D0000}"/>
            </a:ext>
          </a:extLst>
        </xdr:cNvPr>
        <xdr:cNvCxnSpPr/>
      </xdr:nvCxnSpPr>
      <xdr:spPr>
        <a:xfrm>
          <a:off x="6720417" y="101324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3334" name="Straight Arrow Connector 3333">
          <a:extLst>
            <a:ext uri="{FF2B5EF4-FFF2-40B4-BE49-F238E27FC236}">
              <a16:creationId xmlns:a16="http://schemas.microsoft.com/office/drawing/2014/main" id="{00000000-0008-0000-1200-0000060D0000}"/>
            </a:ext>
          </a:extLst>
        </xdr:cNvPr>
        <xdr:cNvCxnSpPr/>
      </xdr:nvCxnSpPr>
      <xdr:spPr>
        <a:xfrm flipV="1">
          <a:off x="7874000" y="102457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3335" name="Straight Arrow Connector 3334">
          <a:extLst>
            <a:ext uri="{FF2B5EF4-FFF2-40B4-BE49-F238E27FC236}">
              <a16:creationId xmlns:a16="http://schemas.microsoft.com/office/drawing/2014/main" id="{00000000-0008-0000-1200-0000070D0000}"/>
            </a:ext>
          </a:extLst>
        </xdr:cNvPr>
        <xdr:cNvCxnSpPr/>
      </xdr:nvCxnSpPr>
      <xdr:spPr>
        <a:xfrm flipV="1">
          <a:off x="11271250" y="9429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3336" name="Straight Arrow Connector 3335">
          <a:extLst>
            <a:ext uri="{FF2B5EF4-FFF2-40B4-BE49-F238E27FC236}">
              <a16:creationId xmlns:a16="http://schemas.microsoft.com/office/drawing/2014/main" id="{00000000-0008-0000-1200-0000080D0000}"/>
            </a:ext>
          </a:extLst>
        </xdr:cNvPr>
        <xdr:cNvCxnSpPr/>
      </xdr:nvCxnSpPr>
      <xdr:spPr>
        <a:xfrm>
          <a:off x="11313583" y="9468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3337" name="Straight Arrow Connector 3336">
          <a:extLst>
            <a:ext uri="{FF2B5EF4-FFF2-40B4-BE49-F238E27FC236}">
              <a16:creationId xmlns:a16="http://schemas.microsoft.com/office/drawing/2014/main" id="{00000000-0008-0000-1200-0000090D0000}"/>
            </a:ext>
          </a:extLst>
        </xdr:cNvPr>
        <xdr:cNvCxnSpPr/>
      </xdr:nvCxnSpPr>
      <xdr:spPr>
        <a:xfrm>
          <a:off x="11292416" y="9468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3338" name="Straight Arrow Connector 3337">
          <a:extLst>
            <a:ext uri="{FF2B5EF4-FFF2-40B4-BE49-F238E27FC236}">
              <a16:creationId xmlns:a16="http://schemas.microsoft.com/office/drawing/2014/main" id="{00000000-0008-0000-1200-00000A0D0000}"/>
            </a:ext>
          </a:extLst>
        </xdr:cNvPr>
        <xdr:cNvCxnSpPr/>
      </xdr:nvCxnSpPr>
      <xdr:spPr>
        <a:xfrm>
          <a:off x="11324166" y="9471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3339" name="Straight Arrow Connector 3338">
          <a:extLst>
            <a:ext uri="{FF2B5EF4-FFF2-40B4-BE49-F238E27FC236}">
              <a16:creationId xmlns:a16="http://schemas.microsoft.com/office/drawing/2014/main" id="{00000000-0008-0000-1200-00000B0D0000}"/>
            </a:ext>
          </a:extLst>
        </xdr:cNvPr>
        <xdr:cNvCxnSpPr/>
      </xdr:nvCxnSpPr>
      <xdr:spPr>
        <a:xfrm>
          <a:off x="11302999" y="9734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3340" name="Straight Arrow Connector 3339">
          <a:extLst>
            <a:ext uri="{FF2B5EF4-FFF2-40B4-BE49-F238E27FC236}">
              <a16:creationId xmlns:a16="http://schemas.microsoft.com/office/drawing/2014/main" id="{00000000-0008-0000-1200-00000C0D0000}"/>
            </a:ext>
          </a:extLst>
        </xdr:cNvPr>
        <xdr:cNvCxnSpPr/>
      </xdr:nvCxnSpPr>
      <xdr:spPr>
        <a:xfrm>
          <a:off x="11355916" y="9736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3341" name="Straight Arrow Connector 3340">
          <a:extLst>
            <a:ext uri="{FF2B5EF4-FFF2-40B4-BE49-F238E27FC236}">
              <a16:creationId xmlns:a16="http://schemas.microsoft.com/office/drawing/2014/main" id="{00000000-0008-0000-1200-00000D0D0000}"/>
            </a:ext>
          </a:extLst>
        </xdr:cNvPr>
        <xdr:cNvCxnSpPr/>
      </xdr:nvCxnSpPr>
      <xdr:spPr>
        <a:xfrm>
          <a:off x="11313583" y="9739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3342" name="Straight Arrow Connector 3341">
          <a:extLst>
            <a:ext uri="{FF2B5EF4-FFF2-40B4-BE49-F238E27FC236}">
              <a16:creationId xmlns:a16="http://schemas.microsoft.com/office/drawing/2014/main" id="{00000000-0008-0000-1200-00000E0D0000}"/>
            </a:ext>
          </a:extLst>
        </xdr:cNvPr>
        <xdr:cNvCxnSpPr/>
      </xdr:nvCxnSpPr>
      <xdr:spPr>
        <a:xfrm flipV="1">
          <a:off x="11302999" y="100128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3343" name="Straight Arrow Connector 3342">
          <a:extLst>
            <a:ext uri="{FF2B5EF4-FFF2-40B4-BE49-F238E27FC236}">
              <a16:creationId xmlns:a16="http://schemas.microsoft.com/office/drawing/2014/main" id="{00000000-0008-0000-1200-00000F0D0000}"/>
            </a:ext>
          </a:extLst>
        </xdr:cNvPr>
        <xdr:cNvCxnSpPr/>
      </xdr:nvCxnSpPr>
      <xdr:spPr>
        <a:xfrm flipV="1">
          <a:off x="11345333" y="100488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3344" name="Straight Arrow Connector 3343">
          <a:extLst>
            <a:ext uri="{FF2B5EF4-FFF2-40B4-BE49-F238E27FC236}">
              <a16:creationId xmlns:a16="http://schemas.microsoft.com/office/drawing/2014/main" id="{00000000-0008-0000-1200-0000100D0000}"/>
            </a:ext>
          </a:extLst>
        </xdr:cNvPr>
        <xdr:cNvCxnSpPr/>
      </xdr:nvCxnSpPr>
      <xdr:spPr>
        <a:xfrm>
          <a:off x="11334749" y="100890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3345" name="Straight Arrow Connector 3344">
          <a:extLst>
            <a:ext uri="{FF2B5EF4-FFF2-40B4-BE49-F238E27FC236}">
              <a16:creationId xmlns:a16="http://schemas.microsoft.com/office/drawing/2014/main" id="{00000000-0008-0000-1200-0000110D0000}"/>
            </a:ext>
          </a:extLst>
        </xdr:cNvPr>
        <xdr:cNvCxnSpPr/>
      </xdr:nvCxnSpPr>
      <xdr:spPr>
        <a:xfrm>
          <a:off x="11313583" y="102986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3346" name="Straight Arrow Connector 3345">
          <a:extLst>
            <a:ext uri="{FF2B5EF4-FFF2-40B4-BE49-F238E27FC236}">
              <a16:creationId xmlns:a16="http://schemas.microsoft.com/office/drawing/2014/main" id="{00000000-0008-0000-1200-0000120D0000}"/>
            </a:ext>
          </a:extLst>
        </xdr:cNvPr>
        <xdr:cNvCxnSpPr/>
      </xdr:nvCxnSpPr>
      <xdr:spPr>
        <a:xfrm flipV="1">
          <a:off x="11324166" y="9682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3347" name="Straight Arrow Connector 3346">
          <a:extLst>
            <a:ext uri="{FF2B5EF4-FFF2-40B4-BE49-F238E27FC236}">
              <a16:creationId xmlns:a16="http://schemas.microsoft.com/office/drawing/2014/main" id="{00000000-0008-0000-1200-0000130D0000}"/>
            </a:ext>
          </a:extLst>
        </xdr:cNvPr>
        <xdr:cNvCxnSpPr/>
      </xdr:nvCxnSpPr>
      <xdr:spPr>
        <a:xfrm>
          <a:off x="7926917" y="103483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3348" name="Straight Arrow Connector 3347">
          <a:extLst>
            <a:ext uri="{FF2B5EF4-FFF2-40B4-BE49-F238E27FC236}">
              <a16:creationId xmlns:a16="http://schemas.microsoft.com/office/drawing/2014/main" id="{00000000-0008-0000-1200-0000140D0000}"/>
            </a:ext>
          </a:extLst>
        </xdr:cNvPr>
        <xdr:cNvCxnSpPr/>
      </xdr:nvCxnSpPr>
      <xdr:spPr>
        <a:xfrm flipV="1">
          <a:off x="9133417" y="101557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3349" name="Straight Arrow Connector 3348">
          <a:extLst>
            <a:ext uri="{FF2B5EF4-FFF2-40B4-BE49-F238E27FC236}">
              <a16:creationId xmlns:a16="http://schemas.microsoft.com/office/drawing/2014/main" id="{00000000-0008-0000-1200-0000150D0000}"/>
            </a:ext>
          </a:extLst>
        </xdr:cNvPr>
        <xdr:cNvCxnSpPr/>
      </xdr:nvCxnSpPr>
      <xdr:spPr>
        <a:xfrm>
          <a:off x="9122833" y="102510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3350" name="Straight Arrow Connector 3349">
          <a:extLst>
            <a:ext uri="{FF2B5EF4-FFF2-40B4-BE49-F238E27FC236}">
              <a16:creationId xmlns:a16="http://schemas.microsoft.com/office/drawing/2014/main" id="{00000000-0008-0000-1200-0000160D0000}"/>
            </a:ext>
          </a:extLst>
        </xdr:cNvPr>
        <xdr:cNvCxnSpPr/>
      </xdr:nvCxnSpPr>
      <xdr:spPr>
        <a:xfrm flipV="1">
          <a:off x="9525000" y="105558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3351" name="Straight Arrow Connector 3350">
          <a:extLst>
            <a:ext uri="{FF2B5EF4-FFF2-40B4-BE49-F238E27FC236}">
              <a16:creationId xmlns:a16="http://schemas.microsoft.com/office/drawing/2014/main" id="{00000000-0008-0000-1200-0000170D0000}"/>
            </a:ext>
          </a:extLst>
        </xdr:cNvPr>
        <xdr:cNvCxnSpPr/>
      </xdr:nvCxnSpPr>
      <xdr:spPr>
        <a:xfrm>
          <a:off x="9535583" y="106489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3352" name="Straight Arrow Connector 3351">
          <a:extLst>
            <a:ext uri="{FF2B5EF4-FFF2-40B4-BE49-F238E27FC236}">
              <a16:creationId xmlns:a16="http://schemas.microsoft.com/office/drawing/2014/main" id="{00000000-0008-0000-1200-0000180D0000}"/>
            </a:ext>
          </a:extLst>
        </xdr:cNvPr>
        <xdr:cNvCxnSpPr/>
      </xdr:nvCxnSpPr>
      <xdr:spPr>
        <a:xfrm>
          <a:off x="11334749" y="100869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1437</xdr:row>
      <xdr:rowOff>52916</xdr:rowOff>
    </xdr:from>
    <xdr:to>
      <xdr:col>16</xdr:col>
      <xdr:colOff>0</xdr:colOff>
      <xdr:row>1439</xdr:row>
      <xdr:rowOff>0</xdr:rowOff>
    </xdr:to>
    <xdr:cxnSp macro="">
      <xdr:nvCxnSpPr>
        <xdr:cNvPr id="3353" name="Straight Arrow Connector 3352">
          <a:extLst>
            <a:ext uri="{FF2B5EF4-FFF2-40B4-BE49-F238E27FC236}">
              <a16:creationId xmlns:a16="http://schemas.microsoft.com/office/drawing/2014/main" id="{00000000-0008-0000-1200-0000190D0000}"/>
            </a:ext>
          </a:extLst>
        </xdr:cNvPr>
        <xdr:cNvCxnSpPr/>
      </xdr:nvCxnSpPr>
      <xdr:spPr>
        <a:xfrm flipV="1">
          <a:off x="11281833" y="102541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3354" name="Straight Arrow Connector 3353">
          <a:extLst>
            <a:ext uri="{FF2B5EF4-FFF2-40B4-BE49-F238E27FC236}">
              <a16:creationId xmlns:a16="http://schemas.microsoft.com/office/drawing/2014/main" id="{00000000-0008-0000-1200-00001A0D0000}"/>
            </a:ext>
          </a:extLst>
        </xdr:cNvPr>
        <xdr:cNvCxnSpPr/>
      </xdr:nvCxnSpPr>
      <xdr:spPr>
        <a:xfrm>
          <a:off x="11271250" y="102891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3355" name="Straight Arrow Connector 3354">
          <a:extLst>
            <a:ext uri="{FF2B5EF4-FFF2-40B4-BE49-F238E27FC236}">
              <a16:creationId xmlns:a16="http://schemas.microsoft.com/office/drawing/2014/main" id="{00000000-0008-0000-1200-00001B0D0000}"/>
            </a:ext>
          </a:extLst>
        </xdr:cNvPr>
        <xdr:cNvCxnSpPr/>
      </xdr:nvCxnSpPr>
      <xdr:spPr>
        <a:xfrm>
          <a:off x="11271250" y="102870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3356" name="Straight Arrow Connector 3355">
          <a:extLst>
            <a:ext uri="{FF2B5EF4-FFF2-40B4-BE49-F238E27FC236}">
              <a16:creationId xmlns:a16="http://schemas.microsoft.com/office/drawing/2014/main" id="{00000000-0008-0000-1200-00001C0D0000}"/>
            </a:ext>
          </a:extLst>
        </xdr:cNvPr>
        <xdr:cNvCxnSpPr/>
      </xdr:nvCxnSpPr>
      <xdr:spPr>
        <a:xfrm flipV="1">
          <a:off x="11271250" y="105156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3357" name="Straight Arrow Connector 3356">
          <a:extLst>
            <a:ext uri="{FF2B5EF4-FFF2-40B4-BE49-F238E27FC236}">
              <a16:creationId xmlns:a16="http://schemas.microsoft.com/office/drawing/2014/main" id="{00000000-0008-0000-1200-00001D0D0000}"/>
            </a:ext>
          </a:extLst>
        </xdr:cNvPr>
        <xdr:cNvCxnSpPr/>
      </xdr:nvCxnSpPr>
      <xdr:spPr>
        <a:xfrm>
          <a:off x="11313583" y="105547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3358" name="Straight Arrow Connector 3357">
          <a:extLst>
            <a:ext uri="{FF2B5EF4-FFF2-40B4-BE49-F238E27FC236}">
              <a16:creationId xmlns:a16="http://schemas.microsoft.com/office/drawing/2014/main" id="{00000000-0008-0000-1200-00001E0D0000}"/>
            </a:ext>
          </a:extLst>
        </xdr:cNvPr>
        <xdr:cNvCxnSpPr/>
      </xdr:nvCxnSpPr>
      <xdr:spPr>
        <a:xfrm>
          <a:off x="11292416" y="105547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359" name="Straight Arrow Connector 3358">
          <a:extLst>
            <a:ext uri="{FF2B5EF4-FFF2-40B4-BE49-F238E27FC236}">
              <a16:creationId xmlns:a16="http://schemas.microsoft.com/office/drawing/2014/main" id="{00000000-0008-0000-1200-00001F0D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3364" name="Straight Arrow Connector 3363">
          <a:extLst>
            <a:ext uri="{FF2B5EF4-FFF2-40B4-BE49-F238E27FC236}">
              <a16:creationId xmlns:a16="http://schemas.microsoft.com/office/drawing/2014/main" id="{00000000-0008-0000-1200-0000240D0000}"/>
            </a:ext>
          </a:extLst>
        </xdr:cNvPr>
        <xdr:cNvCxnSpPr/>
      </xdr:nvCxnSpPr>
      <xdr:spPr>
        <a:xfrm>
          <a:off x="5185833" y="1163002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3365" name="Straight Arrow Connector 3364">
          <a:extLst>
            <a:ext uri="{FF2B5EF4-FFF2-40B4-BE49-F238E27FC236}">
              <a16:creationId xmlns:a16="http://schemas.microsoft.com/office/drawing/2014/main" id="{00000000-0008-0000-1200-0000250D0000}"/>
            </a:ext>
          </a:extLst>
        </xdr:cNvPr>
        <xdr:cNvCxnSpPr/>
      </xdr:nvCxnSpPr>
      <xdr:spPr>
        <a:xfrm flipV="1">
          <a:off x="6688667" y="110627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3366" name="Straight Arrow Connector 3365">
          <a:extLst>
            <a:ext uri="{FF2B5EF4-FFF2-40B4-BE49-F238E27FC236}">
              <a16:creationId xmlns:a16="http://schemas.microsoft.com/office/drawing/2014/main" id="{00000000-0008-0000-1200-0000260D0000}"/>
            </a:ext>
          </a:extLst>
        </xdr:cNvPr>
        <xdr:cNvCxnSpPr/>
      </xdr:nvCxnSpPr>
      <xdr:spPr>
        <a:xfrm>
          <a:off x="6720417" y="112204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3367" name="Straight Arrow Connector 3366">
          <a:extLst>
            <a:ext uri="{FF2B5EF4-FFF2-40B4-BE49-F238E27FC236}">
              <a16:creationId xmlns:a16="http://schemas.microsoft.com/office/drawing/2014/main" id="{00000000-0008-0000-1200-0000270D0000}"/>
            </a:ext>
          </a:extLst>
        </xdr:cNvPr>
        <xdr:cNvCxnSpPr/>
      </xdr:nvCxnSpPr>
      <xdr:spPr>
        <a:xfrm flipV="1">
          <a:off x="7937500"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3368" name="Straight Arrow Connector 3367">
          <a:extLst>
            <a:ext uri="{FF2B5EF4-FFF2-40B4-BE49-F238E27FC236}">
              <a16:creationId xmlns:a16="http://schemas.microsoft.com/office/drawing/2014/main" id="{00000000-0008-0000-1200-0000280D0000}"/>
            </a:ext>
          </a:extLst>
        </xdr:cNvPr>
        <xdr:cNvCxnSpPr/>
      </xdr:nvCxnSpPr>
      <xdr:spPr>
        <a:xfrm>
          <a:off x="7926917"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3369" name="Straight Arrow Connector 3368">
          <a:extLst>
            <a:ext uri="{FF2B5EF4-FFF2-40B4-BE49-F238E27FC236}">
              <a16:creationId xmlns:a16="http://schemas.microsoft.com/office/drawing/2014/main" id="{00000000-0008-0000-1200-0000290D0000}"/>
            </a:ext>
          </a:extLst>
        </xdr:cNvPr>
        <xdr:cNvCxnSpPr/>
      </xdr:nvCxnSpPr>
      <xdr:spPr>
        <a:xfrm flipV="1">
          <a:off x="9133417" y="112416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3370" name="Straight Arrow Connector 3369">
          <a:extLst>
            <a:ext uri="{FF2B5EF4-FFF2-40B4-BE49-F238E27FC236}">
              <a16:creationId xmlns:a16="http://schemas.microsoft.com/office/drawing/2014/main" id="{00000000-0008-0000-1200-00002A0D0000}"/>
            </a:ext>
          </a:extLst>
        </xdr:cNvPr>
        <xdr:cNvCxnSpPr/>
      </xdr:nvCxnSpPr>
      <xdr:spPr>
        <a:xfrm>
          <a:off x="9122833" y="113368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3371" name="Straight Arrow Connector 3370">
          <a:extLst>
            <a:ext uri="{FF2B5EF4-FFF2-40B4-BE49-F238E27FC236}">
              <a16:creationId xmlns:a16="http://schemas.microsoft.com/office/drawing/2014/main" id="{00000000-0008-0000-1200-00002B0D0000}"/>
            </a:ext>
          </a:extLst>
        </xdr:cNvPr>
        <xdr:cNvCxnSpPr/>
      </xdr:nvCxnSpPr>
      <xdr:spPr>
        <a:xfrm flipV="1">
          <a:off x="952500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3372" name="Straight Arrow Connector 3371">
          <a:extLst>
            <a:ext uri="{FF2B5EF4-FFF2-40B4-BE49-F238E27FC236}">
              <a16:creationId xmlns:a16="http://schemas.microsoft.com/office/drawing/2014/main" id="{00000000-0008-0000-1200-00002C0D0000}"/>
            </a:ext>
          </a:extLst>
        </xdr:cNvPr>
        <xdr:cNvCxnSpPr/>
      </xdr:nvCxnSpPr>
      <xdr:spPr>
        <a:xfrm>
          <a:off x="9535583" y="117348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1480</xdr:row>
      <xdr:rowOff>0</xdr:rowOff>
    </xdr:from>
    <xdr:to>
      <xdr:col>15</xdr:col>
      <xdr:colOff>603250</xdr:colOff>
      <xdr:row>1485</xdr:row>
      <xdr:rowOff>31750</xdr:rowOff>
    </xdr:to>
    <xdr:cxnSp macro="">
      <xdr:nvCxnSpPr>
        <xdr:cNvPr id="3373" name="Straight Arrow Connector 3372">
          <a:extLst>
            <a:ext uri="{FF2B5EF4-FFF2-40B4-BE49-F238E27FC236}">
              <a16:creationId xmlns:a16="http://schemas.microsoft.com/office/drawing/2014/main" id="{00000000-0008-0000-1200-00002D0D0000}"/>
            </a:ext>
          </a:extLst>
        </xdr:cNvPr>
        <xdr:cNvCxnSpPr/>
      </xdr:nvCxnSpPr>
      <xdr:spPr>
        <a:xfrm flipV="1">
          <a:off x="11281833"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3374" name="Straight Arrow Connector 3373">
          <a:extLst>
            <a:ext uri="{FF2B5EF4-FFF2-40B4-BE49-F238E27FC236}">
              <a16:creationId xmlns:a16="http://schemas.microsoft.com/office/drawing/2014/main" id="{00000000-0008-0000-1200-00002E0D0000}"/>
            </a:ext>
          </a:extLst>
        </xdr:cNvPr>
        <xdr:cNvCxnSpPr/>
      </xdr:nvCxnSpPr>
      <xdr:spPr>
        <a:xfrm flipV="1">
          <a:off x="11324166"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3375" name="Straight Arrow Connector 3374">
          <a:extLst>
            <a:ext uri="{FF2B5EF4-FFF2-40B4-BE49-F238E27FC236}">
              <a16:creationId xmlns:a16="http://schemas.microsoft.com/office/drawing/2014/main" id="{00000000-0008-0000-1200-00002F0D0000}"/>
            </a:ext>
          </a:extLst>
        </xdr:cNvPr>
        <xdr:cNvCxnSpPr/>
      </xdr:nvCxnSpPr>
      <xdr:spPr>
        <a:xfrm>
          <a:off x="11345333"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3376" name="Straight Arrow Connector 3375">
          <a:extLst>
            <a:ext uri="{FF2B5EF4-FFF2-40B4-BE49-F238E27FC236}">
              <a16:creationId xmlns:a16="http://schemas.microsoft.com/office/drawing/2014/main" id="{00000000-0008-0000-1200-0000300D0000}"/>
            </a:ext>
          </a:extLst>
        </xdr:cNvPr>
        <xdr:cNvCxnSpPr/>
      </xdr:nvCxnSpPr>
      <xdr:spPr>
        <a:xfrm>
          <a:off x="11260667" y="111929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1493</xdr:row>
      <xdr:rowOff>52916</xdr:rowOff>
    </xdr:from>
    <xdr:to>
      <xdr:col>16</xdr:col>
      <xdr:colOff>0</xdr:colOff>
      <xdr:row>1495</xdr:row>
      <xdr:rowOff>0</xdr:rowOff>
    </xdr:to>
    <xdr:cxnSp macro="">
      <xdr:nvCxnSpPr>
        <xdr:cNvPr id="3377" name="Straight Arrow Connector 3376">
          <a:extLst>
            <a:ext uri="{FF2B5EF4-FFF2-40B4-BE49-F238E27FC236}">
              <a16:creationId xmlns:a16="http://schemas.microsoft.com/office/drawing/2014/main" id="{00000000-0008-0000-1200-0000310D0000}"/>
            </a:ext>
          </a:extLst>
        </xdr:cNvPr>
        <xdr:cNvCxnSpPr/>
      </xdr:nvCxnSpPr>
      <xdr:spPr>
        <a:xfrm flipV="1">
          <a:off x="11281833" y="113400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3378" name="Straight Arrow Connector 3377">
          <a:extLst>
            <a:ext uri="{FF2B5EF4-FFF2-40B4-BE49-F238E27FC236}">
              <a16:creationId xmlns:a16="http://schemas.microsoft.com/office/drawing/2014/main" id="{00000000-0008-0000-1200-0000320D0000}"/>
            </a:ext>
          </a:extLst>
        </xdr:cNvPr>
        <xdr:cNvCxnSpPr/>
      </xdr:nvCxnSpPr>
      <xdr:spPr>
        <a:xfrm>
          <a:off x="11292416"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3379" name="Straight Arrow Connector 3378">
          <a:extLst>
            <a:ext uri="{FF2B5EF4-FFF2-40B4-BE49-F238E27FC236}">
              <a16:creationId xmlns:a16="http://schemas.microsoft.com/office/drawing/2014/main" id="{00000000-0008-0000-1200-0000330D0000}"/>
            </a:ext>
          </a:extLst>
        </xdr:cNvPr>
        <xdr:cNvCxnSpPr/>
      </xdr:nvCxnSpPr>
      <xdr:spPr>
        <a:xfrm>
          <a:off x="11271250" y="113749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380" name="Straight Arrow Connector 3379">
          <a:extLst>
            <a:ext uri="{FF2B5EF4-FFF2-40B4-BE49-F238E27FC236}">
              <a16:creationId xmlns:a16="http://schemas.microsoft.com/office/drawing/2014/main" id="{00000000-0008-0000-1200-0000340D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3381" name="Straight Arrow Connector 3380">
          <a:extLst>
            <a:ext uri="{FF2B5EF4-FFF2-40B4-BE49-F238E27FC236}">
              <a16:creationId xmlns:a16="http://schemas.microsoft.com/office/drawing/2014/main" id="{00000000-0008-0000-1200-0000350D0000}"/>
            </a:ext>
          </a:extLst>
        </xdr:cNvPr>
        <xdr:cNvCxnSpPr/>
      </xdr:nvCxnSpPr>
      <xdr:spPr>
        <a:xfrm flipV="1">
          <a:off x="6699250" y="121009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3382" name="Straight Arrow Connector 3381">
          <a:extLst>
            <a:ext uri="{FF2B5EF4-FFF2-40B4-BE49-F238E27FC236}">
              <a16:creationId xmlns:a16="http://schemas.microsoft.com/office/drawing/2014/main" id="{00000000-0008-0000-1200-0000360D0000}"/>
            </a:ext>
          </a:extLst>
        </xdr:cNvPr>
        <xdr:cNvCxnSpPr/>
      </xdr:nvCxnSpPr>
      <xdr:spPr>
        <a:xfrm>
          <a:off x="6720417" y="123041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3383" name="Straight Arrow Connector 3382">
          <a:extLst>
            <a:ext uri="{FF2B5EF4-FFF2-40B4-BE49-F238E27FC236}">
              <a16:creationId xmlns:a16="http://schemas.microsoft.com/office/drawing/2014/main" id="{00000000-0008-0000-1200-0000370D0000}"/>
            </a:ext>
          </a:extLst>
        </xdr:cNvPr>
        <xdr:cNvCxnSpPr/>
      </xdr:nvCxnSpPr>
      <xdr:spPr>
        <a:xfrm flipV="1">
          <a:off x="7874000" y="124174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3384" name="Straight Arrow Connector 3383">
          <a:extLst>
            <a:ext uri="{FF2B5EF4-FFF2-40B4-BE49-F238E27FC236}">
              <a16:creationId xmlns:a16="http://schemas.microsoft.com/office/drawing/2014/main" id="{00000000-0008-0000-1200-0000380D0000}"/>
            </a:ext>
          </a:extLst>
        </xdr:cNvPr>
        <xdr:cNvCxnSpPr/>
      </xdr:nvCxnSpPr>
      <xdr:spPr>
        <a:xfrm flipV="1">
          <a:off x="11271250"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3385" name="Straight Arrow Connector 3384">
          <a:extLst>
            <a:ext uri="{FF2B5EF4-FFF2-40B4-BE49-F238E27FC236}">
              <a16:creationId xmlns:a16="http://schemas.microsoft.com/office/drawing/2014/main" id="{00000000-0008-0000-1200-0000390D0000}"/>
            </a:ext>
          </a:extLst>
        </xdr:cNvPr>
        <xdr:cNvCxnSpPr/>
      </xdr:nvCxnSpPr>
      <xdr:spPr>
        <a:xfrm>
          <a:off x="11313583"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3386" name="Straight Arrow Connector 3385">
          <a:extLst>
            <a:ext uri="{FF2B5EF4-FFF2-40B4-BE49-F238E27FC236}">
              <a16:creationId xmlns:a16="http://schemas.microsoft.com/office/drawing/2014/main" id="{00000000-0008-0000-1200-00003A0D0000}"/>
            </a:ext>
          </a:extLst>
        </xdr:cNvPr>
        <xdr:cNvCxnSpPr/>
      </xdr:nvCxnSpPr>
      <xdr:spPr>
        <a:xfrm>
          <a:off x="11292416"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387" name="Straight Arrow Connector 3386">
          <a:extLst>
            <a:ext uri="{FF2B5EF4-FFF2-40B4-BE49-F238E27FC236}">
              <a16:creationId xmlns:a16="http://schemas.microsoft.com/office/drawing/2014/main" id="{00000000-0008-0000-1200-00003B0D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3388" name="Straight Arrow Connector 3387">
          <a:extLst>
            <a:ext uri="{FF2B5EF4-FFF2-40B4-BE49-F238E27FC236}">
              <a16:creationId xmlns:a16="http://schemas.microsoft.com/office/drawing/2014/main" id="{00000000-0008-0000-1200-00003C0D0000}"/>
            </a:ext>
          </a:extLst>
        </xdr:cNvPr>
        <xdr:cNvCxnSpPr/>
      </xdr:nvCxnSpPr>
      <xdr:spPr>
        <a:xfrm>
          <a:off x="11302999" y="119062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3389" name="Straight Arrow Connector 3388">
          <a:extLst>
            <a:ext uri="{FF2B5EF4-FFF2-40B4-BE49-F238E27FC236}">
              <a16:creationId xmlns:a16="http://schemas.microsoft.com/office/drawing/2014/main" id="{00000000-0008-0000-1200-00003D0D0000}"/>
            </a:ext>
          </a:extLst>
        </xdr:cNvPr>
        <xdr:cNvCxnSpPr/>
      </xdr:nvCxnSpPr>
      <xdr:spPr>
        <a:xfrm>
          <a:off x="11355916"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3390" name="Straight Arrow Connector 3389">
          <a:extLst>
            <a:ext uri="{FF2B5EF4-FFF2-40B4-BE49-F238E27FC236}">
              <a16:creationId xmlns:a16="http://schemas.microsoft.com/office/drawing/2014/main" id="{00000000-0008-0000-1200-00003E0D0000}"/>
            </a:ext>
          </a:extLst>
        </xdr:cNvPr>
        <xdr:cNvCxnSpPr/>
      </xdr:nvCxnSpPr>
      <xdr:spPr>
        <a:xfrm>
          <a:off x="11313583"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3391" name="Straight Arrow Connector 3390">
          <a:extLst>
            <a:ext uri="{FF2B5EF4-FFF2-40B4-BE49-F238E27FC236}">
              <a16:creationId xmlns:a16="http://schemas.microsoft.com/office/drawing/2014/main" id="{00000000-0008-0000-1200-00003F0D0000}"/>
            </a:ext>
          </a:extLst>
        </xdr:cNvPr>
        <xdr:cNvCxnSpPr/>
      </xdr:nvCxnSpPr>
      <xdr:spPr>
        <a:xfrm flipV="1">
          <a:off x="11302999"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3392" name="Straight Arrow Connector 3391">
          <a:extLst>
            <a:ext uri="{FF2B5EF4-FFF2-40B4-BE49-F238E27FC236}">
              <a16:creationId xmlns:a16="http://schemas.microsoft.com/office/drawing/2014/main" id="{00000000-0008-0000-1200-0000400D0000}"/>
            </a:ext>
          </a:extLst>
        </xdr:cNvPr>
        <xdr:cNvCxnSpPr/>
      </xdr:nvCxnSpPr>
      <xdr:spPr>
        <a:xfrm flipV="1">
          <a:off x="11345333"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3393" name="Straight Arrow Connector 3392">
          <a:extLst>
            <a:ext uri="{FF2B5EF4-FFF2-40B4-BE49-F238E27FC236}">
              <a16:creationId xmlns:a16="http://schemas.microsoft.com/office/drawing/2014/main" id="{00000000-0008-0000-1200-0000410D0000}"/>
            </a:ext>
          </a:extLst>
        </xdr:cNvPr>
        <xdr:cNvCxnSpPr/>
      </xdr:nvCxnSpPr>
      <xdr:spPr>
        <a:xfrm>
          <a:off x="11334749"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3394" name="Straight Arrow Connector 3393">
          <a:extLst>
            <a:ext uri="{FF2B5EF4-FFF2-40B4-BE49-F238E27FC236}">
              <a16:creationId xmlns:a16="http://schemas.microsoft.com/office/drawing/2014/main" id="{00000000-0008-0000-1200-0000420D0000}"/>
            </a:ext>
          </a:extLst>
        </xdr:cNvPr>
        <xdr:cNvCxnSpPr/>
      </xdr:nvCxnSpPr>
      <xdr:spPr>
        <a:xfrm>
          <a:off x="11313583" y="124703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3395" name="Straight Arrow Connector 3394">
          <a:extLst>
            <a:ext uri="{FF2B5EF4-FFF2-40B4-BE49-F238E27FC236}">
              <a16:creationId xmlns:a16="http://schemas.microsoft.com/office/drawing/2014/main" id="{00000000-0008-0000-1200-0000430D0000}"/>
            </a:ext>
          </a:extLst>
        </xdr:cNvPr>
        <xdr:cNvCxnSpPr/>
      </xdr:nvCxnSpPr>
      <xdr:spPr>
        <a:xfrm flipV="1">
          <a:off x="11324166"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3396" name="Straight Arrow Connector 3395">
          <a:extLst>
            <a:ext uri="{FF2B5EF4-FFF2-40B4-BE49-F238E27FC236}">
              <a16:creationId xmlns:a16="http://schemas.microsoft.com/office/drawing/2014/main" id="{00000000-0008-0000-1200-0000440D0000}"/>
            </a:ext>
          </a:extLst>
        </xdr:cNvPr>
        <xdr:cNvCxnSpPr/>
      </xdr:nvCxnSpPr>
      <xdr:spPr>
        <a:xfrm>
          <a:off x="7926917"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3397" name="Straight Arrow Connector 3396">
          <a:extLst>
            <a:ext uri="{FF2B5EF4-FFF2-40B4-BE49-F238E27FC236}">
              <a16:creationId xmlns:a16="http://schemas.microsoft.com/office/drawing/2014/main" id="{00000000-0008-0000-1200-0000450D0000}"/>
            </a:ext>
          </a:extLst>
        </xdr:cNvPr>
        <xdr:cNvCxnSpPr/>
      </xdr:nvCxnSpPr>
      <xdr:spPr>
        <a:xfrm flipV="1">
          <a:off x="9133417" y="123274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3398" name="Straight Arrow Connector 3397">
          <a:extLst>
            <a:ext uri="{FF2B5EF4-FFF2-40B4-BE49-F238E27FC236}">
              <a16:creationId xmlns:a16="http://schemas.microsoft.com/office/drawing/2014/main" id="{00000000-0008-0000-1200-0000460D0000}"/>
            </a:ext>
          </a:extLst>
        </xdr:cNvPr>
        <xdr:cNvCxnSpPr/>
      </xdr:nvCxnSpPr>
      <xdr:spPr>
        <a:xfrm>
          <a:off x="9122833" y="124227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3399" name="Straight Arrow Connector 3398">
          <a:extLst>
            <a:ext uri="{FF2B5EF4-FFF2-40B4-BE49-F238E27FC236}">
              <a16:creationId xmlns:a16="http://schemas.microsoft.com/office/drawing/2014/main" id="{00000000-0008-0000-1200-0000470D0000}"/>
            </a:ext>
          </a:extLst>
        </xdr:cNvPr>
        <xdr:cNvCxnSpPr/>
      </xdr:nvCxnSpPr>
      <xdr:spPr>
        <a:xfrm flipV="1">
          <a:off x="952500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3400" name="Straight Arrow Connector 3399">
          <a:extLst>
            <a:ext uri="{FF2B5EF4-FFF2-40B4-BE49-F238E27FC236}">
              <a16:creationId xmlns:a16="http://schemas.microsoft.com/office/drawing/2014/main" id="{00000000-0008-0000-1200-0000480D0000}"/>
            </a:ext>
          </a:extLst>
        </xdr:cNvPr>
        <xdr:cNvCxnSpPr/>
      </xdr:nvCxnSpPr>
      <xdr:spPr>
        <a:xfrm>
          <a:off x="9535583" y="128206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3401" name="Straight Arrow Connector 3400">
          <a:extLst>
            <a:ext uri="{FF2B5EF4-FFF2-40B4-BE49-F238E27FC236}">
              <a16:creationId xmlns:a16="http://schemas.microsoft.com/office/drawing/2014/main" id="{00000000-0008-0000-1200-0000490D0000}"/>
            </a:ext>
          </a:extLst>
        </xdr:cNvPr>
        <xdr:cNvCxnSpPr/>
      </xdr:nvCxnSpPr>
      <xdr:spPr>
        <a:xfrm>
          <a:off x="11334749"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1549</xdr:row>
      <xdr:rowOff>52916</xdr:rowOff>
    </xdr:from>
    <xdr:to>
      <xdr:col>16</xdr:col>
      <xdr:colOff>0</xdr:colOff>
      <xdr:row>1551</xdr:row>
      <xdr:rowOff>0</xdr:rowOff>
    </xdr:to>
    <xdr:cxnSp macro="">
      <xdr:nvCxnSpPr>
        <xdr:cNvPr id="3402" name="Straight Arrow Connector 3401">
          <a:extLst>
            <a:ext uri="{FF2B5EF4-FFF2-40B4-BE49-F238E27FC236}">
              <a16:creationId xmlns:a16="http://schemas.microsoft.com/office/drawing/2014/main" id="{00000000-0008-0000-1200-00004A0D0000}"/>
            </a:ext>
          </a:extLst>
        </xdr:cNvPr>
        <xdr:cNvCxnSpPr/>
      </xdr:nvCxnSpPr>
      <xdr:spPr>
        <a:xfrm flipV="1">
          <a:off x="11281833" y="124258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3403" name="Straight Arrow Connector 3402">
          <a:extLst>
            <a:ext uri="{FF2B5EF4-FFF2-40B4-BE49-F238E27FC236}">
              <a16:creationId xmlns:a16="http://schemas.microsoft.com/office/drawing/2014/main" id="{00000000-0008-0000-1200-00004B0D0000}"/>
            </a:ext>
          </a:extLst>
        </xdr:cNvPr>
        <xdr:cNvCxnSpPr/>
      </xdr:nvCxnSpPr>
      <xdr:spPr>
        <a:xfrm>
          <a:off x="11271250"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3404" name="Straight Arrow Connector 3403">
          <a:extLst>
            <a:ext uri="{FF2B5EF4-FFF2-40B4-BE49-F238E27FC236}">
              <a16:creationId xmlns:a16="http://schemas.microsoft.com/office/drawing/2014/main" id="{00000000-0008-0000-1200-00004C0D0000}"/>
            </a:ext>
          </a:extLst>
        </xdr:cNvPr>
        <xdr:cNvCxnSpPr/>
      </xdr:nvCxnSpPr>
      <xdr:spPr>
        <a:xfrm>
          <a:off x="11271250" y="124587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3405" name="Straight Arrow Connector 3404">
          <a:extLst>
            <a:ext uri="{FF2B5EF4-FFF2-40B4-BE49-F238E27FC236}">
              <a16:creationId xmlns:a16="http://schemas.microsoft.com/office/drawing/2014/main" id="{00000000-0008-0000-1200-00004D0D0000}"/>
            </a:ext>
          </a:extLst>
        </xdr:cNvPr>
        <xdr:cNvCxnSpPr/>
      </xdr:nvCxnSpPr>
      <xdr:spPr>
        <a:xfrm flipV="1">
          <a:off x="11271250"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3406" name="Straight Arrow Connector 3405">
          <a:extLst>
            <a:ext uri="{FF2B5EF4-FFF2-40B4-BE49-F238E27FC236}">
              <a16:creationId xmlns:a16="http://schemas.microsoft.com/office/drawing/2014/main" id="{00000000-0008-0000-1200-00004E0D0000}"/>
            </a:ext>
          </a:extLst>
        </xdr:cNvPr>
        <xdr:cNvCxnSpPr/>
      </xdr:nvCxnSpPr>
      <xdr:spPr>
        <a:xfrm>
          <a:off x="11313583"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3407" name="Straight Arrow Connector 3406">
          <a:extLst>
            <a:ext uri="{FF2B5EF4-FFF2-40B4-BE49-F238E27FC236}">
              <a16:creationId xmlns:a16="http://schemas.microsoft.com/office/drawing/2014/main" id="{00000000-0008-0000-1200-00004F0D0000}"/>
            </a:ext>
          </a:extLst>
        </xdr:cNvPr>
        <xdr:cNvCxnSpPr/>
      </xdr:nvCxnSpPr>
      <xdr:spPr>
        <a:xfrm>
          <a:off x="11292416"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408" name="Straight Arrow Connector 3407">
          <a:extLst>
            <a:ext uri="{FF2B5EF4-FFF2-40B4-BE49-F238E27FC236}">
              <a16:creationId xmlns:a16="http://schemas.microsoft.com/office/drawing/2014/main" id="{00000000-0008-0000-1200-0000500D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3409" name="Straight Arrow Connector 3408">
          <a:extLst>
            <a:ext uri="{FF2B5EF4-FFF2-40B4-BE49-F238E27FC236}">
              <a16:creationId xmlns:a16="http://schemas.microsoft.com/office/drawing/2014/main" id="{00000000-0008-0000-1200-0000510D0000}"/>
            </a:ext>
          </a:extLst>
        </xdr:cNvPr>
        <xdr:cNvCxnSpPr/>
      </xdr:nvCxnSpPr>
      <xdr:spPr>
        <a:xfrm>
          <a:off x="11302999" y="129921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3410" name="Straight Arrow Connector 3409">
          <a:extLst>
            <a:ext uri="{FF2B5EF4-FFF2-40B4-BE49-F238E27FC236}">
              <a16:creationId xmlns:a16="http://schemas.microsoft.com/office/drawing/2014/main" id="{00000000-0008-0000-1200-0000520D0000}"/>
            </a:ext>
          </a:extLst>
        </xdr:cNvPr>
        <xdr:cNvCxnSpPr/>
      </xdr:nvCxnSpPr>
      <xdr:spPr>
        <a:xfrm>
          <a:off x="11355916"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3411" name="Straight Arrow Connector 3410">
          <a:extLst>
            <a:ext uri="{FF2B5EF4-FFF2-40B4-BE49-F238E27FC236}">
              <a16:creationId xmlns:a16="http://schemas.microsoft.com/office/drawing/2014/main" id="{00000000-0008-0000-1200-0000530D0000}"/>
            </a:ext>
          </a:extLst>
        </xdr:cNvPr>
        <xdr:cNvCxnSpPr/>
      </xdr:nvCxnSpPr>
      <xdr:spPr>
        <a:xfrm>
          <a:off x="11313583"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3412" name="Straight Arrow Connector 3411">
          <a:extLst>
            <a:ext uri="{FF2B5EF4-FFF2-40B4-BE49-F238E27FC236}">
              <a16:creationId xmlns:a16="http://schemas.microsoft.com/office/drawing/2014/main" id="{00000000-0008-0000-1200-0000540D0000}"/>
            </a:ext>
          </a:extLst>
        </xdr:cNvPr>
        <xdr:cNvCxnSpPr/>
      </xdr:nvCxnSpPr>
      <xdr:spPr>
        <a:xfrm flipV="1">
          <a:off x="11324166"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3413" name="Straight Arrow Connector 3412">
          <a:extLst>
            <a:ext uri="{FF2B5EF4-FFF2-40B4-BE49-F238E27FC236}">
              <a16:creationId xmlns:a16="http://schemas.microsoft.com/office/drawing/2014/main" id="{00000000-0008-0000-1200-0000550D0000}"/>
            </a:ext>
          </a:extLst>
        </xdr:cNvPr>
        <xdr:cNvCxnSpPr/>
      </xdr:nvCxnSpPr>
      <xdr:spPr>
        <a:xfrm flipV="1">
          <a:off x="5492750" y="1121410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3414" name="Straight Arrow Connector 3413">
          <a:extLst>
            <a:ext uri="{FF2B5EF4-FFF2-40B4-BE49-F238E27FC236}">
              <a16:creationId xmlns:a16="http://schemas.microsoft.com/office/drawing/2014/main" id="{00000000-0008-0000-1200-0000560D0000}"/>
            </a:ext>
          </a:extLst>
        </xdr:cNvPr>
        <xdr:cNvCxnSpPr/>
      </xdr:nvCxnSpPr>
      <xdr:spPr>
        <a:xfrm flipV="1">
          <a:off x="3810000" y="1386840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3415" name="Straight Arrow Connector 3414">
          <a:extLst>
            <a:ext uri="{FF2B5EF4-FFF2-40B4-BE49-F238E27FC236}">
              <a16:creationId xmlns:a16="http://schemas.microsoft.com/office/drawing/2014/main" id="{00000000-0008-0000-1200-0000570D0000}"/>
            </a:ext>
          </a:extLst>
        </xdr:cNvPr>
        <xdr:cNvCxnSpPr/>
      </xdr:nvCxnSpPr>
      <xdr:spPr>
        <a:xfrm>
          <a:off x="3894667" y="145901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3416" name="Straight Arrow Connector 3415">
          <a:extLst>
            <a:ext uri="{FF2B5EF4-FFF2-40B4-BE49-F238E27FC236}">
              <a16:creationId xmlns:a16="http://schemas.microsoft.com/office/drawing/2014/main" id="{00000000-0008-0000-1200-0000580D0000}"/>
            </a:ext>
          </a:extLst>
        </xdr:cNvPr>
        <xdr:cNvCxnSpPr/>
      </xdr:nvCxnSpPr>
      <xdr:spPr>
        <a:xfrm flipV="1">
          <a:off x="5461000" y="133879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3417" name="Straight Arrow Connector 3416">
          <a:extLst>
            <a:ext uri="{FF2B5EF4-FFF2-40B4-BE49-F238E27FC236}">
              <a16:creationId xmlns:a16="http://schemas.microsoft.com/office/drawing/2014/main" id="{00000000-0008-0000-1200-0000590D0000}"/>
            </a:ext>
          </a:extLst>
        </xdr:cNvPr>
        <xdr:cNvCxnSpPr/>
      </xdr:nvCxnSpPr>
      <xdr:spPr>
        <a:xfrm>
          <a:off x="5461000" y="1386945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3418" name="Straight Arrow Connector 3417">
          <a:extLst>
            <a:ext uri="{FF2B5EF4-FFF2-40B4-BE49-F238E27FC236}">
              <a16:creationId xmlns:a16="http://schemas.microsoft.com/office/drawing/2014/main" id="{00000000-0008-0000-1200-00005A0D0000}"/>
            </a:ext>
          </a:extLst>
        </xdr:cNvPr>
        <xdr:cNvCxnSpPr/>
      </xdr:nvCxnSpPr>
      <xdr:spPr>
        <a:xfrm flipV="1">
          <a:off x="6688667" y="132344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3419" name="Straight Arrow Connector 3418">
          <a:extLst>
            <a:ext uri="{FF2B5EF4-FFF2-40B4-BE49-F238E27FC236}">
              <a16:creationId xmlns:a16="http://schemas.microsoft.com/office/drawing/2014/main" id="{00000000-0008-0000-1200-00005B0D0000}"/>
            </a:ext>
          </a:extLst>
        </xdr:cNvPr>
        <xdr:cNvCxnSpPr/>
      </xdr:nvCxnSpPr>
      <xdr:spPr>
        <a:xfrm>
          <a:off x="6720417" y="133921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3420" name="Straight Arrow Connector 3419">
          <a:extLst>
            <a:ext uri="{FF2B5EF4-FFF2-40B4-BE49-F238E27FC236}">
              <a16:creationId xmlns:a16="http://schemas.microsoft.com/office/drawing/2014/main" id="{00000000-0008-0000-1200-00005C0D0000}"/>
            </a:ext>
          </a:extLst>
        </xdr:cNvPr>
        <xdr:cNvCxnSpPr/>
      </xdr:nvCxnSpPr>
      <xdr:spPr>
        <a:xfrm flipV="1">
          <a:off x="7937500" y="135043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3421" name="Straight Arrow Connector 3420">
          <a:extLst>
            <a:ext uri="{FF2B5EF4-FFF2-40B4-BE49-F238E27FC236}">
              <a16:creationId xmlns:a16="http://schemas.microsoft.com/office/drawing/2014/main" id="{00000000-0008-0000-1200-00005D0D0000}"/>
            </a:ext>
          </a:extLst>
        </xdr:cNvPr>
        <xdr:cNvCxnSpPr/>
      </xdr:nvCxnSpPr>
      <xdr:spPr>
        <a:xfrm>
          <a:off x="7926917" y="136059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3422" name="Straight Arrow Connector 3421">
          <a:extLst>
            <a:ext uri="{FF2B5EF4-FFF2-40B4-BE49-F238E27FC236}">
              <a16:creationId xmlns:a16="http://schemas.microsoft.com/office/drawing/2014/main" id="{00000000-0008-0000-1200-00005E0D0000}"/>
            </a:ext>
          </a:extLst>
        </xdr:cNvPr>
        <xdr:cNvCxnSpPr/>
      </xdr:nvCxnSpPr>
      <xdr:spPr>
        <a:xfrm flipV="1">
          <a:off x="9133417" y="134133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3423" name="Straight Arrow Connector 3422">
          <a:extLst>
            <a:ext uri="{FF2B5EF4-FFF2-40B4-BE49-F238E27FC236}">
              <a16:creationId xmlns:a16="http://schemas.microsoft.com/office/drawing/2014/main" id="{00000000-0008-0000-1200-00005F0D0000}"/>
            </a:ext>
          </a:extLst>
        </xdr:cNvPr>
        <xdr:cNvCxnSpPr/>
      </xdr:nvCxnSpPr>
      <xdr:spPr>
        <a:xfrm>
          <a:off x="9122833" y="135085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3424" name="Straight Arrow Connector 3423">
          <a:extLst>
            <a:ext uri="{FF2B5EF4-FFF2-40B4-BE49-F238E27FC236}">
              <a16:creationId xmlns:a16="http://schemas.microsoft.com/office/drawing/2014/main" id="{00000000-0008-0000-1200-0000600D0000}"/>
            </a:ext>
          </a:extLst>
        </xdr:cNvPr>
        <xdr:cNvCxnSpPr/>
      </xdr:nvCxnSpPr>
      <xdr:spPr>
        <a:xfrm flipV="1">
          <a:off x="9525000" y="138133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3425" name="Straight Arrow Connector 3424">
          <a:extLst>
            <a:ext uri="{FF2B5EF4-FFF2-40B4-BE49-F238E27FC236}">
              <a16:creationId xmlns:a16="http://schemas.microsoft.com/office/drawing/2014/main" id="{00000000-0008-0000-1200-0000610D0000}"/>
            </a:ext>
          </a:extLst>
        </xdr:cNvPr>
        <xdr:cNvCxnSpPr/>
      </xdr:nvCxnSpPr>
      <xdr:spPr>
        <a:xfrm>
          <a:off x="9535583" y="139065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1592</xdr:row>
      <xdr:rowOff>0</xdr:rowOff>
    </xdr:from>
    <xdr:to>
      <xdr:col>15</xdr:col>
      <xdr:colOff>603250</xdr:colOff>
      <xdr:row>1597</xdr:row>
      <xdr:rowOff>31750</xdr:rowOff>
    </xdr:to>
    <xdr:cxnSp macro="">
      <xdr:nvCxnSpPr>
        <xdr:cNvPr id="3426" name="Straight Arrow Connector 3425">
          <a:extLst>
            <a:ext uri="{FF2B5EF4-FFF2-40B4-BE49-F238E27FC236}">
              <a16:creationId xmlns:a16="http://schemas.microsoft.com/office/drawing/2014/main" id="{00000000-0008-0000-1200-0000620D0000}"/>
            </a:ext>
          </a:extLst>
        </xdr:cNvPr>
        <xdr:cNvCxnSpPr/>
      </xdr:nvCxnSpPr>
      <xdr:spPr>
        <a:xfrm flipV="1">
          <a:off x="11281833" y="132588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3427" name="Straight Arrow Connector 3426">
          <a:extLst>
            <a:ext uri="{FF2B5EF4-FFF2-40B4-BE49-F238E27FC236}">
              <a16:creationId xmlns:a16="http://schemas.microsoft.com/office/drawing/2014/main" id="{00000000-0008-0000-1200-0000630D0000}"/>
            </a:ext>
          </a:extLst>
        </xdr:cNvPr>
        <xdr:cNvCxnSpPr/>
      </xdr:nvCxnSpPr>
      <xdr:spPr>
        <a:xfrm flipV="1">
          <a:off x="11324166" y="133212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3428" name="Straight Arrow Connector 3427">
          <a:extLst>
            <a:ext uri="{FF2B5EF4-FFF2-40B4-BE49-F238E27FC236}">
              <a16:creationId xmlns:a16="http://schemas.microsoft.com/office/drawing/2014/main" id="{00000000-0008-0000-1200-0000640D0000}"/>
            </a:ext>
          </a:extLst>
        </xdr:cNvPr>
        <xdr:cNvCxnSpPr/>
      </xdr:nvCxnSpPr>
      <xdr:spPr>
        <a:xfrm>
          <a:off x="11345333" y="133699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3429" name="Straight Arrow Connector 3428">
          <a:extLst>
            <a:ext uri="{FF2B5EF4-FFF2-40B4-BE49-F238E27FC236}">
              <a16:creationId xmlns:a16="http://schemas.microsoft.com/office/drawing/2014/main" id="{00000000-0008-0000-1200-0000650D0000}"/>
            </a:ext>
          </a:extLst>
        </xdr:cNvPr>
        <xdr:cNvCxnSpPr/>
      </xdr:nvCxnSpPr>
      <xdr:spPr>
        <a:xfrm>
          <a:off x="11260667" y="133646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1605</xdr:row>
      <xdr:rowOff>52916</xdr:rowOff>
    </xdr:from>
    <xdr:to>
      <xdr:col>16</xdr:col>
      <xdr:colOff>0</xdr:colOff>
      <xdr:row>1607</xdr:row>
      <xdr:rowOff>0</xdr:rowOff>
    </xdr:to>
    <xdr:cxnSp macro="">
      <xdr:nvCxnSpPr>
        <xdr:cNvPr id="3430" name="Straight Arrow Connector 3429">
          <a:extLst>
            <a:ext uri="{FF2B5EF4-FFF2-40B4-BE49-F238E27FC236}">
              <a16:creationId xmlns:a16="http://schemas.microsoft.com/office/drawing/2014/main" id="{00000000-0008-0000-1200-0000660D0000}"/>
            </a:ext>
          </a:extLst>
        </xdr:cNvPr>
        <xdr:cNvCxnSpPr/>
      </xdr:nvCxnSpPr>
      <xdr:spPr>
        <a:xfrm flipV="1">
          <a:off x="11281833" y="135117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3431" name="Straight Arrow Connector 3430">
          <a:extLst>
            <a:ext uri="{FF2B5EF4-FFF2-40B4-BE49-F238E27FC236}">
              <a16:creationId xmlns:a16="http://schemas.microsoft.com/office/drawing/2014/main" id="{00000000-0008-0000-1200-0000670D0000}"/>
            </a:ext>
          </a:extLst>
        </xdr:cNvPr>
        <xdr:cNvCxnSpPr/>
      </xdr:nvCxnSpPr>
      <xdr:spPr>
        <a:xfrm>
          <a:off x="11292416" y="135466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3432" name="Straight Arrow Connector 3431">
          <a:extLst>
            <a:ext uri="{FF2B5EF4-FFF2-40B4-BE49-F238E27FC236}">
              <a16:creationId xmlns:a16="http://schemas.microsoft.com/office/drawing/2014/main" id="{00000000-0008-0000-1200-0000680D0000}"/>
            </a:ext>
          </a:extLst>
        </xdr:cNvPr>
        <xdr:cNvCxnSpPr/>
      </xdr:nvCxnSpPr>
      <xdr:spPr>
        <a:xfrm>
          <a:off x="11271250" y="135466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433" name="Straight Arrow Connector 3432">
          <a:extLst>
            <a:ext uri="{FF2B5EF4-FFF2-40B4-BE49-F238E27FC236}">
              <a16:creationId xmlns:a16="http://schemas.microsoft.com/office/drawing/2014/main" id="{00000000-0008-0000-1200-0000690D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3434" name="Straight Arrow Connector 3433">
          <a:extLst>
            <a:ext uri="{FF2B5EF4-FFF2-40B4-BE49-F238E27FC236}">
              <a16:creationId xmlns:a16="http://schemas.microsoft.com/office/drawing/2014/main" id="{00000000-0008-0000-1200-00006A0D0000}"/>
            </a:ext>
          </a:extLst>
        </xdr:cNvPr>
        <xdr:cNvCxnSpPr/>
      </xdr:nvCxnSpPr>
      <xdr:spPr>
        <a:xfrm flipV="1">
          <a:off x="6699250" y="142726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3435" name="Straight Arrow Connector 3434">
          <a:extLst>
            <a:ext uri="{FF2B5EF4-FFF2-40B4-BE49-F238E27FC236}">
              <a16:creationId xmlns:a16="http://schemas.microsoft.com/office/drawing/2014/main" id="{00000000-0008-0000-1200-00006B0D0000}"/>
            </a:ext>
          </a:extLst>
        </xdr:cNvPr>
        <xdr:cNvCxnSpPr/>
      </xdr:nvCxnSpPr>
      <xdr:spPr>
        <a:xfrm>
          <a:off x="6720417" y="144758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3436" name="Straight Arrow Connector 3435">
          <a:extLst>
            <a:ext uri="{FF2B5EF4-FFF2-40B4-BE49-F238E27FC236}">
              <a16:creationId xmlns:a16="http://schemas.microsoft.com/office/drawing/2014/main" id="{00000000-0008-0000-1200-00006C0D0000}"/>
            </a:ext>
          </a:extLst>
        </xdr:cNvPr>
        <xdr:cNvCxnSpPr/>
      </xdr:nvCxnSpPr>
      <xdr:spPr>
        <a:xfrm flipV="1">
          <a:off x="7874000" y="145891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3437" name="Straight Arrow Connector 3436">
          <a:extLst>
            <a:ext uri="{FF2B5EF4-FFF2-40B4-BE49-F238E27FC236}">
              <a16:creationId xmlns:a16="http://schemas.microsoft.com/office/drawing/2014/main" id="{00000000-0008-0000-1200-00006D0D0000}"/>
            </a:ext>
          </a:extLst>
        </xdr:cNvPr>
        <xdr:cNvCxnSpPr/>
      </xdr:nvCxnSpPr>
      <xdr:spPr>
        <a:xfrm flipV="1">
          <a:off x="11271250" y="137731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3438" name="Straight Arrow Connector 3437">
          <a:extLst>
            <a:ext uri="{FF2B5EF4-FFF2-40B4-BE49-F238E27FC236}">
              <a16:creationId xmlns:a16="http://schemas.microsoft.com/office/drawing/2014/main" id="{00000000-0008-0000-1200-00006E0D0000}"/>
            </a:ext>
          </a:extLst>
        </xdr:cNvPr>
        <xdr:cNvCxnSpPr/>
      </xdr:nvCxnSpPr>
      <xdr:spPr>
        <a:xfrm>
          <a:off x="11313583" y="138123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3439" name="Straight Arrow Connector 3438">
          <a:extLst>
            <a:ext uri="{FF2B5EF4-FFF2-40B4-BE49-F238E27FC236}">
              <a16:creationId xmlns:a16="http://schemas.microsoft.com/office/drawing/2014/main" id="{00000000-0008-0000-1200-00006F0D0000}"/>
            </a:ext>
          </a:extLst>
        </xdr:cNvPr>
        <xdr:cNvCxnSpPr/>
      </xdr:nvCxnSpPr>
      <xdr:spPr>
        <a:xfrm>
          <a:off x="11292416" y="138123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440" name="Straight Arrow Connector 3439">
          <a:extLst>
            <a:ext uri="{FF2B5EF4-FFF2-40B4-BE49-F238E27FC236}">
              <a16:creationId xmlns:a16="http://schemas.microsoft.com/office/drawing/2014/main" id="{00000000-0008-0000-1200-0000700D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3441" name="Straight Arrow Connector 3440">
          <a:extLst>
            <a:ext uri="{FF2B5EF4-FFF2-40B4-BE49-F238E27FC236}">
              <a16:creationId xmlns:a16="http://schemas.microsoft.com/office/drawing/2014/main" id="{00000000-0008-0000-1200-0000710D0000}"/>
            </a:ext>
          </a:extLst>
        </xdr:cNvPr>
        <xdr:cNvCxnSpPr/>
      </xdr:nvCxnSpPr>
      <xdr:spPr>
        <a:xfrm>
          <a:off x="11302999" y="140779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3442" name="Straight Arrow Connector 3441">
          <a:extLst>
            <a:ext uri="{FF2B5EF4-FFF2-40B4-BE49-F238E27FC236}">
              <a16:creationId xmlns:a16="http://schemas.microsoft.com/office/drawing/2014/main" id="{00000000-0008-0000-1200-0000720D0000}"/>
            </a:ext>
          </a:extLst>
        </xdr:cNvPr>
        <xdr:cNvCxnSpPr/>
      </xdr:nvCxnSpPr>
      <xdr:spPr>
        <a:xfrm>
          <a:off x="11355916" y="140800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3443" name="Straight Arrow Connector 3442">
          <a:extLst>
            <a:ext uri="{FF2B5EF4-FFF2-40B4-BE49-F238E27FC236}">
              <a16:creationId xmlns:a16="http://schemas.microsoft.com/office/drawing/2014/main" id="{00000000-0008-0000-1200-0000730D0000}"/>
            </a:ext>
          </a:extLst>
        </xdr:cNvPr>
        <xdr:cNvCxnSpPr/>
      </xdr:nvCxnSpPr>
      <xdr:spPr>
        <a:xfrm>
          <a:off x="11313583" y="140832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3444" name="Straight Arrow Connector 3443">
          <a:extLst>
            <a:ext uri="{FF2B5EF4-FFF2-40B4-BE49-F238E27FC236}">
              <a16:creationId xmlns:a16="http://schemas.microsoft.com/office/drawing/2014/main" id="{00000000-0008-0000-1200-0000740D0000}"/>
            </a:ext>
          </a:extLst>
        </xdr:cNvPr>
        <xdr:cNvCxnSpPr/>
      </xdr:nvCxnSpPr>
      <xdr:spPr>
        <a:xfrm flipV="1">
          <a:off x="11302999" y="143562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3445" name="Straight Arrow Connector 3444">
          <a:extLst>
            <a:ext uri="{FF2B5EF4-FFF2-40B4-BE49-F238E27FC236}">
              <a16:creationId xmlns:a16="http://schemas.microsoft.com/office/drawing/2014/main" id="{00000000-0008-0000-1200-0000750D0000}"/>
            </a:ext>
          </a:extLst>
        </xdr:cNvPr>
        <xdr:cNvCxnSpPr/>
      </xdr:nvCxnSpPr>
      <xdr:spPr>
        <a:xfrm flipV="1">
          <a:off x="11345333" y="143922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3446" name="Straight Arrow Connector 3445">
          <a:extLst>
            <a:ext uri="{FF2B5EF4-FFF2-40B4-BE49-F238E27FC236}">
              <a16:creationId xmlns:a16="http://schemas.microsoft.com/office/drawing/2014/main" id="{00000000-0008-0000-1200-0000760D0000}"/>
            </a:ext>
          </a:extLst>
        </xdr:cNvPr>
        <xdr:cNvCxnSpPr/>
      </xdr:nvCxnSpPr>
      <xdr:spPr>
        <a:xfrm>
          <a:off x="11334749" y="144324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3447" name="Straight Arrow Connector 3446">
          <a:extLst>
            <a:ext uri="{FF2B5EF4-FFF2-40B4-BE49-F238E27FC236}">
              <a16:creationId xmlns:a16="http://schemas.microsoft.com/office/drawing/2014/main" id="{00000000-0008-0000-1200-0000770D0000}"/>
            </a:ext>
          </a:extLst>
        </xdr:cNvPr>
        <xdr:cNvCxnSpPr/>
      </xdr:nvCxnSpPr>
      <xdr:spPr>
        <a:xfrm>
          <a:off x="11313583" y="146420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3448" name="Straight Arrow Connector 3447">
          <a:extLst>
            <a:ext uri="{FF2B5EF4-FFF2-40B4-BE49-F238E27FC236}">
              <a16:creationId xmlns:a16="http://schemas.microsoft.com/office/drawing/2014/main" id="{00000000-0008-0000-1200-0000780D0000}"/>
            </a:ext>
          </a:extLst>
        </xdr:cNvPr>
        <xdr:cNvCxnSpPr/>
      </xdr:nvCxnSpPr>
      <xdr:spPr>
        <a:xfrm flipV="1">
          <a:off x="11324166" y="140260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3449" name="Straight Arrow Connector 3448">
          <a:extLst>
            <a:ext uri="{FF2B5EF4-FFF2-40B4-BE49-F238E27FC236}">
              <a16:creationId xmlns:a16="http://schemas.microsoft.com/office/drawing/2014/main" id="{00000000-0008-0000-1200-0000790D0000}"/>
            </a:ext>
          </a:extLst>
        </xdr:cNvPr>
        <xdr:cNvCxnSpPr/>
      </xdr:nvCxnSpPr>
      <xdr:spPr>
        <a:xfrm>
          <a:off x="7926917" y="146917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3450" name="Straight Arrow Connector 3449">
          <a:extLst>
            <a:ext uri="{FF2B5EF4-FFF2-40B4-BE49-F238E27FC236}">
              <a16:creationId xmlns:a16="http://schemas.microsoft.com/office/drawing/2014/main" id="{00000000-0008-0000-1200-00007A0D0000}"/>
            </a:ext>
          </a:extLst>
        </xdr:cNvPr>
        <xdr:cNvCxnSpPr/>
      </xdr:nvCxnSpPr>
      <xdr:spPr>
        <a:xfrm flipV="1">
          <a:off x="9133417" y="144991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3451" name="Straight Arrow Connector 3450">
          <a:extLst>
            <a:ext uri="{FF2B5EF4-FFF2-40B4-BE49-F238E27FC236}">
              <a16:creationId xmlns:a16="http://schemas.microsoft.com/office/drawing/2014/main" id="{00000000-0008-0000-1200-00007B0D0000}"/>
            </a:ext>
          </a:extLst>
        </xdr:cNvPr>
        <xdr:cNvCxnSpPr/>
      </xdr:nvCxnSpPr>
      <xdr:spPr>
        <a:xfrm>
          <a:off x="9122833" y="145944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3452" name="Straight Arrow Connector 3451">
          <a:extLst>
            <a:ext uri="{FF2B5EF4-FFF2-40B4-BE49-F238E27FC236}">
              <a16:creationId xmlns:a16="http://schemas.microsoft.com/office/drawing/2014/main" id="{00000000-0008-0000-1200-00007C0D0000}"/>
            </a:ext>
          </a:extLst>
        </xdr:cNvPr>
        <xdr:cNvCxnSpPr/>
      </xdr:nvCxnSpPr>
      <xdr:spPr>
        <a:xfrm flipV="1">
          <a:off x="9525000" y="148992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3453" name="Straight Arrow Connector 3452">
          <a:extLst>
            <a:ext uri="{FF2B5EF4-FFF2-40B4-BE49-F238E27FC236}">
              <a16:creationId xmlns:a16="http://schemas.microsoft.com/office/drawing/2014/main" id="{00000000-0008-0000-1200-00007D0D0000}"/>
            </a:ext>
          </a:extLst>
        </xdr:cNvPr>
        <xdr:cNvCxnSpPr/>
      </xdr:nvCxnSpPr>
      <xdr:spPr>
        <a:xfrm>
          <a:off x="9535583" y="149923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3454" name="Straight Arrow Connector 3453">
          <a:extLst>
            <a:ext uri="{FF2B5EF4-FFF2-40B4-BE49-F238E27FC236}">
              <a16:creationId xmlns:a16="http://schemas.microsoft.com/office/drawing/2014/main" id="{00000000-0008-0000-1200-00007E0D0000}"/>
            </a:ext>
          </a:extLst>
        </xdr:cNvPr>
        <xdr:cNvCxnSpPr/>
      </xdr:nvCxnSpPr>
      <xdr:spPr>
        <a:xfrm>
          <a:off x="11334749" y="144303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1661</xdr:row>
      <xdr:rowOff>52916</xdr:rowOff>
    </xdr:from>
    <xdr:to>
      <xdr:col>16</xdr:col>
      <xdr:colOff>0</xdr:colOff>
      <xdr:row>1663</xdr:row>
      <xdr:rowOff>0</xdr:rowOff>
    </xdr:to>
    <xdr:cxnSp macro="">
      <xdr:nvCxnSpPr>
        <xdr:cNvPr id="3455" name="Straight Arrow Connector 3454">
          <a:extLst>
            <a:ext uri="{FF2B5EF4-FFF2-40B4-BE49-F238E27FC236}">
              <a16:creationId xmlns:a16="http://schemas.microsoft.com/office/drawing/2014/main" id="{00000000-0008-0000-1200-00007F0D0000}"/>
            </a:ext>
          </a:extLst>
        </xdr:cNvPr>
        <xdr:cNvCxnSpPr/>
      </xdr:nvCxnSpPr>
      <xdr:spPr>
        <a:xfrm flipV="1">
          <a:off x="11281833" y="145975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3456" name="Straight Arrow Connector 3455">
          <a:extLst>
            <a:ext uri="{FF2B5EF4-FFF2-40B4-BE49-F238E27FC236}">
              <a16:creationId xmlns:a16="http://schemas.microsoft.com/office/drawing/2014/main" id="{00000000-0008-0000-1200-0000800D0000}"/>
            </a:ext>
          </a:extLst>
        </xdr:cNvPr>
        <xdr:cNvCxnSpPr/>
      </xdr:nvCxnSpPr>
      <xdr:spPr>
        <a:xfrm>
          <a:off x="11271250" y="146325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3457" name="Straight Arrow Connector 3456">
          <a:extLst>
            <a:ext uri="{FF2B5EF4-FFF2-40B4-BE49-F238E27FC236}">
              <a16:creationId xmlns:a16="http://schemas.microsoft.com/office/drawing/2014/main" id="{00000000-0008-0000-1200-0000810D0000}"/>
            </a:ext>
          </a:extLst>
        </xdr:cNvPr>
        <xdr:cNvCxnSpPr/>
      </xdr:nvCxnSpPr>
      <xdr:spPr>
        <a:xfrm>
          <a:off x="11271250" y="146304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3458" name="Straight Arrow Connector 3457">
          <a:extLst>
            <a:ext uri="{FF2B5EF4-FFF2-40B4-BE49-F238E27FC236}">
              <a16:creationId xmlns:a16="http://schemas.microsoft.com/office/drawing/2014/main" id="{00000000-0008-0000-1200-0000820D0000}"/>
            </a:ext>
          </a:extLst>
        </xdr:cNvPr>
        <xdr:cNvCxnSpPr/>
      </xdr:nvCxnSpPr>
      <xdr:spPr>
        <a:xfrm flipV="1">
          <a:off x="11271250" y="148590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3459" name="Straight Arrow Connector 3458">
          <a:extLst>
            <a:ext uri="{FF2B5EF4-FFF2-40B4-BE49-F238E27FC236}">
              <a16:creationId xmlns:a16="http://schemas.microsoft.com/office/drawing/2014/main" id="{00000000-0008-0000-1200-0000830D0000}"/>
            </a:ext>
          </a:extLst>
        </xdr:cNvPr>
        <xdr:cNvCxnSpPr/>
      </xdr:nvCxnSpPr>
      <xdr:spPr>
        <a:xfrm>
          <a:off x="11313583" y="148981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3460" name="Straight Arrow Connector 3459">
          <a:extLst>
            <a:ext uri="{FF2B5EF4-FFF2-40B4-BE49-F238E27FC236}">
              <a16:creationId xmlns:a16="http://schemas.microsoft.com/office/drawing/2014/main" id="{00000000-0008-0000-1200-0000840D0000}"/>
            </a:ext>
          </a:extLst>
        </xdr:cNvPr>
        <xdr:cNvCxnSpPr/>
      </xdr:nvCxnSpPr>
      <xdr:spPr>
        <a:xfrm>
          <a:off x="11292416" y="148981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461" name="Straight Arrow Connector 3460">
          <a:extLst>
            <a:ext uri="{FF2B5EF4-FFF2-40B4-BE49-F238E27FC236}">
              <a16:creationId xmlns:a16="http://schemas.microsoft.com/office/drawing/2014/main" id="{00000000-0008-0000-1200-0000850D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3462" name="Straight Arrow Connector 3461">
          <a:extLst>
            <a:ext uri="{FF2B5EF4-FFF2-40B4-BE49-F238E27FC236}">
              <a16:creationId xmlns:a16="http://schemas.microsoft.com/office/drawing/2014/main" id="{00000000-0008-0000-1200-0000860D0000}"/>
            </a:ext>
          </a:extLst>
        </xdr:cNvPr>
        <xdr:cNvCxnSpPr/>
      </xdr:nvCxnSpPr>
      <xdr:spPr>
        <a:xfrm>
          <a:off x="11302999" y="151638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3463" name="Straight Arrow Connector 3462">
          <a:extLst>
            <a:ext uri="{FF2B5EF4-FFF2-40B4-BE49-F238E27FC236}">
              <a16:creationId xmlns:a16="http://schemas.microsoft.com/office/drawing/2014/main" id="{00000000-0008-0000-1200-0000870D0000}"/>
            </a:ext>
          </a:extLst>
        </xdr:cNvPr>
        <xdr:cNvCxnSpPr/>
      </xdr:nvCxnSpPr>
      <xdr:spPr>
        <a:xfrm>
          <a:off x="11355916" y="151659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3464" name="Straight Arrow Connector 3463">
          <a:extLst>
            <a:ext uri="{FF2B5EF4-FFF2-40B4-BE49-F238E27FC236}">
              <a16:creationId xmlns:a16="http://schemas.microsoft.com/office/drawing/2014/main" id="{00000000-0008-0000-1200-0000880D0000}"/>
            </a:ext>
          </a:extLst>
        </xdr:cNvPr>
        <xdr:cNvCxnSpPr/>
      </xdr:nvCxnSpPr>
      <xdr:spPr>
        <a:xfrm>
          <a:off x="11313583" y="151690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3465" name="Straight Arrow Connector 3464">
          <a:extLst>
            <a:ext uri="{FF2B5EF4-FFF2-40B4-BE49-F238E27FC236}">
              <a16:creationId xmlns:a16="http://schemas.microsoft.com/office/drawing/2014/main" id="{00000000-0008-0000-1200-0000890D0000}"/>
            </a:ext>
          </a:extLst>
        </xdr:cNvPr>
        <xdr:cNvCxnSpPr/>
      </xdr:nvCxnSpPr>
      <xdr:spPr>
        <a:xfrm flipV="1">
          <a:off x="11324166" y="151119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3466" name="Straight Arrow Connector 3465">
          <a:extLst>
            <a:ext uri="{FF2B5EF4-FFF2-40B4-BE49-F238E27FC236}">
              <a16:creationId xmlns:a16="http://schemas.microsoft.com/office/drawing/2014/main" id="{00000000-0008-0000-1200-00008A0D0000}"/>
            </a:ext>
          </a:extLst>
        </xdr:cNvPr>
        <xdr:cNvCxnSpPr/>
      </xdr:nvCxnSpPr>
      <xdr:spPr>
        <a:xfrm>
          <a:off x="5185833" y="1597342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3467" name="Straight Arrow Connector 3466">
          <a:extLst>
            <a:ext uri="{FF2B5EF4-FFF2-40B4-BE49-F238E27FC236}">
              <a16:creationId xmlns:a16="http://schemas.microsoft.com/office/drawing/2014/main" id="{00000000-0008-0000-1200-00008B0D0000}"/>
            </a:ext>
          </a:extLst>
        </xdr:cNvPr>
        <xdr:cNvCxnSpPr/>
      </xdr:nvCxnSpPr>
      <xdr:spPr>
        <a:xfrm flipV="1">
          <a:off x="6688667" y="154061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3468" name="Straight Arrow Connector 3467">
          <a:extLst>
            <a:ext uri="{FF2B5EF4-FFF2-40B4-BE49-F238E27FC236}">
              <a16:creationId xmlns:a16="http://schemas.microsoft.com/office/drawing/2014/main" id="{00000000-0008-0000-1200-00008C0D0000}"/>
            </a:ext>
          </a:extLst>
        </xdr:cNvPr>
        <xdr:cNvCxnSpPr/>
      </xdr:nvCxnSpPr>
      <xdr:spPr>
        <a:xfrm>
          <a:off x="6720417" y="155638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3469" name="Straight Arrow Connector 3468">
          <a:extLst>
            <a:ext uri="{FF2B5EF4-FFF2-40B4-BE49-F238E27FC236}">
              <a16:creationId xmlns:a16="http://schemas.microsoft.com/office/drawing/2014/main" id="{00000000-0008-0000-1200-00008D0D0000}"/>
            </a:ext>
          </a:extLst>
        </xdr:cNvPr>
        <xdr:cNvCxnSpPr/>
      </xdr:nvCxnSpPr>
      <xdr:spPr>
        <a:xfrm flipV="1">
          <a:off x="7937500"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3470" name="Straight Arrow Connector 3469">
          <a:extLst>
            <a:ext uri="{FF2B5EF4-FFF2-40B4-BE49-F238E27FC236}">
              <a16:creationId xmlns:a16="http://schemas.microsoft.com/office/drawing/2014/main" id="{00000000-0008-0000-1200-00008E0D0000}"/>
            </a:ext>
          </a:extLst>
        </xdr:cNvPr>
        <xdr:cNvCxnSpPr/>
      </xdr:nvCxnSpPr>
      <xdr:spPr>
        <a:xfrm>
          <a:off x="7926917"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3471" name="Straight Arrow Connector 3470">
          <a:extLst>
            <a:ext uri="{FF2B5EF4-FFF2-40B4-BE49-F238E27FC236}">
              <a16:creationId xmlns:a16="http://schemas.microsoft.com/office/drawing/2014/main" id="{00000000-0008-0000-1200-00008F0D0000}"/>
            </a:ext>
          </a:extLst>
        </xdr:cNvPr>
        <xdr:cNvCxnSpPr/>
      </xdr:nvCxnSpPr>
      <xdr:spPr>
        <a:xfrm flipV="1">
          <a:off x="9133417" y="155850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3472" name="Straight Arrow Connector 3471">
          <a:extLst>
            <a:ext uri="{FF2B5EF4-FFF2-40B4-BE49-F238E27FC236}">
              <a16:creationId xmlns:a16="http://schemas.microsoft.com/office/drawing/2014/main" id="{00000000-0008-0000-1200-0000900D0000}"/>
            </a:ext>
          </a:extLst>
        </xdr:cNvPr>
        <xdr:cNvCxnSpPr/>
      </xdr:nvCxnSpPr>
      <xdr:spPr>
        <a:xfrm>
          <a:off x="9122833" y="156802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3473" name="Straight Arrow Connector 3472">
          <a:extLst>
            <a:ext uri="{FF2B5EF4-FFF2-40B4-BE49-F238E27FC236}">
              <a16:creationId xmlns:a16="http://schemas.microsoft.com/office/drawing/2014/main" id="{00000000-0008-0000-1200-0000910D0000}"/>
            </a:ext>
          </a:extLst>
        </xdr:cNvPr>
        <xdr:cNvCxnSpPr/>
      </xdr:nvCxnSpPr>
      <xdr:spPr>
        <a:xfrm flipV="1">
          <a:off x="952500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3474" name="Straight Arrow Connector 3473">
          <a:extLst>
            <a:ext uri="{FF2B5EF4-FFF2-40B4-BE49-F238E27FC236}">
              <a16:creationId xmlns:a16="http://schemas.microsoft.com/office/drawing/2014/main" id="{00000000-0008-0000-1200-0000920D0000}"/>
            </a:ext>
          </a:extLst>
        </xdr:cNvPr>
        <xdr:cNvCxnSpPr/>
      </xdr:nvCxnSpPr>
      <xdr:spPr>
        <a:xfrm>
          <a:off x="9535583" y="160782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1704</xdr:row>
      <xdr:rowOff>0</xdr:rowOff>
    </xdr:from>
    <xdr:to>
      <xdr:col>15</xdr:col>
      <xdr:colOff>603250</xdr:colOff>
      <xdr:row>1709</xdr:row>
      <xdr:rowOff>31750</xdr:rowOff>
    </xdr:to>
    <xdr:cxnSp macro="">
      <xdr:nvCxnSpPr>
        <xdr:cNvPr id="3475" name="Straight Arrow Connector 3474">
          <a:extLst>
            <a:ext uri="{FF2B5EF4-FFF2-40B4-BE49-F238E27FC236}">
              <a16:creationId xmlns:a16="http://schemas.microsoft.com/office/drawing/2014/main" id="{00000000-0008-0000-1200-0000930D0000}"/>
            </a:ext>
          </a:extLst>
        </xdr:cNvPr>
        <xdr:cNvCxnSpPr/>
      </xdr:nvCxnSpPr>
      <xdr:spPr>
        <a:xfrm flipV="1">
          <a:off x="11281833"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3476" name="Straight Arrow Connector 3475">
          <a:extLst>
            <a:ext uri="{FF2B5EF4-FFF2-40B4-BE49-F238E27FC236}">
              <a16:creationId xmlns:a16="http://schemas.microsoft.com/office/drawing/2014/main" id="{00000000-0008-0000-1200-0000940D0000}"/>
            </a:ext>
          </a:extLst>
        </xdr:cNvPr>
        <xdr:cNvCxnSpPr/>
      </xdr:nvCxnSpPr>
      <xdr:spPr>
        <a:xfrm flipV="1">
          <a:off x="11324166"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3477" name="Straight Arrow Connector 3476">
          <a:extLst>
            <a:ext uri="{FF2B5EF4-FFF2-40B4-BE49-F238E27FC236}">
              <a16:creationId xmlns:a16="http://schemas.microsoft.com/office/drawing/2014/main" id="{00000000-0008-0000-1200-0000950D0000}"/>
            </a:ext>
          </a:extLst>
        </xdr:cNvPr>
        <xdr:cNvCxnSpPr/>
      </xdr:nvCxnSpPr>
      <xdr:spPr>
        <a:xfrm>
          <a:off x="11345333"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3478" name="Straight Arrow Connector 3477">
          <a:extLst>
            <a:ext uri="{FF2B5EF4-FFF2-40B4-BE49-F238E27FC236}">
              <a16:creationId xmlns:a16="http://schemas.microsoft.com/office/drawing/2014/main" id="{00000000-0008-0000-1200-0000960D0000}"/>
            </a:ext>
          </a:extLst>
        </xdr:cNvPr>
        <xdr:cNvCxnSpPr/>
      </xdr:nvCxnSpPr>
      <xdr:spPr>
        <a:xfrm>
          <a:off x="11260667" y="155363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1717</xdr:row>
      <xdr:rowOff>52916</xdr:rowOff>
    </xdr:from>
    <xdr:to>
      <xdr:col>16</xdr:col>
      <xdr:colOff>0</xdr:colOff>
      <xdr:row>1719</xdr:row>
      <xdr:rowOff>0</xdr:rowOff>
    </xdr:to>
    <xdr:cxnSp macro="">
      <xdr:nvCxnSpPr>
        <xdr:cNvPr id="3479" name="Straight Arrow Connector 3478">
          <a:extLst>
            <a:ext uri="{FF2B5EF4-FFF2-40B4-BE49-F238E27FC236}">
              <a16:creationId xmlns:a16="http://schemas.microsoft.com/office/drawing/2014/main" id="{00000000-0008-0000-1200-0000970D0000}"/>
            </a:ext>
          </a:extLst>
        </xdr:cNvPr>
        <xdr:cNvCxnSpPr/>
      </xdr:nvCxnSpPr>
      <xdr:spPr>
        <a:xfrm flipV="1">
          <a:off x="11281833" y="156834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3480" name="Straight Arrow Connector 3479">
          <a:extLst>
            <a:ext uri="{FF2B5EF4-FFF2-40B4-BE49-F238E27FC236}">
              <a16:creationId xmlns:a16="http://schemas.microsoft.com/office/drawing/2014/main" id="{00000000-0008-0000-1200-0000980D0000}"/>
            </a:ext>
          </a:extLst>
        </xdr:cNvPr>
        <xdr:cNvCxnSpPr/>
      </xdr:nvCxnSpPr>
      <xdr:spPr>
        <a:xfrm>
          <a:off x="11292416"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3481" name="Straight Arrow Connector 3480">
          <a:extLst>
            <a:ext uri="{FF2B5EF4-FFF2-40B4-BE49-F238E27FC236}">
              <a16:creationId xmlns:a16="http://schemas.microsoft.com/office/drawing/2014/main" id="{00000000-0008-0000-1200-0000990D0000}"/>
            </a:ext>
          </a:extLst>
        </xdr:cNvPr>
        <xdr:cNvCxnSpPr/>
      </xdr:nvCxnSpPr>
      <xdr:spPr>
        <a:xfrm>
          <a:off x="11271250" y="157183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3482" name="Straight Arrow Connector 3481">
          <a:extLst>
            <a:ext uri="{FF2B5EF4-FFF2-40B4-BE49-F238E27FC236}">
              <a16:creationId xmlns:a16="http://schemas.microsoft.com/office/drawing/2014/main" id="{00000000-0008-0000-1200-00009A0D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3483" name="Straight Arrow Connector 3482">
          <a:extLst>
            <a:ext uri="{FF2B5EF4-FFF2-40B4-BE49-F238E27FC236}">
              <a16:creationId xmlns:a16="http://schemas.microsoft.com/office/drawing/2014/main" id="{00000000-0008-0000-1200-00009B0D0000}"/>
            </a:ext>
          </a:extLst>
        </xdr:cNvPr>
        <xdr:cNvCxnSpPr/>
      </xdr:nvCxnSpPr>
      <xdr:spPr>
        <a:xfrm flipV="1">
          <a:off x="6699250" y="164443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3484" name="Straight Arrow Connector 3483">
          <a:extLst>
            <a:ext uri="{FF2B5EF4-FFF2-40B4-BE49-F238E27FC236}">
              <a16:creationId xmlns:a16="http://schemas.microsoft.com/office/drawing/2014/main" id="{00000000-0008-0000-1200-00009C0D0000}"/>
            </a:ext>
          </a:extLst>
        </xdr:cNvPr>
        <xdr:cNvCxnSpPr/>
      </xdr:nvCxnSpPr>
      <xdr:spPr>
        <a:xfrm>
          <a:off x="6720417" y="166475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3485" name="Straight Arrow Connector 3484">
          <a:extLst>
            <a:ext uri="{FF2B5EF4-FFF2-40B4-BE49-F238E27FC236}">
              <a16:creationId xmlns:a16="http://schemas.microsoft.com/office/drawing/2014/main" id="{00000000-0008-0000-1200-00009D0D0000}"/>
            </a:ext>
          </a:extLst>
        </xdr:cNvPr>
        <xdr:cNvCxnSpPr/>
      </xdr:nvCxnSpPr>
      <xdr:spPr>
        <a:xfrm flipV="1">
          <a:off x="7874000" y="167608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3486" name="Straight Arrow Connector 3485">
          <a:extLst>
            <a:ext uri="{FF2B5EF4-FFF2-40B4-BE49-F238E27FC236}">
              <a16:creationId xmlns:a16="http://schemas.microsoft.com/office/drawing/2014/main" id="{00000000-0008-0000-1200-00009E0D0000}"/>
            </a:ext>
          </a:extLst>
        </xdr:cNvPr>
        <xdr:cNvCxnSpPr/>
      </xdr:nvCxnSpPr>
      <xdr:spPr>
        <a:xfrm flipV="1">
          <a:off x="11271250"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3487" name="Straight Arrow Connector 3486">
          <a:extLst>
            <a:ext uri="{FF2B5EF4-FFF2-40B4-BE49-F238E27FC236}">
              <a16:creationId xmlns:a16="http://schemas.microsoft.com/office/drawing/2014/main" id="{00000000-0008-0000-1200-00009F0D0000}"/>
            </a:ext>
          </a:extLst>
        </xdr:cNvPr>
        <xdr:cNvCxnSpPr/>
      </xdr:nvCxnSpPr>
      <xdr:spPr>
        <a:xfrm>
          <a:off x="11313583"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3488" name="Straight Arrow Connector 3487">
          <a:extLst>
            <a:ext uri="{FF2B5EF4-FFF2-40B4-BE49-F238E27FC236}">
              <a16:creationId xmlns:a16="http://schemas.microsoft.com/office/drawing/2014/main" id="{00000000-0008-0000-1200-0000A00D0000}"/>
            </a:ext>
          </a:extLst>
        </xdr:cNvPr>
        <xdr:cNvCxnSpPr/>
      </xdr:nvCxnSpPr>
      <xdr:spPr>
        <a:xfrm>
          <a:off x="11292416"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489" name="Straight Arrow Connector 3488">
          <a:extLst>
            <a:ext uri="{FF2B5EF4-FFF2-40B4-BE49-F238E27FC236}">
              <a16:creationId xmlns:a16="http://schemas.microsoft.com/office/drawing/2014/main" id="{00000000-0008-0000-1200-0000A10D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3490" name="Straight Arrow Connector 3489">
          <a:extLst>
            <a:ext uri="{FF2B5EF4-FFF2-40B4-BE49-F238E27FC236}">
              <a16:creationId xmlns:a16="http://schemas.microsoft.com/office/drawing/2014/main" id="{00000000-0008-0000-1200-0000A20D0000}"/>
            </a:ext>
          </a:extLst>
        </xdr:cNvPr>
        <xdr:cNvCxnSpPr/>
      </xdr:nvCxnSpPr>
      <xdr:spPr>
        <a:xfrm>
          <a:off x="11302999" y="162496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3491" name="Straight Arrow Connector 3490">
          <a:extLst>
            <a:ext uri="{FF2B5EF4-FFF2-40B4-BE49-F238E27FC236}">
              <a16:creationId xmlns:a16="http://schemas.microsoft.com/office/drawing/2014/main" id="{00000000-0008-0000-1200-0000A30D0000}"/>
            </a:ext>
          </a:extLst>
        </xdr:cNvPr>
        <xdr:cNvCxnSpPr/>
      </xdr:nvCxnSpPr>
      <xdr:spPr>
        <a:xfrm>
          <a:off x="11355916"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3492" name="Straight Arrow Connector 3491">
          <a:extLst>
            <a:ext uri="{FF2B5EF4-FFF2-40B4-BE49-F238E27FC236}">
              <a16:creationId xmlns:a16="http://schemas.microsoft.com/office/drawing/2014/main" id="{00000000-0008-0000-1200-0000A40D0000}"/>
            </a:ext>
          </a:extLst>
        </xdr:cNvPr>
        <xdr:cNvCxnSpPr/>
      </xdr:nvCxnSpPr>
      <xdr:spPr>
        <a:xfrm>
          <a:off x="11313583"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3493" name="Straight Arrow Connector 3492">
          <a:extLst>
            <a:ext uri="{FF2B5EF4-FFF2-40B4-BE49-F238E27FC236}">
              <a16:creationId xmlns:a16="http://schemas.microsoft.com/office/drawing/2014/main" id="{00000000-0008-0000-1200-0000A50D0000}"/>
            </a:ext>
          </a:extLst>
        </xdr:cNvPr>
        <xdr:cNvCxnSpPr/>
      </xdr:nvCxnSpPr>
      <xdr:spPr>
        <a:xfrm flipV="1">
          <a:off x="11302999"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3494" name="Straight Arrow Connector 3493">
          <a:extLst>
            <a:ext uri="{FF2B5EF4-FFF2-40B4-BE49-F238E27FC236}">
              <a16:creationId xmlns:a16="http://schemas.microsoft.com/office/drawing/2014/main" id="{00000000-0008-0000-1200-0000A60D0000}"/>
            </a:ext>
          </a:extLst>
        </xdr:cNvPr>
        <xdr:cNvCxnSpPr/>
      </xdr:nvCxnSpPr>
      <xdr:spPr>
        <a:xfrm flipV="1">
          <a:off x="11345333"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3495" name="Straight Arrow Connector 3494">
          <a:extLst>
            <a:ext uri="{FF2B5EF4-FFF2-40B4-BE49-F238E27FC236}">
              <a16:creationId xmlns:a16="http://schemas.microsoft.com/office/drawing/2014/main" id="{00000000-0008-0000-1200-0000A70D0000}"/>
            </a:ext>
          </a:extLst>
        </xdr:cNvPr>
        <xdr:cNvCxnSpPr/>
      </xdr:nvCxnSpPr>
      <xdr:spPr>
        <a:xfrm>
          <a:off x="11334749"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3496" name="Straight Arrow Connector 3495">
          <a:extLst>
            <a:ext uri="{FF2B5EF4-FFF2-40B4-BE49-F238E27FC236}">
              <a16:creationId xmlns:a16="http://schemas.microsoft.com/office/drawing/2014/main" id="{00000000-0008-0000-1200-0000A80D0000}"/>
            </a:ext>
          </a:extLst>
        </xdr:cNvPr>
        <xdr:cNvCxnSpPr/>
      </xdr:nvCxnSpPr>
      <xdr:spPr>
        <a:xfrm>
          <a:off x="11313583" y="168137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3497" name="Straight Arrow Connector 3496">
          <a:extLst>
            <a:ext uri="{FF2B5EF4-FFF2-40B4-BE49-F238E27FC236}">
              <a16:creationId xmlns:a16="http://schemas.microsoft.com/office/drawing/2014/main" id="{00000000-0008-0000-1200-0000A90D0000}"/>
            </a:ext>
          </a:extLst>
        </xdr:cNvPr>
        <xdr:cNvCxnSpPr/>
      </xdr:nvCxnSpPr>
      <xdr:spPr>
        <a:xfrm flipV="1">
          <a:off x="11324166"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3498" name="Straight Arrow Connector 3497">
          <a:extLst>
            <a:ext uri="{FF2B5EF4-FFF2-40B4-BE49-F238E27FC236}">
              <a16:creationId xmlns:a16="http://schemas.microsoft.com/office/drawing/2014/main" id="{00000000-0008-0000-1200-0000AA0D0000}"/>
            </a:ext>
          </a:extLst>
        </xdr:cNvPr>
        <xdr:cNvCxnSpPr/>
      </xdr:nvCxnSpPr>
      <xdr:spPr>
        <a:xfrm>
          <a:off x="7926917"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3499" name="Straight Arrow Connector 3498">
          <a:extLst>
            <a:ext uri="{FF2B5EF4-FFF2-40B4-BE49-F238E27FC236}">
              <a16:creationId xmlns:a16="http://schemas.microsoft.com/office/drawing/2014/main" id="{00000000-0008-0000-1200-0000AB0D0000}"/>
            </a:ext>
          </a:extLst>
        </xdr:cNvPr>
        <xdr:cNvCxnSpPr/>
      </xdr:nvCxnSpPr>
      <xdr:spPr>
        <a:xfrm flipV="1">
          <a:off x="9133417" y="166708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3500" name="Straight Arrow Connector 3499">
          <a:extLst>
            <a:ext uri="{FF2B5EF4-FFF2-40B4-BE49-F238E27FC236}">
              <a16:creationId xmlns:a16="http://schemas.microsoft.com/office/drawing/2014/main" id="{00000000-0008-0000-1200-0000AC0D0000}"/>
            </a:ext>
          </a:extLst>
        </xdr:cNvPr>
        <xdr:cNvCxnSpPr/>
      </xdr:nvCxnSpPr>
      <xdr:spPr>
        <a:xfrm>
          <a:off x="9122833" y="167661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3501" name="Straight Arrow Connector 3500">
          <a:extLst>
            <a:ext uri="{FF2B5EF4-FFF2-40B4-BE49-F238E27FC236}">
              <a16:creationId xmlns:a16="http://schemas.microsoft.com/office/drawing/2014/main" id="{00000000-0008-0000-1200-0000AD0D0000}"/>
            </a:ext>
          </a:extLst>
        </xdr:cNvPr>
        <xdr:cNvCxnSpPr/>
      </xdr:nvCxnSpPr>
      <xdr:spPr>
        <a:xfrm flipV="1">
          <a:off x="952500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3502" name="Straight Arrow Connector 3501">
          <a:extLst>
            <a:ext uri="{FF2B5EF4-FFF2-40B4-BE49-F238E27FC236}">
              <a16:creationId xmlns:a16="http://schemas.microsoft.com/office/drawing/2014/main" id="{00000000-0008-0000-1200-0000AE0D0000}"/>
            </a:ext>
          </a:extLst>
        </xdr:cNvPr>
        <xdr:cNvCxnSpPr/>
      </xdr:nvCxnSpPr>
      <xdr:spPr>
        <a:xfrm>
          <a:off x="9535583" y="171640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3503" name="Straight Arrow Connector 3502">
          <a:extLst>
            <a:ext uri="{FF2B5EF4-FFF2-40B4-BE49-F238E27FC236}">
              <a16:creationId xmlns:a16="http://schemas.microsoft.com/office/drawing/2014/main" id="{00000000-0008-0000-1200-0000AF0D0000}"/>
            </a:ext>
          </a:extLst>
        </xdr:cNvPr>
        <xdr:cNvCxnSpPr/>
      </xdr:nvCxnSpPr>
      <xdr:spPr>
        <a:xfrm>
          <a:off x="11334749"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1773</xdr:row>
      <xdr:rowOff>52916</xdr:rowOff>
    </xdr:from>
    <xdr:to>
      <xdr:col>16</xdr:col>
      <xdr:colOff>0</xdr:colOff>
      <xdr:row>1775</xdr:row>
      <xdr:rowOff>0</xdr:rowOff>
    </xdr:to>
    <xdr:cxnSp macro="">
      <xdr:nvCxnSpPr>
        <xdr:cNvPr id="3504" name="Straight Arrow Connector 3503">
          <a:extLst>
            <a:ext uri="{FF2B5EF4-FFF2-40B4-BE49-F238E27FC236}">
              <a16:creationId xmlns:a16="http://schemas.microsoft.com/office/drawing/2014/main" id="{00000000-0008-0000-1200-0000B00D0000}"/>
            </a:ext>
          </a:extLst>
        </xdr:cNvPr>
        <xdr:cNvCxnSpPr/>
      </xdr:nvCxnSpPr>
      <xdr:spPr>
        <a:xfrm flipV="1">
          <a:off x="11281833" y="167692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3505" name="Straight Arrow Connector 3504">
          <a:extLst>
            <a:ext uri="{FF2B5EF4-FFF2-40B4-BE49-F238E27FC236}">
              <a16:creationId xmlns:a16="http://schemas.microsoft.com/office/drawing/2014/main" id="{00000000-0008-0000-1200-0000B10D0000}"/>
            </a:ext>
          </a:extLst>
        </xdr:cNvPr>
        <xdr:cNvCxnSpPr/>
      </xdr:nvCxnSpPr>
      <xdr:spPr>
        <a:xfrm>
          <a:off x="11271250"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3506" name="Straight Arrow Connector 3505">
          <a:extLst>
            <a:ext uri="{FF2B5EF4-FFF2-40B4-BE49-F238E27FC236}">
              <a16:creationId xmlns:a16="http://schemas.microsoft.com/office/drawing/2014/main" id="{00000000-0008-0000-1200-0000B20D0000}"/>
            </a:ext>
          </a:extLst>
        </xdr:cNvPr>
        <xdr:cNvCxnSpPr/>
      </xdr:nvCxnSpPr>
      <xdr:spPr>
        <a:xfrm>
          <a:off x="11271250" y="168021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3507" name="Straight Arrow Connector 3506">
          <a:extLst>
            <a:ext uri="{FF2B5EF4-FFF2-40B4-BE49-F238E27FC236}">
              <a16:creationId xmlns:a16="http://schemas.microsoft.com/office/drawing/2014/main" id="{00000000-0008-0000-1200-0000B30D0000}"/>
            </a:ext>
          </a:extLst>
        </xdr:cNvPr>
        <xdr:cNvCxnSpPr/>
      </xdr:nvCxnSpPr>
      <xdr:spPr>
        <a:xfrm flipV="1">
          <a:off x="11271250"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3508" name="Straight Arrow Connector 3507">
          <a:extLst>
            <a:ext uri="{FF2B5EF4-FFF2-40B4-BE49-F238E27FC236}">
              <a16:creationId xmlns:a16="http://schemas.microsoft.com/office/drawing/2014/main" id="{00000000-0008-0000-1200-0000B40D0000}"/>
            </a:ext>
          </a:extLst>
        </xdr:cNvPr>
        <xdr:cNvCxnSpPr/>
      </xdr:nvCxnSpPr>
      <xdr:spPr>
        <a:xfrm>
          <a:off x="11313583"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3509" name="Straight Arrow Connector 3508">
          <a:extLst>
            <a:ext uri="{FF2B5EF4-FFF2-40B4-BE49-F238E27FC236}">
              <a16:creationId xmlns:a16="http://schemas.microsoft.com/office/drawing/2014/main" id="{00000000-0008-0000-1200-0000B50D0000}"/>
            </a:ext>
          </a:extLst>
        </xdr:cNvPr>
        <xdr:cNvCxnSpPr/>
      </xdr:nvCxnSpPr>
      <xdr:spPr>
        <a:xfrm>
          <a:off x="11292416"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510" name="Straight Arrow Connector 3509">
          <a:extLst>
            <a:ext uri="{FF2B5EF4-FFF2-40B4-BE49-F238E27FC236}">
              <a16:creationId xmlns:a16="http://schemas.microsoft.com/office/drawing/2014/main" id="{00000000-0008-0000-1200-0000B60D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3511" name="Straight Arrow Connector 3510">
          <a:extLst>
            <a:ext uri="{FF2B5EF4-FFF2-40B4-BE49-F238E27FC236}">
              <a16:creationId xmlns:a16="http://schemas.microsoft.com/office/drawing/2014/main" id="{00000000-0008-0000-1200-0000B70D0000}"/>
            </a:ext>
          </a:extLst>
        </xdr:cNvPr>
        <xdr:cNvCxnSpPr/>
      </xdr:nvCxnSpPr>
      <xdr:spPr>
        <a:xfrm>
          <a:off x="11302999" y="173355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3512" name="Straight Arrow Connector 3511">
          <a:extLst>
            <a:ext uri="{FF2B5EF4-FFF2-40B4-BE49-F238E27FC236}">
              <a16:creationId xmlns:a16="http://schemas.microsoft.com/office/drawing/2014/main" id="{00000000-0008-0000-1200-0000B80D0000}"/>
            </a:ext>
          </a:extLst>
        </xdr:cNvPr>
        <xdr:cNvCxnSpPr/>
      </xdr:nvCxnSpPr>
      <xdr:spPr>
        <a:xfrm>
          <a:off x="11355916"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3513" name="Straight Arrow Connector 3512">
          <a:extLst>
            <a:ext uri="{FF2B5EF4-FFF2-40B4-BE49-F238E27FC236}">
              <a16:creationId xmlns:a16="http://schemas.microsoft.com/office/drawing/2014/main" id="{00000000-0008-0000-1200-0000B90D0000}"/>
            </a:ext>
          </a:extLst>
        </xdr:cNvPr>
        <xdr:cNvCxnSpPr/>
      </xdr:nvCxnSpPr>
      <xdr:spPr>
        <a:xfrm>
          <a:off x="11313583"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3514" name="Straight Arrow Connector 3513">
          <a:extLst>
            <a:ext uri="{FF2B5EF4-FFF2-40B4-BE49-F238E27FC236}">
              <a16:creationId xmlns:a16="http://schemas.microsoft.com/office/drawing/2014/main" id="{00000000-0008-0000-1200-0000BA0D0000}"/>
            </a:ext>
          </a:extLst>
        </xdr:cNvPr>
        <xdr:cNvCxnSpPr/>
      </xdr:nvCxnSpPr>
      <xdr:spPr>
        <a:xfrm flipV="1">
          <a:off x="11324166"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3515" name="Straight Arrow Connector 3514">
          <a:extLst>
            <a:ext uri="{FF2B5EF4-FFF2-40B4-BE49-F238E27FC236}">
              <a16:creationId xmlns:a16="http://schemas.microsoft.com/office/drawing/2014/main" id="{00000000-0008-0000-1200-0000BB0D0000}"/>
            </a:ext>
          </a:extLst>
        </xdr:cNvPr>
        <xdr:cNvCxnSpPr/>
      </xdr:nvCxnSpPr>
      <xdr:spPr>
        <a:xfrm flipV="1">
          <a:off x="5492750" y="1555750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3517" name="Straight Arrow Connector 3516">
          <a:extLst>
            <a:ext uri="{FF2B5EF4-FFF2-40B4-BE49-F238E27FC236}">
              <a16:creationId xmlns:a16="http://schemas.microsoft.com/office/drawing/2014/main" id="{00000000-0008-0000-1200-0000BD0D0000}"/>
            </a:ext>
          </a:extLst>
        </xdr:cNvPr>
        <xdr:cNvCxnSpPr/>
      </xdr:nvCxnSpPr>
      <xdr:spPr>
        <a:xfrm>
          <a:off x="11324166" y="18129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1040</xdr:row>
      <xdr:rowOff>169333</xdr:rowOff>
    </xdr:from>
    <xdr:to>
      <xdr:col>11</xdr:col>
      <xdr:colOff>603250</xdr:colOff>
      <xdr:row>1043</xdr:row>
      <xdr:rowOff>21167</xdr:rowOff>
    </xdr:to>
    <xdr:cxnSp macro="">
      <xdr:nvCxnSpPr>
        <xdr:cNvPr id="3518" name="Straight Arrow Connector 3517">
          <a:extLst>
            <a:ext uri="{FF2B5EF4-FFF2-40B4-BE49-F238E27FC236}">
              <a16:creationId xmlns:a16="http://schemas.microsoft.com/office/drawing/2014/main" id="{00000000-0008-0000-1200-0000BE0D0000}"/>
            </a:ext>
          </a:extLst>
        </xdr:cNvPr>
        <xdr:cNvCxnSpPr/>
      </xdr:nvCxnSpPr>
      <xdr:spPr>
        <a:xfrm flipV="1">
          <a:off x="7937500" y="25886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1046</xdr:row>
      <xdr:rowOff>42333</xdr:rowOff>
    </xdr:from>
    <xdr:to>
      <xdr:col>11</xdr:col>
      <xdr:colOff>603250</xdr:colOff>
      <xdr:row>1058</xdr:row>
      <xdr:rowOff>10583</xdr:rowOff>
    </xdr:to>
    <xdr:cxnSp macro="">
      <xdr:nvCxnSpPr>
        <xdr:cNvPr id="3519" name="Straight Arrow Connector 3518">
          <a:extLst>
            <a:ext uri="{FF2B5EF4-FFF2-40B4-BE49-F238E27FC236}">
              <a16:creationId xmlns:a16="http://schemas.microsoft.com/office/drawing/2014/main" id="{00000000-0008-0000-1200-0000BF0D0000}"/>
            </a:ext>
          </a:extLst>
        </xdr:cNvPr>
        <xdr:cNvCxnSpPr/>
      </xdr:nvCxnSpPr>
      <xdr:spPr>
        <a:xfrm>
          <a:off x="7926917" y="26902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1036</xdr:row>
      <xdr:rowOff>21167</xdr:rowOff>
    </xdr:from>
    <xdr:to>
      <xdr:col>13</xdr:col>
      <xdr:colOff>592667</xdr:colOff>
      <xdr:row>1038</xdr:row>
      <xdr:rowOff>0</xdr:rowOff>
    </xdr:to>
    <xdr:cxnSp macro="">
      <xdr:nvCxnSpPr>
        <xdr:cNvPr id="3520" name="Straight Arrow Connector 3519">
          <a:extLst>
            <a:ext uri="{FF2B5EF4-FFF2-40B4-BE49-F238E27FC236}">
              <a16:creationId xmlns:a16="http://schemas.microsoft.com/office/drawing/2014/main" id="{00000000-0008-0000-1200-0000C00D0000}"/>
            </a:ext>
          </a:extLst>
        </xdr:cNvPr>
        <xdr:cNvCxnSpPr/>
      </xdr:nvCxnSpPr>
      <xdr:spPr>
        <a:xfrm flipV="1">
          <a:off x="9133417" y="24976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1041</xdr:row>
      <xdr:rowOff>21166</xdr:rowOff>
    </xdr:from>
    <xdr:to>
      <xdr:col>13</xdr:col>
      <xdr:colOff>592667</xdr:colOff>
      <xdr:row>1042</xdr:row>
      <xdr:rowOff>169334</xdr:rowOff>
    </xdr:to>
    <xdr:cxnSp macro="">
      <xdr:nvCxnSpPr>
        <xdr:cNvPr id="3521" name="Straight Arrow Connector 3520">
          <a:extLst>
            <a:ext uri="{FF2B5EF4-FFF2-40B4-BE49-F238E27FC236}">
              <a16:creationId xmlns:a16="http://schemas.microsoft.com/office/drawing/2014/main" id="{00000000-0008-0000-1200-0000C10D0000}"/>
            </a:ext>
          </a:extLst>
        </xdr:cNvPr>
        <xdr:cNvCxnSpPr/>
      </xdr:nvCxnSpPr>
      <xdr:spPr>
        <a:xfrm>
          <a:off x="9122833" y="25929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1056</xdr:row>
      <xdr:rowOff>21167</xdr:rowOff>
    </xdr:from>
    <xdr:to>
      <xdr:col>13</xdr:col>
      <xdr:colOff>592667</xdr:colOff>
      <xdr:row>1058</xdr:row>
      <xdr:rowOff>63500</xdr:rowOff>
    </xdr:to>
    <xdr:cxnSp macro="">
      <xdr:nvCxnSpPr>
        <xdr:cNvPr id="3522" name="Straight Arrow Connector 3521">
          <a:extLst>
            <a:ext uri="{FF2B5EF4-FFF2-40B4-BE49-F238E27FC236}">
              <a16:creationId xmlns:a16="http://schemas.microsoft.com/office/drawing/2014/main" id="{00000000-0008-0000-1200-0000C20D0000}"/>
            </a:ext>
          </a:extLst>
        </xdr:cNvPr>
        <xdr:cNvCxnSpPr/>
      </xdr:nvCxnSpPr>
      <xdr:spPr>
        <a:xfrm flipV="1">
          <a:off x="9525000" y="28977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1061</xdr:row>
      <xdr:rowOff>0</xdr:rowOff>
    </xdr:from>
    <xdr:to>
      <xdr:col>14</xdr:col>
      <xdr:colOff>10584</xdr:colOff>
      <xdr:row>1069</xdr:row>
      <xdr:rowOff>148167</xdr:rowOff>
    </xdr:to>
    <xdr:cxnSp macro="">
      <xdr:nvCxnSpPr>
        <xdr:cNvPr id="3523" name="Straight Arrow Connector 3522">
          <a:extLst>
            <a:ext uri="{FF2B5EF4-FFF2-40B4-BE49-F238E27FC236}">
              <a16:creationId xmlns:a16="http://schemas.microsoft.com/office/drawing/2014/main" id="{00000000-0008-0000-1200-0000C30D0000}"/>
            </a:ext>
          </a:extLst>
        </xdr:cNvPr>
        <xdr:cNvCxnSpPr/>
      </xdr:nvCxnSpPr>
      <xdr:spPr>
        <a:xfrm>
          <a:off x="9535583" y="29908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1028</xdr:row>
      <xdr:rowOff>0</xdr:rowOff>
    </xdr:from>
    <xdr:to>
      <xdr:col>15</xdr:col>
      <xdr:colOff>603250</xdr:colOff>
      <xdr:row>1033</xdr:row>
      <xdr:rowOff>31750</xdr:rowOff>
    </xdr:to>
    <xdr:cxnSp macro="">
      <xdr:nvCxnSpPr>
        <xdr:cNvPr id="3524" name="Straight Arrow Connector 3523">
          <a:extLst>
            <a:ext uri="{FF2B5EF4-FFF2-40B4-BE49-F238E27FC236}">
              <a16:creationId xmlns:a16="http://schemas.microsoft.com/office/drawing/2014/main" id="{00000000-0008-0000-1200-0000C40D0000}"/>
            </a:ext>
          </a:extLst>
        </xdr:cNvPr>
        <xdr:cNvCxnSpPr/>
      </xdr:nvCxnSpPr>
      <xdr:spPr>
        <a:xfrm flipV="1">
          <a:off x="11281833" y="23431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1031</xdr:row>
      <xdr:rowOff>52917</xdr:rowOff>
    </xdr:from>
    <xdr:to>
      <xdr:col>15</xdr:col>
      <xdr:colOff>603250</xdr:colOff>
      <xdr:row>1033</xdr:row>
      <xdr:rowOff>95250</xdr:rowOff>
    </xdr:to>
    <xdr:cxnSp macro="">
      <xdr:nvCxnSpPr>
        <xdr:cNvPr id="3525" name="Straight Arrow Connector 3524">
          <a:extLst>
            <a:ext uri="{FF2B5EF4-FFF2-40B4-BE49-F238E27FC236}">
              <a16:creationId xmlns:a16="http://schemas.microsoft.com/office/drawing/2014/main" id="{00000000-0008-0000-1200-0000C50D0000}"/>
            </a:ext>
          </a:extLst>
        </xdr:cNvPr>
        <xdr:cNvCxnSpPr/>
      </xdr:nvCxnSpPr>
      <xdr:spPr>
        <a:xfrm flipV="1">
          <a:off x="11324166" y="24055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1033</xdr:row>
      <xdr:rowOff>158750</xdr:rowOff>
    </xdr:from>
    <xdr:to>
      <xdr:col>15</xdr:col>
      <xdr:colOff>582083</xdr:colOff>
      <xdr:row>1034</xdr:row>
      <xdr:rowOff>137583</xdr:rowOff>
    </xdr:to>
    <xdr:cxnSp macro="">
      <xdr:nvCxnSpPr>
        <xdr:cNvPr id="3526" name="Straight Arrow Connector 3525">
          <a:extLst>
            <a:ext uri="{FF2B5EF4-FFF2-40B4-BE49-F238E27FC236}">
              <a16:creationId xmlns:a16="http://schemas.microsoft.com/office/drawing/2014/main" id="{00000000-0008-0000-1200-0000C60D0000}"/>
            </a:ext>
          </a:extLst>
        </xdr:cNvPr>
        <xdr:cNvCxnSpPr/>
      </xdr:nvCxnSpPr>
      <xdr:spPr>
        <a:xfrm>
          <a:off x="11345333" y="24542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1033</xdr:row>
      <xdr:rowOff>105834</xdr:rowOff>
    </xdr:from>
    <xdr:to>
      <xdr:col>16</xdr:col>
      <xdr:colOff>0</xdr:colOff>
      <xdr:row>1037</xdr:row>
      <xdr:rowOff>84667</xdr:rowOff>
    </xdr:to>
    <xdr:cxnSp macro="">
      <xdr:nvCxnSpPr>
        <xdr:cNvPr id="3527" name="Straight Arrow Connector 3526">
          <a:extLst>
            <a:ext uri="{FF2B5EF4-FFF2-40B4-BE49-F238E27FC236}">
              <a16:creationId xmlns:a16="http://schemas.microsoft.com/office/drawing/2014/main" id="{00000000-0008-0000-1200-0000C70D0000}"/>
            </a:ext>
          </a:extLst>
        </xdr:cNvPr>
        <xdr:cNvCxnSpPr/>
      </xdr:nvCxnSpPr>
      <xdr:spPr>
        <a:xfrm>
          <a:off x="11260667" y="24489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1041</xdr:row>
      <xdr:rowOff>52916</xdr:rowOff>
    </xdr:from>
    <xdr:to>
      <xdr:col>16</xdr:col>
      <xdr:colOff>0</xdr:colOff>
      <xdr:row>1043</xdr:row>
      <xdr:rowOff>0</xdr:rowOff>
    </xdr:to>
    <xdr:cxnSp macro="">
      <xdr:nvCxnSpPr>
        <xdr:cNvPr id="3528" name="Straight Arrow Connector 3527">
          <a:extLst>
            <a:ext uri="{FF2B5EF4-FFF2-40B4-BE49-F238E27FC236}">
              <a16:creationId xmlns:a16="http://schemas.microsoft.com/office/drawing/2014/main" id="{00000000-0008-0000-1200-0000C80D0000}"/>
            </a:ext>
          </a:extLst>
        </xdr:cNvPr>
        <xdr:cNvCxnSpPr/>
      </xdr:nvCxnSpPr>
      <xdr:spPr>
        <a:xfrm flipV="1">
          <a:off x="11281833" y="25960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1043</xdr:row>
      <xdr:rowOff>21167</xdr:rowOff>
    </xdr:from>
    <xdr:to>
      <xdr:col>15</xdr:col>
      <xdr:colOff>582083</xdr:colOff>
      <xdr:row>1044</xdr:row>
      <xdr:rowOff>42333</xdr:rowOff>
    </xdr:to>
    <xdr:cxnSp macro="">
      <xdr:nvCxnSpPr>
        <xdr:cNvPr id="3529" name="Straight Arrow Connector 3528">
          <a:extLst>
            <a:ext uri="{FF2B5EF4-FFF2-40B4-BE49-F238E27FC236}">
              <a16:creationId xmlns:a16="http://schemas.microsoft.com/office/drawing/2014/main" id="{00000000-0008-0000-1200-0000C90D0000}"/>
            </a:ext>
          </a:extLst>
        </xdr:cNvPr>
        <xdr:cNvCxnSpPr/>
      </xdr:nvCxnSpPr>
      <xdr:spPr>
        <a:xfrm>
          <a:off x="11292416" y="26310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1043</xdr:row>
      <xdr:rowOff>21167</xdr:rowOff>
    </xdr:from>
    <xdr:to>
      <xdr:col>16</xdr:col>
      <xdr:colOff>42333</xdr:colOff>
      <xdr:row>1048</xdr:row>
      <xdr:rowOff>21168</xdr:rowOff>
    </xdr:to>
    <xdr:cxnSp macro="">
      <xdr:nvCxnSpPr>
        <xdr:cNvPr id="3530" name="Straight Arrow Connector 3529">
          <a:extLst>
            <a:ext uri="{FF2B5EF4-FFF2-40B4-BE49-F238E27FC236}">
              <a16:creationId xmlns:a16="http://schemas.microsoft.com/office/drawing/2014/main" id="{00000000-0008-0000-1200-0000CA0D0000}"/>
            </a:ext>
          </a:extLst>
        </xdr:cNvPr>
        <xdr:cNvCxnSpPr/>
      </xdr:nvCxnSpPr>
      <xdr:spPr>
        <a:xfrm>
          <a:off x="11271250" y="26310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1043</xdr:row>
      <xdr:rowOff>31750</xdr:rowOff>
    </xdr:from>
    <xdr:to>
      <xdr:col>16</xdr:col>
      <xdr:colOff>42334</xdr:colOff>
      <xdr:row>1050</xdr:row>
      <xdr:rowOff>63501</xdr:rowOff>
    </xdr:to>
    <xdr:cxnSp macro="">
      <xdr:nvCxnSpPr>
        <xdr:cNvPr id="3531" name="Straight Arrow Connector 3530">
          <a:extLst>
            <a:ext uri="{FF2B5EF4-FFF2-40B4-BE49-F238E27FC236}">
              <a16:creationId xmlns:a16="http://schemas.microsoft.com/office/drawing/2014/main" id="{00000000-0008-0000-1200-0000CB0D0000}"/>
            </a:ext>
          </a:extLst>
        </xdr:cNvPr>
        <xdr:cNvCxnSpPr/>
      </xdr:nvCxnSpPr>
      <xdr:spPr>
        <a:xfrm>
          <a:off x="11281833" y="263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1096</xdr:row>
      <xdr:rowOff>158750</xdr:rowOff>
    </xdr:from>
    <xdr:to>
      <xdr:col>11</xdr:col>
      <xdr:colOff>571500</xdr:colOff>
      <xdr:row>1099</xdr:row>
      <xdr:rowOff>0</xdr:rowOff>
    </xdr:to>
    <xdr:cxnSp macro="">
      <xdr:nvCxnSpPr>
        <xdr:cNvPr id="3532" name="Straight Arrow Connector 3531">
          <a:extLst>
            <a:ext uri="{FF2B5EF4-FFF2-40B4-BE49-F238E27FC236}">
              <a16:creationId xmlns:a16="http://schemas.microsoft.com/office/drawing/2014/main" id="{00000000-0008-0000-1200-0000CC0D0000}"/>
            </a:ext>
          </a:extLst>
        </xdr:cNvPr>
        <xdr:cNvCxnSpPr/>
      </xdr:nvCxnSpPr>
      <xdr:spPr>
        <a:xfrm flipV="1">
          <a:off x="7874000" y="36734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1054</xdr:row>
      <xdr:rowOff>0</xdr:rowOff>
    </xdr:from>
    <xdr:to>
      <xdr:col>15</xdr:col>
      <xdr:colOff>603250</xdr:colOff>
      <xdr:row>1056</xdr:row>
      <xdr:rowOff>1</xdr:rowOff>
    </xdr:to>
    <xdr:cxnSp macro="">
      <xdr:nvCxnSpPr>
        <xdr:cNvPr id="3533" name="Straight Arrow Connector 3532">
          <a:extLst>
            <a:ext uri="{FF2B5EF4-FFF2-40B4-BE49-F238E27FC236}">
              <a16:creationId xmlns:a16="http://schemas.microsoft.com/office/drawing/2014/main" id="{00000000-0008-0000-1200-0000CD0D0000}"/>
            </a:ext>
          </a:extLst>
        </xdr:cNvPr>
        <xdr:cNvCxnSpPr/>
      </xdr:nvCxnSpPr>
      <xdr:spPr>
        <a:xfrm flipV="1">
          <a:off x="11271250" y="28575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1056</xdr:row>
      <xdr:rowOff>10584</xdr:rowOff>
    </xdr:from>
    <xdr:to>
      <xdr:col>15</xdr:col>
      <xdr:colOff>592666</xdr:colOff>
      <xdr:row>1057</xdr:row>
      <xdr:rowOff>95250</xdr:rowOff>
    </xdr:to>
    <xdr:cxnSp macro="">
      <xdr:nvCxnSpPr>
        <xdr:cNvPr id="3534" name="Straight Arrow Connector 3533">
          <a:extLst>
            <a:ext uri="{FF2B5EF4-FFF2-40B4-BE49-F238E27FC236}">
              <a16:creationId xmlns:a16="http://schemas.microsoft.com/office/drawing/2014/main" id="{00000000-0008-0000-1200-0000CE0D0000}"/>
            </a:ext>
          </a:extLst>
        </xdr:cNvPr>
        <xdr:cNvCxnSpPr/>
      </xdr:nvCxnSpPr>
      <xdr:spPr>
        <a:xfrm>
          <a:off x="11313583" y="28966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1056</xdr:row>
      <xdr:rowOff>10584</xdr:rowOff>
    </xdr:from>
    <xdr:to>
      <xdr:col>15</xdr:col>
      <xdr:colOff>560916</xdr:colOff>
      <xdr:row>1060</xdr:row>
      <xdr:rowOff>52917</xdr:rowOff>
    </xdr:to>
    <xdr:cxnSp macro="">
      <xdr:nvCxnSpPr>
        <xdr:cNvPr id="3535" name="Straight Arrow Connector 3534">
          <a:extLst>
            <a:ext uri="{FF2B5EF4-FFF2-40B4-BE49-F238E27FC236}">
              <a16:creationId xmlns:a16="http://schemas.microsoft.com/office/drawing/2014/main" id="{00000000-0008-0000-1200-0000CF0D0000}"/>
            </a:ext>
          </a:extLst>
        </xdr:cNvPr>
        <xdr:cNvCxnSpPr/>
      </xdr:nvCxnSpPr>
      <xdr:spPr>
        <a:xfrm>
          <a:off x="11292416" y="28966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3536" name="Straight Arrow Connector 3535">
          <a:extLst>
            <a:ext uri="{FF2B5EF4-FFF2-40B4-BE49-F238E27FC236}">
              <a16:creationId xmlns:a16="http://schemas.microsoft.com/office/drawing/2014/main" id="{00000000-0008-0000-1200-0000D00D0000}"/>
            </a:ext>
          </a:extLst>
        </xdr:cNvPr>
        <xdr:cNvCxnSpPr/>
      </xdr:nvCxnSpPr>
      <xdr:spPr>
        <a:xfrm>
          <a:off x="11324166" y="28987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1070</xdr:row>
      <xdr:rowOff>0</xdr:rowOff>
    </xdr:from>
    <xdr:to>
      <xdr:col>16</xdr:col>
      <xdr:colOff>0</xdr:colOff>
      <xdr:row>1070</xdr:row>
      <xdr:rowOff>42334</xdr:rowOff>
    </xdr:to>
    <xdr:cxnSp macro="">
      <xdr:nvCxnSpPr>
        <xdr:cNvPr id="3537" name="Straight Arrow Connector 3536">
          <a:extLst>
            <a:ext uri="{FF2B5EF4-FFF2-40B4-BE49-F238E27FC236}">
              <a16:creationId xmlns:a16="http://schemas.microsoft.com/office/drawing/2014/main" id="{00000000-0008-0000-1200-0000D10D0000}"/>
            </a:ext>
          </a:extLst>
        </xdr:cNvPr>
        <xdr:cNvCxnSpPr/>
      </xdr:nvCxnSpPr>
      <xdr:spPr>
        <a:xfrm>
          <a:off x="11302999" y="31623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1070</xdr:row>
      <xdr:rowOff>21166</xdr:rowOff>
    </xdr:from>
    <xdr:to>
      <xdr:col>15</xdr:col>
      <xdr:colOff>560916</xdr:colOff>
      <xdr:row>1073</xdr:row>
      <xdr:rowOff>84667</xdr:rowOff>
    </xdr:to>
    <xdr:cxnSp macro="">
      <xdr:nvCxnSpPr>
        <xdr:cNvPr id="3538" name="Straight Arrow Connector 3537">
          <a:extLst>
            <a:ext uri="{FF2B5EF4-FFF2-40B4-BE49-F238E27FC236}">
              <a16:creationId xmlns:a16="http://schemas.microsoft.com/office/drawing/2014/main" id="{00000000-0008-0000-1200-0000D20D0000}"/>
            </a:ext>
          </a:extLst>
        </xdr:cNvPr>
        <xdr:cNvCxnSpPr/>
      </xdr:nvCxnSpPr>
      <xdr:spPr>
        <a:xfrm>
          <a:off x="11355916" y="31644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1070</xdr:row>
      <xdr:rowOff>52916</xdr:rowOff>
    </xdr:from>
    <xdr:to>
      <xdr:col>15</xdr:col>
      <xdr:colOff>592666</xdr:colOff>
      <xdr:row>1076</xdr:row>
      <xdr:rowOff>63501</xdr:rowOff>
    </xdr:to>
    <xdr:cxnSp macro="">
      <xdr:nvCxnSpPr>
        <xdr:cNvPr id="3539" name="Straight Arrow Connector 3538">
          <a:extLst>
            <a:ext uri="{FF2B5EF4-FFF2-40B4-BE49-F238E27FC236}">
              <a16:creationId xmlns:a16="http://schemas.microsoft.com/office/drawing/2014/main" id="{00000000-0008-0000-1200-0000D30D0000}"/>
            </a:ext>
          </a:extLst>
        </xdr:cNvPr>
        <xdr:cNvCxnSpPr/>
      </xdr:nvCxnSpPr>
      <xdr:spPr>
        <a:xfrm>
          <a:off x="11313583" y="31675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1084</xdr:row>
      <xdr:rowOff>116416</xdr:rowOff>
    </xdr:from>
    <xdr:to>
      <xdr:col>15</xdr:col>
      <xdr:colOff>592666</xdr:colOff>
      <xdr:row>1087</xdr:row>
      <xdr:rowOff>158750</xdr:rowOff>
    </xdr:to>
    <xdr:cxnSp macro="">
      <xdr:nvCxnSpPr>
        <xdr:cNvPr id="3540" name="Straight Arrow Connector 3539">
          <a:extLst>
            <a:ext uri="{FF2B5EF4-FFF2-40B4-BE49-F238E27FC236}">
              <a16:creationId xmlns:a16="http://schemas.microsoft.com/office/drawing/2014/main" id="{00000000-0008-0000-1200-0000D40D0000}"/>
            </a:ext>
          </a:extLst>
        </xdr:cNvPr>
        <xdr:cNvCxnSpPr/>
      </xdr:nvCxnSpPr>
      <xdr:spPr>
        <a:xfrm flipV="1">
          <a:off x="11302999" y="34406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1086</xdr:row>
      <xdr:rowOff>95250</xdr:rowOff>
    </xdr:from>
    <xdr:to>
      <xdr:col>15</xdr:col>
      <xdr:colOff>582083</xdr:colOff>
      <xdr:row>1088</xdr:row>
      <xdr:rowOff>52917</xdr:rowOff>
    </xdr:to>
    <xdr:cxnSp macro="">
      <xdr:nvCxnSpPr>
        <xdr:cNvPr id="3541" name="Straight Arrow Connector 3540">
          <a:extLst>
            <a:ext uri="{FF2B5EF4-FFF2-40B4-BE49-F238E27FC236}">
              <a16:creationId xmlns:a16="http://schemas.microsoft.com/office/drawing/2014/main" id="{00000000-0008-0000-1200-0000D50D0000}"/>
            </a:ext>
          </a:extLst>
        </xdr:cNvPr>
        <xdr:cNvCxnSpPr/>
      </xdr:nvCxnSpPr>
      <xdr:spPr>
        <a:xfrm flipV="1">
          <a:off x="11345333" y="34766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116417</xdr:rowOff>
    </xdr:from>
    <xdr:to>
      <xdr:col>15</xdr:col>
      <xdr:colOff>592666</xdr:colOff>
      <xdr:row>1092</xdr:row>
      <xdr:rowOff>95250</xdr:rowOff>
    </xdr:to>
    <xdr:cxnSp macro="">
      <xdr:nvCxnSpPr>
        <xdr:cNvPr id="3542" name="Straight Arrow Connector 3541">
          <a:extLst>
            <a:ext uri="{FF2B5EF4-FFF2-40B4-BE49-F238E27FC236}">
              <a16:creationId xmlns:a16="http://schemas.microsoft.com/office/drawing/2014/main" id="{00000000-0008-0000-1200-0000D60D0000}"/>
            </a:ext>
          </a:extLst>
        </xdr:cNvPr>
        <xdr:cNvCxnSpPr/>
      </xdr:nvCxnSpPr>
      <xdr:spPr>
        <a:xfrm>
          <a:off x="11334749" y="35168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1099</xdr:row>
      <xdr:rowOff>116416</xdr:rowOff>
    </xdr:from>
    <xdr:to>
      <xdr:col>16</xdr:col>
      <xdr:colOff>0</xdr:colOff>
      <xdr:row>1106</xdr:row>
      <xdr:rowOff>74084</xdr:rowOff>
    </xdr:to>
    <xdr:cxnSp macro="">
      <xdr:nvCxnSpPr>
        <xdr:cNvPr id="3543" name="Straight Arrow Connector 3542">
          <a:extLst>
            <a:ext uri="{FF2B5EF4-FFF2-40B4-BE49-F238E27FC236}">
              <a16:creationId xmlns:a16="http://schemas.microsoft.com/office/drawing/2014/main" id="{00000000-0008-0000-1200-0000D70D0000}"/>
            </a:ext>
          </a:extLst>
        </xdr:cNvPr>
        <xdr:cNvCxnSpPr/>
      </xdr:nvCxnSpPr>
      <xdr:spPr>
        <a:xfrm>
          <a:off x="11313583" y="37263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1067</xdr:row>
      <xdr:rowOff>52917</xdr:rowOff>
    </xdr:from>
    <xdr:to>
      <xdr:col>15</xdr:col>
      <xdr:colOff>603250</xdr:colOff>
      <xdr:row>1069</xdr:row>
      <xdr:rowOff>148167</xdr:rowOff>
    </xdr:to>
    <xdr:cxnSp macro="">
      <xdr:nvCxnSpPr>
        <xdr:cNvPr id="3544" name="Straight Arrow Connector 3543">
          <a:extLst>
            <a:ext uri="{FF2B5EF4-FFF2-40B4-BE49-F238E27FC236}">
              <a16:creationId xmlns:a16="http://schemas.microsoft.com/office/drawing/2014/main" id="{00000000-0008-0000-1200-0000D80D0000}"/>
            </a:ext>
          </a:extLst>
        </xdr:cNvPr>
        <xdr:cNvCxnSpPr/>
      </xdr:nvCxnSpPr>
      <xdr:spPr>
        <a:xfrm flipV="1">
          <a:off x="11324166" y="31104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1102</xdr:row>
      <xdr:rowOff>42333</xdr:rowOff>
    </xdr:from>
    <xdr:to>
      <xdr:col>11</xdr:col>
      <xdr:colOff>603250</xdr:colOff>
      <xdr:row>1114</xdr:row>
      <xdr:rowOff>10583</xdr:rowOff>
    </xdr:to>
    <xdr:cxnSp macro="">
      <xdr:nvCxnSpPr>
        <xdr:cNvPr id="3545" name="Straight Arrow Connector 3544">
          <a:extLst>
            <a:ext uri="{FF2B5EF4-FFF2-40B4-BE49-F238E27FC236}">
              <a16:creationId xmlns:a16="http://schemas.microsoft.com/office/drawing/2014/main" id="{00000000-0008-0000-1200-0000D90D0000}"/>
            </a:ext>
          </a:extLst>
        </xdr:cNvPr>
        <xdr:cNvCxnSpPr/>
      </xdr:nvCxnSpPr>
      <xdr:spPr>
        <a:xfrm>
          <a:off x="7926917" y="37761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1092</xdr:row>
      <xdr:rowOff>21167</xdr:rowOff>
    </xdr:from>
    <xdr:to>
      <xdr:col>13</xdr:col>
      <xdr:colOff>592667</xdr:colOff>
      <xdr:row>1094</xdr:row>
      <xdr:rowOff>0</xdr:rowOff>
    </xdr:to>
    <xdr:cxnSp macro="">
      <xdr:nvCxnSpPr>
        <xdr:cNvPr id="3546" name="Straight Arrow Connector 3545">
          <a:extLst>
            <a:ext uri="{FF2B5EF4-FFF2-40B4-BE49-F238E27FC236}">
              <a16:creationId xmlns:a16="http://schemas.microsoft.com/office/drawing/2014/main" id="{00000000-0008-0000-1200-0000DA0D0000}"/>
            </a:ext>
          </a:extLst>
        </xdr:cNvPr>
        <xdr:cNvCxnSpPr/>
      </xdr:nvCxnSpPr>
      <xdr:spPr>
        <a:xfrm flipV="1">
          <a:off x="9133417" y="35835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1097</xdr:row>
      <xdr:rowOff>21166</xdr:rowOff>
    </xdr:from>
    <xdr:to>
      <xdr:col>13</xdr:col>
      <xdr:colOff>592667</xdr:colOff>
      <xdr:row>1098</xdr:row>
      <xdr:rowOff>169334</xdr:rowOff>
    </xdr:to>
    <xdr:cxnSp macro="">
      <xdr:nvCxnSpPr>
        <xdr:cNvPr id="3547" name="Straight Arrow Connector 3546">
          <a:extLst>
            <a:ext uri="{FF2B5EF4-FFF2-40B4-BE49-F238E27FC236}">
              <a16:creationId xmlns:a16="http://schemas.microsoft.com/office/drawing/2014/main" id="{00000000-0008-0000-1200-0000DB0D0000}"/>
            </a:ext>
          </a:extLst>
        </xdr:cNvPr>
        <xdr:cNvCxnSpPr/>
      </xdr:nvCxnSpPr>
      <xdr:spPr>
        <a:xfrm>
          <a:off x="9122833" y="36787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1112</xdr:row>
      <xdr:rowOff>21167</xdr:rowOff>
    </xdr:from>
    <xdr:to>
      <xdr:col>13</xdr:col>
      <xdr:colOff>592667</xdr:colOff>
      <xdr:row>1114</xdr:row>
      <xdr:rowOff>63500</xdr:rowOff>
    </xdr:to>
    <xdr:cxnSp macro="">
      <xdr:nvCxnSpPr>
        <xdr:cNvPr id="3548" name="Straight Arrow Connector 3547">
          <a:extLst>
            <a:ext uri="{FF2B5EF4-FFF2-40B4-BE49-F238E27FC236}">
              <a16:creationId xmlns:a16="http://schemas.microsoft.com/office/drawing/2014/main" id="{00000000-0008-0000-1200-0000DC0D0000}"/>
            </a:ext>
          </a:extLst>
        </xdr:cNvPr>
        <xdr:cNvCxnSpPr/>
      </xdr:nvCxnSpPr>
      <xdr:spPr>
        <a:xfrm flipV="1">
          <a:off x="9525000" y="39835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1117</xdr:row>
      <xdr:rowOff>0</xdr:rowOff>
    </xdr:from>
    <xdr:to>
      <xdr:col>14</xdr:col>
      <xdr:colOff>10584</xdr:colOff>
      <xdr:row>1125</xdr:row>
      <xdr:rowOff>148167</xdr:rowOff>
    </xdr:to>
    <xdr:cxnSp macro="">
      <xdr:nvCxnSpPr>
        <xdr:cNvPr id="3549" name="Straight Arrow Connector 3548">
          <a:extLst>
            <a:ext uri="{FF2B5EF4-FFF2-40B4-BE49-F238E27FC236}">
              <a16:creationId xmlns:a16="http://schemas.microsoft.com/office/drawing/2014/main" id="{00000000-0008-0000-1200-0000DD0D0000}"/>
            </a:ext>
          </a:extLst>
        </xdr:cNvPr>
        <xdr:cNvCxnSpPr/>
      </xdr:nvCxnSpPr>
      <xdr:spPr>
        <a:xfrm>
          <a:off x="9535583" y="40767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1088</xdr:row>
      <xdr:rowOff>95250</xdr:rowOff>
    </xdr:from>
    <xdr:to>
      <xdr:col>15</xdr:col>
      <xdr:colOff>582083</xdr:colOff>
      <xdr:row>1090</xdr:row>
      <xdr:rowOff>137583</xdr:rowOff>
    </xdr:to>
    <xdr:cxnSp macro="">
      <xdr:nvCxnSpPr>
        <xdr:cNvPr id="3550" name="Straight Arrow Connector 3549">
          <a:extLst>
            <a:ext uri="{FF2B5EF4-FFF2-40B4-BE49-F238E27FC236}">
              <a16:creationId xmlns:a16="http://schemas.microsoft.com/office/drawing/2014/main" id="{00000000-0008-0000-1200-0000DE0D0000}"/>
            </a:ext>
          </a:extLst>
        </xdr:cNvPr>
        <xdr:cNvCxnSpPr/>
      </xdr:nvCxnSpPr>
      <xdr:spPr>
        <a:xfrm>
          <a:off x="11334749" y="35147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1097</xdr:row>
      <xdr:rowOff>52916</xdr:rowOff>
    </xdr:from>
    <xdr:to>
      <xdr:col>16</xdr:col>
      <xdr:colOff>0</xdr:colOff>
      <xdr:row>1099</xdr:row>
      <xdr:rowOff>0</xdr:rowOff>
    </xdr:to>
    <xdr:cxnSp macro="">
      <xdr:nvCxnSpPr>
        <xdr:cNvPr id="3551" name="Straight Arrow Connector 3550">
          <a:extLst>
            <a:ext uri="{FF2B5EF4-FFF2-40B4-BE49-F238E27FC236}">
              <a16:creationId xmlns:a16="http://schemas.microsoft.com/office/drawing/2014/main" id="{00000000-0008-0000-1200-0000DF0D0000}"/>
            </a:ext>
          </a:extLst>
        </xdr:cNvPr>
        <xdr:cNvCxnSpPr/>
      </xdr:nvCxnSpPr>
      <xdr:spPr>
        <a:xfrm flipV="1">
          <a:off x="11281833" y="36819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21167</xdr:rowOff>
    </xdr:from>
    <xdr:to>
      <xdr:col>15</xdr:col>
      <xdr:colOff>592666</xdr:colOff>
      <xdr:row>1100</xdr:row>
      <xdr:rowOff>84667</xdr:rowOff>
    </xdr:to>
    <xdr:cxnSp macro="">
      <xdr:nvCxnSpPr>
        <xdr:cNvPr id="3552" name="Straight Arrow Connector 3551">
          <a:extLst>
            <a:ext uri="{FF2B5EF4-FFF2-40B4-BE49-F238E27FC236}">
              <a16:creationId xmlns:a16="http://schemas.microsoft.com/office/drawing/2014/main" id="{00000000-0008-0000-1200-0000E00D0000}"/>
            </a:ext>
          </a:extLst>
        </xdr:cNvPr>
        <xdr:cNvCxnSpPr/>
      </xdr:nvCxnSpPr>
      <xdr:spPr>
        <a:xfrm>
          <a:off x="11271250" y="37168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1099</xdr:row>
      <xdr:rowOff>0</xdr:rowOff>
    </xdr:from>
    <xdr:to>
      <xdr:col>16</xdr:col>
      <xdr:colOff>0</xdr:colOff>
      <xdr:row>1103</xdr:row>
      <xdr:rowOff>42334</xdr:rowOff>
    </xdr:to>
    <xdr:cxnSp macro="">
      <xdr:nvCxnSpPr>
        <xdr:cNvPr id="3553" name="Straight Arrow Connector 3552">
          <a:extLst>
            <a:ext uri="{FF2B5EF4-FFF2-40B4-BE49-F238E27FC236}">
              <a16:creationId xmlns:a16="http://schemas.microsoft.com/office/drawing/2014/main" id="{00000000-0008-0000-1200-0000E10D0000}"/>
            </a:ext>
          </a:extLst>
        </xdr:cNvPr>
        <xdr:cNvCxnSpPr/>
      </xdr:nvCxnSpPr>
      <xdr:spPr>
        <a:xfrm>
          <a:off x="11271250" y="37147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1110</xdr:row>
      <xdr:rowOff>0</xdr:rowOff>
    </xdr:from>
    <xdr:to>
      <xdr:col>15</xdr:col>
      <xdr:colOff>603250</xdr:colOff>
      <xdr:row>1112</xdr:row>
      <xdr:rowOff>1</xdr:rowOff>
    </xdr:to>
    <xdr:cxnSp macro="">
      <xdr:nvCxnSpPr>
        <xdr:cNvPr id="3554" name="Straight Arrow Connector 3553">
          <a:extLst>
            <a:ext uri="{FF2B5EF4-FFF2-40B4-BE49-F238E27FC236}">
              <a16:creationId xmlns:a16="http://schemas.microsoft.com/office/drawing/2014/main" id="{00000000-0008-0000-1200-0000E20D0000}"/>
            </a:ext>
          </a:extLst>
        </xdr:cNvPr>
        <xdr:cNvCxnSpPr/>
      </xdr:nvCxnSpPr>
      <xdr:spPr>
        <a:xfrm flipV="1">
          <a:off x="11271250" y="39433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1112</xdr:row>
      <xdr:rowOff>10584</xdr:rowOff>
    </xdr:from>
    <xdr:to>
      <xdr:col>15</xdr:col>
      <xdr:colOff>592666</xdr:colOff>
      <xdr:row>1113</xdr:row>
      <xdr:rowOff>95250</xdr:rowOff>
    </xdr:to>
    <xdr:cxnSp macro="">
      <xdr:nvCxnSpPr>
        <xdr:cNvPr id="3555" name="Straight Arrow Connector 3554">
          <a:extLst>
            <a:ext uri="{FF2B5EF4-FFF2-40B4-BE49-F238E27FC236}">
              <a16:creationId xmlns:a16="http://schemas.microsoft.com/office/drawing/2014/main" id="{00000000-0008-0000-1200-0000E30D0000}"/>
            </a:ext>
          </a:extLst>
        </xdr:cNvPr>
        <xdr:cNvCxnSpPr/>
      </xdr:nvCxnSpPr>
      <xdr:spPr>
        <a:xfrm>
          <a:off x="11313583" y="39825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1112</xdr:row>
      <xdr:rowOff>10584</xdr:rowOff>
    </xdr:from>
    <xdr:to>
      <xdr:col>15</xdr:col>
      <xdr:colOff>560916</xdr:colOff>
      <xdr:row>1116</xdr:row>
      <xdr:rowOff>52917</xdr:rowOff>
    </xdr:to>
    <xdr:cxnSp macro="">
      <xdr:nvCxnSpPr>
        <xdr:cNvPr id="3556" name="Straight Arrow Connector 3555">
          <a:extLst>
            <a:ext uri="{FF2B5EF4-FFF2-40B4-BE49-F238E27FC236}">
              <a16:creationId xmlns:a16="http://schemas.microsoft.com/office/drawing/2014/main" id="{00000000-0008-0000-1200-0000E40D0000}"/>
            </a:ext>
          </a:extLst>
        </xdr:cNvPr>
        <xdr:cNvCxnSpPr/>
      </xdr:nvCxnSpPr>
      <xdr:spPr>
        <a:xfrm>
          <a:off x="11292416" y="39825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3557" name="Straight Arrow Connector 3556">
          <a:extLst>
            <a:ext uri="{FF2B5EF4-FFF2-40B4-BE49-F238E27FC236}">
              <a16:creationId xmlns:a16="http://schemas.microsoft.com/office/drawing/2014/main" id="{00000000-0008-0000-1200-0000E50D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1126</xdr:row>
      <xdr:rowOff>0</xdr:rowOff>
    </xdr:from>
    <xdr:to>
      <xdr:col>16</xdr:col>
      <xdr:colOff>0</xdr:colOff>
      <xdr:row>1126</xdr:row>
      <xdr:rowOff>42334</xdr:rowOff>
    </xdr:to>
    <xdr:cxnSp macro="">
      <xdr:nvCxnSpPr>
        <xdr:cNvPr id="3558" name="Straight Arrow Connector 3557">
          <a:extLst>
            <a:ext uri="{FF2B5EF4-FFF2-40B4-BE49-F238E27FC236}">
              <a16:creationId xmlns:a16="http://schemas.microsoft.com/office/drawing/2014/main" id="{00000000-0008-0000-1200-0000E60D0000}"/>
            </a:ext>
          </a:extLst>
        </xdr:cNvPr>
        <xdr:cNvCxnSpPr/>
      </xdr:nvCxnSpPr>
      <xdr:spPr>
        <a:xfrm>
          <a:off x="11302999" y="42481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1126</xdr:row>
      <xdr:rowOff>21166</xdr:rowOff>
    </xdr:from>
    <xdr:to>
      <xdr:col>15</xdr:col>
      <xdr:colOff>560916</xdr:colOff>
      <xdr:row>1129</xdr:row>
      <xdr:rowOff>84667</xdr:rowOff>
    </xdr:to>
    <xdr:cxnSp macro="">
      <xdr:nvCxnSpPr>
        <xdr:cNvPr id="3559" name="Straight Arrow Connector 3558">
          <a:extLst>
            <a:ext uri="{FF2B5EF4-FFF2-40B4-BE49-F238E27FC236}">
              <a16:creationId xmlns:a16="http://schemas.microsoft.com/office/drawing/2014/main" id="{00000000-0008-0000-1200-0000E70D0000}"/>
            </a:ext>
          </a:extLst>
        </xdr:cNvPr>
        <xdr:cNvCxnSpPr/>
      </xdr:nvCxnSpPr>
      <xdr:spPr>
        <a:xfrm>
          <a:off x="11355916" y="42502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1126</xdr:row>
      <xdr:rowOff>52916</xdr:rowOff>
    </xdr:from>
    <xdr:to>
      <xdr:col>15</xdr:col>
      <xdr:colOff>592666</xdr:colOff>
      <xdr:row>1132</xdr:row>
      <xdr:rowOff>63501</xdr:rowOff>
    </xdr:to>
    <xdr:cxnSp macro="">
      <xdr:nvCxnSpPr>
        <xdr:cNvPr id="3560" name="Straight Arrow Connector 3559">
          <a:extLst>
            <a:ext uri="{FF2B5EF4-FFF2-40B4-BE49-F238E27FC236}">
              <a16:creationId xmlns:a16="http://schemas.microsoft.com/office/drawing/2014/main" id="{00000000-0008-0000-1200-0000E80D0000}"/>
            </a:ext>
          </a:extLst>
        </xdr:cNvPr>
        <xdr:cNvCxnSpPr/>
      </xdr:nvCxnSpPr>
      <xdr:spPr>
        <a:xfrm>
          <a:off x="11313583" y="42534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1123</xdr:row>
      <xdr:rowOff>52917</xdr:rowOff>
    </xdr:from>
    <xdr:to>
      <xdr:col>15</xdr:col>
      <xdr:colOff>603250</xdr:colOff>
      <xdr:row>1125</xdr:row>
      <xdr:rowOff>148167</xdr:rowOff>
    </xdr:to>
    <xdr:cxnSp macro="">
      <xdr:nvCxnSpPr>
        <xdr:cNvPr id="3561" name="Straight Arrow Connector 3560">
          <a:extLst>
            <a:ext uri="{FF2B5EF4-FFF2-40B4-BE49-F238E27FC236}">
              <a16:creationId xmlns:a16="http://schemas.microsoft.com/office/drawing/2014/main" id="{00000000-0008-0000-1200-0000E90D0000}"/>
            </a:ext>
          </a:extLst>
        </xdr:cNvPr>
        <xdr:cNvCxnSpPr/>
      </xdr:nvCxnSpPr>
      <xdr:spPr>
        <a:xfrm flipV="1">
          <a:off x="11324166" y="41962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3562" name="Straight Arrow Connector 3561">
          <a:extLst>
            <a:ext uri="{FF2B5EF4-FFF2-40B4-BE49-F238E27FC236}">
              <a16:creationId xmlns:a16="http://schemas.microsoft.com/office/drawing/2014/main" id="{00000000-0008-0000-1200-0000EA0D0000}"/>
            </a:ext>
          </a:extLst>
        </xdr:cNvPr>
        <xdr:cNvCxnSpPr/>
      </xdr:nvCxnSpPr>
      <xdr:spPr>
        <a:xfrm>
          <a:off x="11281833" y="37179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3563" name="Straight Arrow Connector 3562">
          <a:extLst>
            <a:ext uri="{FF2B5EF4-FFF2-40B4-BE49-F238E27FC236}">
              <a16:creationId xmlns:a16="http://schemas.microsoft.com/office/drawing/2014/main" id="{00000000-0008-0000-1200-0000EB0D0000}"/>
            </a:ext>
          </a:extLst>
        </xdr:cNvPr>
        <xdr:cNvCxnSpPr/>
      </xdr:nvCxnSpPr>
      <xdr:spPr>
        <a:xfrm>
          <a:off x="11324166" y="39846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3564" name="Straight Arrow Connector 3563">
          <a:extLst>
            <a:ext uri="{FF2B5EF4-FFF2-40B4-BE49-F238E27FC236}">
              <a16:creationId xmlns:a16="http://schemas.microsoft.com/office/drawing/2014/main" id="{00000000-0008-0000-1200-0000EC0D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3565" name="Straight Arrow Connector 3564">
          <a:extLst>
            <a:ext uri="{FF2B5EF4-FFF2-40B4-BE49-F238E27FC236}">
              <a16:creationId xmlns:a16="http://schemas.microsoft.com/office/drawing/2014/main" id="{00000000-0008-0000-1200-0000ED0D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3566" name="Straight Arrow Connector 3565">
          <a:extLst>
            <a:ext uri="{FF2B5EF4-FFF2-40B4-BE49-F238E27FC236}">
              <a16:creationId xmlns:a16="http://schemas.microsoft.com/office/drawing/2014/main" id="{00000000-0008-0000-1200-0000EE0D0000}"/>
            </a:ext>
          </a:extLst>
        </xdr:cNvPr>
        <xdr:cNvCxnSpPr/>
      </xdr:nvCxnSpPr>
      <xdr:spPr>
        <a:xfrm>
          <a:off x="11281833" y="480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3567" name="Straight Arrow Connector 3566">
          <a:extLst>
            <a:ext uri="{FF2B5EF4-FFF2-40B4-BE49-F238E27FC236}">
              <a16:creationId xmlns:a16="http://schemas.microsoft.com/office/drawing/2014/main" id="{00000000-0008-0000-1200-0000EF0D0000}"/>
            </a:ext>
          </a:extLst>
        </xdr:cNvPr>
        <xdr:cNvCxnSpPr/>
      </xdr:nvCxnSpPr>
      <xdr:spPr>
        <a:xfrm>
          <a:off x="11324166" y="50704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1238</xdr:row>
      <xdr:rowOff>21167</xdr:rowOff>
    </xdr:from>
    <xdr:to>
      <xdr:col>15</xdr:col>
      <xdr:colOff>592666</xdr:colOff>
      <xdr:row>1239</xdr:row>
      <xdr:rowOff>84667</xdr:rowOff>
    </xdr:to>
    <xdr:cxnSp macro="">
      <xdr:nvCxnSpPr>
        <xdr:cNvPr id="3568" name="Straight Arrow Connector 3567">
          <a:extLst>
            <a:ext uri="{FF2B5EF4-FFF2-40B4-BE49-F238E27FC236}">
              <a16:creationId xmlns:a16="http://schemas.microsoft.com/office/drawing/2014/main" id="{00000000-0008-0000-1200-0000F00D0000}"/>
            </a:ext>
          </a:extLst>
        </xdr:cNvPr>
        <xdr:cNvCxnSpPr/>
      </xdr:nvCxnSpPr>
      <xdr:spPr>
        <a:xfrm>
          <a:off x="11271250" y="64219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3569" name="Straight Arrow Connector 3568">
          <a:extLst>
            <a:ext uri="{FF2B5EF4-FFF2-40B4-BE49-F238E27FC236}">
              <a16:creationId xmlns:a16="http://schemas.microsoft.com/office/drawing/2014/main" id="{00000000-0008-0000-1200-0000F10D0000}"/>
            </a:ext>
          </a:extLst>
        </xdr:cNvPr>
        <xdr:cNvCxnSpPr/>
      </xdr:nvCxnSpPr>
      <xdr:spPr>
        <a:xfrm>
          <a:off x="11281833" y="588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570" name="Straight Arrow Connector 3569">
          <a:extLst>
            <a:ext uri="{FF2B5EF4-FFF2-40B4-BE49-F238E27FC236}">
              <a16:creationId xmlns:a16="http://schemas.microsoft.com/office/drawing/2014/main" id="{00000000-0008-0000-1200-0000F20D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571" name="Straight Arrow Connector 3570">
          <a:extLst>
            <a:ext uri="{FF2B5EF4-FFF2-40B4-BE49-F238E27FC236}">
              <a16:creationId xmlns:a16="http://schemas.microsoft.com/office/drawing/2014/main" id="{00000000-0008-0000-1200-0000F30D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572" name="Straight Arrow Connector 3571">
          <a:extLst>
            <a:ext uri="{FF2B5EF4-FFF2-40B4-BE49-F238E27FC236}">
              <a16:creationId xmlns:a16="http://schemas.microsoft.com/office/drawing/2014/main" id="{00000000-0008-0000-1200-0000F40D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3573" name="Straight Arrow Connector 3572">
          <a:extLst>
            <a:ext uri="{FF2B5EF4-FFF2-40B4-BE49-F238E27FC236}">
              <a16:creationId xmlns:a16="http://schemas.microsoft.com/office/drawing/2014/main" id="{00000000-0008-0000-1200-0000F50D0000}"/>
            </a:ext>
          </a:extLst>
        </xdr:cNvPr>
        <xdr:cNvCxnSpPr/>
      </xdr:nvCxnSpPr>
      <xdr:spPr>
        <a:xfrm>
          <a:off x="11281833" y="588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3574" name="Straight Arrow Connector 3573">
          <a:extLst>
            <a:ext uri="{FF2B5EF4-FFF2-40B4-BE49-F238E27FC236}">
              <a16:creationId xmlns:a16="http://schemas.microsoft.com/office/drawing/2014/main" id="{00000000-0008-0000-1200-0000F60D0000}"/>
            </a:ext>
          </a:extLst>
        </xdr:cNvPr>
        <xdr:cNvCxnSpPr/>
      </xdr:nvCxnSpPr>
      <xdr:spPr>
        <a:xfrm>
          <a:off x="11324166" y="61563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1264</xdr:row>
      <xdr:rowOff>169333</xdr:rowOff>
    </xdr:from>
    <xdr:to>
      <xdr:col>11</xdr:col>
      <xdr:colOff>603250</xdr:colOff>
      <xdr:row>1267</xdr:row>
      <xdr:rowOff>21167</xdr:rowOff>
    </xdr:to>
    <xdr:cxnSp macro="">
      <xdr:nvCxnSpPr>
        <xdr:cNvPr id="3575" name="Straight Arrow Connector 3574">
          <a:extLst>
            <a:ext uri="{FF2B5EF4-FFF2-40B4-BE49-F238E27FC236}">
              <a16:creationId xmlns:a16="http://schemas.microsoft.com/office/drawing/2014/main" id="{00000000-0008-0000-1200-0000F70D0000}"/>
            </a:ext>
          </a:extLst>
        </xdr:cNvPr>
        <xdr:cNvCxnSpPr/>
      </xdr:nvCxnSpPr>
      <xdr:spPr>
        <a:xfrm flipV="1">
          <a:off x="7937500" y="693208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1270</xdr:row>
      <xdr:rowOff>42333</xdr:rowOff>
    </xdr:from>
    <xdr:to>
      <xdr:col>11</xdr:col>
      <xdr:colOff>603250</xdr:colOff>
      <xdr:row>1282</xdr:row>
      <xdr:rowOff>10583</xdr:rowOff>
    </xdr:to>
    <xdr:cxnSp macro="">
      <xdr:nvCxnSpPr>
        <xdr:cNvPr id="3576" name="Straight Arrow Connector 3575">
          <a:extLst>
            <a:ext uri="{FF2B5EF4-FFF2-40B4-BE49-F238E27FC236}">
              <a16:creationId xmlns:a16="http://schemas.microsoft.com/office/drawing/2014/main" id="{00000000-0008-0000-1200-0000F80D0000}"/>
            </a:ext>
          </a:extLst>
        </xdr:cNvPr>
        <xdr:cNvCxnSpPr/>
      </xdr:nvCxnSpPr>
      <xdr:spPr>
        <a:xfrm>
          <a:off x="7926917" y="70336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1260</xdr:row>
      <xdr:rowOff>21167</xdr:rowOff>
    </xdr:from>
    <xdr:to>
      <xdr:col>13</xdr:col>
      <xdr:colOff>592667</xdr:colOff>
      <xdr:row>1262</xdr:row>
      <xdr:rowOff>0</xdr:rowOff>
    </xdr:to>
    <xdr:cxnSp macro="">
      <xdr:nvCxnSpPr>
        <xdr:cNvPr id="3577" name="Straight Arrow Connector 3576">
          <a:extLst>
            <a:ext uri="{FF2B5EF4-FFF2-40B4-BE49-F238E27FC236}">
              <a16:creationId xmlns:a16="http://schemas.microsoft.com/office/drawing/2014/main" id="{00000000-0008-0000-1200-0000F90D0000}"/>
            </a:ext>
          </a:extLst>
        </xdr:cNvPr>
        <xdr:cNvCxnSpPr/>
      </xdr:nvCxnSpPr>
      <xdr:spPr>
        <a:xfrm flipV="1">
          <a:off x="9133417" y="68410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1265</xdr:row>
      <xdr:rowOff>21166</xdr:rowOff>
    </xdr:from>
    <xdr:to>
      <xdr:col>13</xdr:col>
      <xdr:colOff>592667</xdr:colOff>
      <xdr:row>1266</xdr:row>
      <xdr:rowOff>169334</xdr:rowOff>
    </xdr:to>
    <xdr:cxnSp macro="">
      <xdr:nvCxnSpPr>
        <xdr:cNvPr id="3578" name="Straight Arrow Connector 3577">
          <a:extLst>
            <a:ext uri="{FF2B5EF4-FFF2-40B4-BE49-F238E27FC236}">
              <a16:creationId xmlns:a16="http://schemas.microsoft.com/office/drawing/2014/main" id="{00000000-0008-0000-1200-0000FA0D0000}"/>
            </a:ext>
          </a:extLst>
        </xdr:cNvPr>
        <xdr:cNvCxnSpPr/>
      </xdr:nvCxnSpPr>
      <xdr:spPr>
        <a:xfrm>
          <a:off x="9122833" y="69363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1280</xdr:row>
      <xdr:rowOff>21167</xdr:rowOff>
    </xdr:from>
    <xdr:to>
      <xdr:col>13</xdr:col>
      <xdr:colOff>592667</xdr:colOff>
      <xdr:row>1282</xdr:row>
      <xdr:rowOff>63500</xdr:rowOff>
    </xdr:to>
    <xdr:cxnSp macro="">
      <xdr:nvCxnSpPr>
        <xdr:cNvPr id="3579" name="Straight Arrow Connector 3578">
          <a:extLst>
            <a:ext uri="{FF2B5EF4-FFF2-40B4-BE49-F238E27FC236}">
              <a16:creationId xmlns:a16="http://schemas.microsoft.com/office/drawing/2014/main" id="{00000000-0008-0000-1200-0000FB0D0000}"/>
            </a:ext>
          </a:extLst>
        </xdr:cNvPr>
        <xdr:cNvCxnSpPr/>
      </xdr:nvCxnSpPr>
      <xdr:spPr>
        <a:xfrm flipV="1">
          <a:off x="9525000" y="72411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1285</xdr:row>
      <xdr:rowOff>0</xdr:rowOff>
    </xdr:from>
    <xdr:to>
      <xdr:col>14</xdr:col>
      <xdr:colOff>10584</xdr:colOff>
      <xdr:row>1293</xdr:row>
      <xdr:rowOff>148167</xdr:rowOff>
    </xdr:to>
    <xdr:cxnSp macro="">
      <xdr:nvCxnSpPr>
        <xdr:cNvPr id="3580" name="Straight Arrow Connector 3579">
          <a:extLst>
            <a:ext uri="{FF2B5EF4-FFF2-40B4-BE49-F238E27FC236}">
              <a16:creationId xmlns:a16="http://schemas.microsoft.com/office/drawing/2014/main" id="{00000000-0008-0000-1200-0000FC0D0000}"/>
            </a:ext>
          </a:extLst>
        </xdr:cNvPr>
        <xdr:cNvCxnSpPr/>
      </xdr:nvCxnSpPr>
      <xdr:spPr>
        <a:xfrm>
          <a:off x="9535583" y="73342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1252</xdr:row>
      <xdr:rowOff>0</xdr:rowOff>
    </xdr:from>
    <xdr:to>
      <xdr:col>15</xdr:col>
      <xdr:colOff>603250</xdr:colOff>
      <xdr:row>1257</xdr:row>
      <xdr:rowOff>31750</xdr:rowOff>
    </xdr:to>
    <xdr:cxnSp macro="">
      <xdr:nvCxnSpPr>
        <xdr:cNvPr id="3581" name="Straight Arrow Connector 3580">
          <a:extLst>
            <a:ext uri="{FF2B5EF4-FFF2-40B4-BE49-F238E27FC236}">
              <a16:creationId xmlns:a16="http://schemas.microsoft.com/office/drawing/2014/main" id="{00000000-0008-0000-1200-0000FD0D0000}"/>
            </a:ext>
          </a:extLst>
        </xdr:cNvPr>
        <xdr:cNvCxnSpPr/>
      </xdr:nvCxnSpPr>
      <xdr:spPr>
        <a:xfrm flipV="1">
          <a:off x="11281833" y="668655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1255</xdr:row>
      <xdr:rowOff>52917</xdr:rowOff>
    </xdr:from>
    <xdr:to>
      <xdr:col>15</xdr:col>
      <xdr:colOff>603250</xdr:colOff>
      <xdr:row>1257</xdr:row>
      <xdr:rowOff>95250</xdr:rowOff>
    </xdr:to>
    <xdr:cxnSp macro="">
      <xdr:nvCxnSpPr>
        <xdr:cNvPr id="3582" name="Straight Arrow Connector 3581">
          <a:extLst>
            <a:ext uri="{FF2B5EF4-FFF2-40B4-BE49-F238E27FC236}">
              <a16:creationId xmlns:a16="http://schemas.microsoft.com/office/drawing/2014/main" id="{00000000-0008-0000-1200-0000FE0D0000}"/>
            </a:ext>
          </a:extLst>
        </xdr:cNvPr>
        <xdr:cNvCxnSpPr/>
      </xdr:nvCxnSpPr>
      <xdr:spPr>
        <a:xfrm flipV="1">
          <a:off x="11324166" y="674899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1257</xdr:row>
      <xdr:rowOff>158750</xdr:rowOff>
    </xdr:from>
    <xdr:to>
      <xdr:col>15</xdr:col>
      <xdr:colOff>582083</xdr:colOff>
      <xdr:row>1258</xdr:row>
      <xdr:rowOff>137583</xdr:rowOff>
    </xdr:to>
    <xdr:cxnSp macro="">
      <xdr:nvCxnSpPr>
        <xdr:cNvPr id="3583" name="Straight Arrow Connector 3582">
          <a:extLst>
            <a:ext uri="{FF2B5EF4-FFF2-40B4-BE49-F238E27FC236}">
              <a16:creationId xmlns:a16="http://schemas.microsoft.com/office/drawing/2014/main" id="{00000000-0008-0000-1200-0000FF0D0000}"/>
            </a:ext>
          </a:extLst>
        </xdr:cNvPr>
        <xdr:cNvCxnSpPr/>
      </xdr:nvCxnSpPr>
      <xdr:spPr>
        <a:xfrm>
          <a:off x="11345333" y="679767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1257</xdr:row>
      <xdr:rowOff>105834</xdr:rowOff>
    </xdr:from>
    <xdr:to>
      <xdr:col>16</xdr:col>
      <xdr:colOff>0</xdr:colOff>
      <xdr:row>1261</xdr:row>
      <xdr:rowOff>84667</xdr:rowOff>
    </xdr:to>
    <xdr:cxnSp macro="">
      <xdr:nvCxnSpPr>
        <xdr:cNvPr id="3584" name="Straight Arrow Connector 3583">
          <a:extLst>
            <a:ext uri="{FF2B5EF4-FFF2-40B4-BE49-F238E27FC236}">
              <a16:creationId xmlns:a16="http://schemas.microsoft.com/office/drawing/2014/main" id="{00000000-0008-0000-1200-0000000E0000}"/>
            </a:ext>
          </a:extLst>
        </xdr:cNvPr>
        <xdr:cNvCxnSpPr/>
      </xdr:nvCxnSpPr>
      <xdr:spPr>
        <a:xfrm>
          <a:off x="11260667" y="679238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1265</xdr:row>
      <xdr:rowOff>52916</xdr:rowOff>
    </xdr:from>
    <xdr:to>
      <xdr:col>16</xdr:col>
      <xdr:colOff>0</xdr:colOff>
      <xdr:row>1267</xdr:row>
      <xdr:rowOff>0</xdr:rowOff>
    </xdr:to>
    <xdr:cxnSp macro="">
      <xdr:nvCxnSpPr>
        <xdr:cNvPr id="3585" name="Straight Arrow Connector 3584">
          <a:extLst>
            <a:ext uri="{FF2B5EF4-FFF2-40B4-BE49-F238E27FC236}">
              <a16:creationId xmlns:a16="http://schemas.microsoft.com/office/drawing/2014/main" id="{00000000-0008-0000-1200-0000010E0000}"/>
            </a:ext>
          </a:extLst>
        </xdr:cNvPr>
        <xdr:cNvCxnSpPr/>
      </xdr:nvCxnSpPr>
      <xdr:spPr>
        <a:xfrm flipV="1">
          <a:off x="11281833" y="69394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1267</xdr:row>
      <xdr:rowOff>21167</xdr:rowOff>
    </xdr:from>
    <xdr:to>
      <xdr:col>15</xdr:col>
      <xdr:colOff>582083</xdr:colOff>
      <xdr:row>1268</xdr:row>
      <xdr:rowOff>42333</xdr:rowOff>
    </xdr:to>
    <xdr:cxnSp macro="">
      <xdr:nvCxnSpPr>
        <xdr:cNvPr id="3586" name="Straight Arrow Connector 3585">
          <a:extLst>
            <a:ext uri="{FF2B5EF4-FFF2-40B4-BE49-F238E27FC236}">
              <a16:creationId xmlns:a16="http://schemas.microsoft.com/office/drawing/2014/main" id="{00000000-0008-0000-1200-0000020E0000}"/>
            </a:ext>
          </a:extLst>
        </xdr:cNvPr>
        <xdr:cNvCxnSpPr/>
      </xdr:nvCxnSpPr>
      <xdr:spPr>
        <a:xfrm>
          <a:off x="11292416" y="697441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1267</xdr:row>
      <xdr:rowOff>21167</xdr:rowOff>
    </xdr:from>
    <xdr:to>
      <xdr:col>16</xdr:col>
      <xdr:colOff>42333</xdr:colOff>
      <xdr:row>1272</xdr:row>
      <xdr:rowOff>21168</xdr:rowOff>
    </xdr:to>
    <xdr:cxnSp macro="">
      <xdr:nvCxnSpPr>
        <xdr:cNvPr id="3587" name="Straight Arrow Connector 3586">
          <a:extLst>
            <a:ext uri="{FF2B5EF4-FFF2-40B4-BE49-F238E27FC236}">
              <a16:creationId xmlns:a16="http://schemas.microsoft.com/office/drawing/2014/main" id="{00000000-0008-0000-1200-0000030E0000}"/>
            </a:ext>
          </a:extLst>
        </xdr:cNvPr>
        <xdr:cNvCxnSpPr/>
      </xdr:nvCxnSpPr>
      <xdr:spPr>
        <a:xfrm>
          <a:off x="11271250" y="697441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3588" name="Straight Arrow Connector 3587">
          <a:extLst>
            <a:ext uri="{FF2B5EF4-FFF2-40B4-BE49-F238E27FC236}">
              <a16:creationId xmlns:a16="http://schemas.microsoft.com/office/drawing/2014/main" id="{00000000-0008-0000-1200-0000040E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1320</xdr:row>
      <xdr:rowOff>158750</xdr:rowOff>
    </xdr:from>
    <xdr:to>
      <xdr:col>11</xdr:col>
      <xdr:colOff>571500</xdr:colOff>
      <xdr:row>1323</xdr:row>
      <xdr:rowOff>0</xdr:rowOff>
    </xdr:to>
    <xdr:cxnSp macro="">
      <xdr:nvCxnSpPr>
        <xdr:cNvPr id="3589" name="Straight Arrow Connector 3588">
          <a:extLst>
            <a:ext uri="{FF2B5EF4-FFF2-40B4-BE49-F238E27FC236}">
              <a16:creationId xmlns:a16="http://schemas.microsoft.com/office/drawing/2014/main" id="{00000000-0008-0000-1200-0000050E0000}"/>
            </a:ext>
          </a:extLst>
        </xdr:cNvPr>
        <xdr:cNvCxnSpPr/>
      </xdr:nvCxnSpPr>
      <xdr:spPr>
        <a:xfrm flipV="1">
          <a:off x="7874000" y="801687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1278</xdr:row>
      <xdr:rowOff>0</xdr:rowOff>
    </xdr:from>
    <xdr:to>
      <xdr:col>15</xdr:col>
      <xdr:colOff>603250</xdr:colOff>
      <xdr:row>1280</xdr:row>
      <xdr:rowOff>1</xdr:rowOff>
    </xdr:to>
    <xdr:cxnSp macro="">
      <xdr:nvCxnSpPr>
        <xdr:cNvPr id="3590" name="Straight Arrow Connector 3589">
          <a:extLst>
            <a:ext uri="{FF2B5EF4-FFF2-40B4-BE49-F238E27FC236}">
              <a16:creationId xmlns:a16="http://schemas.microsoft.com/office/drawing/2014/main" id="{00000000-0008-0000-1200-0000060E0000}"/>
            </a:ext>
          </a:extLst>
        </xdr:cNvPr>
        <xdr:cNvCxnSpPr/>
      </xdr:nvCxnSpPr>
      <xdr:spPr>
        <a:xfrm flipV="1">
          <a:off x="11271250" y="72009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1280</xdr:row>
      <xdr:rowOff>10584</xdr:rowOff>
    </xdr:from>
    <xdr:to>
      <xdr:col>15</xdr:col>
      <xdr:colOff>592666</xdr:colOff>
      <xdr:row>1281</xdr:row>
      <xdr:rowOff>95250</xdr:rowOff>
    </xdr:to>
    <xdr:cxnSp macro="">
      <xdr:nvCxnSpPr>
        <xdr:cNvPr id="3591" name="Straight Arrow Connector 3590">
          <a:extLst>
            <a:ext uri="{FF2B5EF4-FFF2-40B4-BE49-F238E27FC236}">
              <a16:creationId xmlns:a16="http://schemas.microsoft.com/office/drawing/2014/main" id="{00000000-0008-0000-1200-0000070E0000}"/>
            </a:ext>
          </a:extLst>
        </xdr:cNvPr>
        <xdr:cNvCxnSpPr/>
      </xdr:nvCxnSpPr>
      <xdr:spPr>
        <a:xfrm>
          <a:off x="11313583" y="72400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1280</xdr:row>
      <xdr:rowOff>10584</xdr:rowOff>
    </xdr:from>
    <xdr:to>
      <xdr:col>15</xdr:col>
      <xdr:colOff>560916</xdr:colOff>
      <xdr:row>1284</xdr:row>
      <xdr:rowOff>52917</xdr:rowOff>
    </xdr:to>
    <xdr:cxnSp macro="">
      <xdr:nvCxnSpPr>
        <xdr:cNvPr id="3592" name="Straight Arrow Connector 3591">
          <a:extLst>
            <a:ext uri="{FF2B5EF4-FFF2-40B4-BE49-F238E27FC236}">
              <a16:creationId xmlns:a16="http://schemas.microsoft.com/office/drawing/2014/main" id="{00000000-0008-0000-1200-0000080E0000}"/>
            </a:ext>
          </a:extLst>
        </xdr:cNvPr>
        <xdr:cNvCxnSpPr/>
      </xdr:nvCxnSpPr>
      <xdr:spPr>
        <a:xfrm>
          <a:off x="11292416" y="72400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593" name="Straight Arrow Connector 3592">
          <a:extLst>
            <a:ext uri="{FF2B5EF4-FFF2-40B4-BE49-F238E27FC236}">
              <a16:creationId xmlns:a16="http://schemas.microsoft.com/office/drawing/2014/main" id="{00000000-0008-0000-1200-0000090E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1294</xdr:row>
      <xdr:rowOff>0</xdr:rowOff>
    </xdr:from>
    <xdr:to>
      <xdr:col>16</xdr:col>
      <xdr:colOff>0</xdr:colOff>
      <xdr:row>1294</xdr:row>
      <xdr:rowOff>42334</xdr:rowOff>
    </xdr:to>
    <xdr:cxnSp macro="">
      <xdr:nvCxnSpPr>
        <xdr:cNvPr id="3594" name="Straight Arrow Connector 3593">
          <a:extLst>
            <a:ext uri="{FF2B5EF4-FFF2-40B4-BE49-F238E27FC236}">
              <a16:creationId xmlns:a16="http://schemas.microsoft.com/office/drawing/2014/main" id="{00000000-0008-0000-1200-00000A0E0000}"/>
            </a:ext>
          </a:extLst>
        </xdr:cNvPr>
        <xdr:cNvCxnSpPr/>
      </xdr:nvCxnSpPr>
      <xdr:spPr>
        <a:xfrm>
          <a:off x="11302999" y="75057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1294</xdr:row>
      <xdr:rowOff>21166</xdr:rowOff>
    </xdr:from>
    <xdr:to>
      <xdr:col>15</xdr:col>
      <xdr:colOff>560916</xdr:colOff>
      <xdr:row>1297</xdr:row>
      <xdr:rowOff>84667</xdr:rowOff>
    </xdr:to>
    <xdr:cxnSp macro="">
      <xdr:nvCxnSpPr>
        <xdr:cNvPr id="3595" name="Straight Arrow Connector 3594">
          <a:extLst>
            <a:ext uri="{FF2B5EF4-FFF2-40B4-BE49-F238E27FC236}">
              <a16:creationId xmlns:a16="http://schemas.microsoft.com/office/drawing/2014/main" id="{00000000-0008-0000-1200-00000B0E0000}"/>
            </a:ext>
          </a:extLst>
        </xdr:cNvPr>
        <xdr:cNvCxnSpPr/>
      </xdr:nvCxnSpPr>
      <xdr:spPr>
        <a:xfrm>
          <a:off x="11355916" y="75078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1294</xdr:row>
      <xdr:rowOff>52916</xdr:rowOff>
    </xdr:from>
    <xdr:to>
      <xdr:col>15</xdr:col>
      <xdr:colOff>592666</xdr:colOff>
      <xdr:row>1300</xdr:row>
      <xdr:rowOff>63501</xdr:rowOff>
    </xdr:to>
    <xdr:cxnSp macro="">
      <xdr:nvCxnSpPr>
        <xdr:cNvPr id="3596" name="Straight Arrow Connector 3595">
          <a:extLst>
            <a:ext uri="{FF2B5EF4-FFF2-40B4-BE49-F238E27FC236}">
              <a16:creationId xmlns:a16="http://schemas.microsoft.com/office/drawing/2014/main" id="{00000000-0008-0000-1200-00000C0E0000}"/>
            </a:ext>
          </a:extLst>
        </xdr:cNvPr>
        <xdr:cNvCxnSpPr/>
      </xdr:nvCxnSpPr>
      <xdr:spPr>
        <a:xfrm>
          <a:off x="11313583" y="75109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1308</xdr:row>
      <xdr:rowOff>116416</xdr:rowOff>
    </xdr:from>
    <xdr:to>
      <xdr:col>15</xdr:col>
      <xdr:colOff>592666</xdr:colOff>
      <xdr:row>1311</xdr:row>
      <xdr:rowOff>158750</xdr:rowOff>
    </xdr:to>
    <xdr:cxnSp macro="">
      <xdr:nvCxnSpPr>
        <xdr:cNvPr id="3597" name="Straight Arrow Connector 3596">
          <a:extLst>
            <a:ext uri="{FF2B5EF4-FFF2-40B4-BE49-F238E27FC236}">
              <a16:creationId xmlns:a16="http://schemas.microsoft.com/office/drawing/2014/main" id="{00000000-0008-0000-1200-00000D0E0000}"/>
            </a:ext>
          </a:extLst>
        </xdr:cNvPr>
        <xdr:cNvCxnSpPr/>
      </xdr:nvCxnSpPr>
      <xdr:spPr>
        <a:xfrm flipV="1">
          <a:off x="11302999" y="778404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1310</xdr:row>
      <xdr:rowOff>95250</xdr:rowOff>
    </xdr:from>
    <xdr:to>
      <xdr:col>15</xdr:col>
      <xdr:colOff>582083</xdr:colOff>
      <xdr:row>1312</xdr:row>
      <xdr:rowOff>52917</xdr:rowOff>
    </xdr:to>
    <xdr:cxnSp macro="">
      <xdr:nvCxnSpPr>
        <xdr:cNvPr id="3598" name="Straight Arrow Connector 3597">
          <a:extLst>
            <a:ext uri="{FF2B5EF4-FFF2-40B4-BE49-F238E27FC236}">
              <a16:creationId xmlns:a16="http://schemas.microsoft.com/office/drawing/2014/main" id="{00000000-0008-0000-1200-00000E0E0000}"/>
            </a:ext>
          </a:extLst>
        </xdr:cNvPr>
        <xdr:cNvCxnSpPr/>
      </xdr:nvCxnSpPr>
      <xdr:spPr>
        <a:xfrm flipV="1">
          <a:off x="11345333" y="782002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116417</xdr:rowOff>
    </xdr:from>
    <xdr:to>
      <xdr:col>15</xdr:col>
      <xdr:colOff>592666</xdr:colOff>
      <xdr:row>1316</xdr:row>
      <xdr:rowOff>95250</xdr:rowOff>
    </xdr:to>
    <xdr:cxnSp macro="">
      <xdr:nvCxnSpPr>
        <xdr:cNvPr id="3599" name="Straight Arrow Connector 3598">
          <a:extLst>
            <a:ext uri="{FF2B5EF4-FFF2-40B4-BE49-F238E27FC236}">
              <a16:creationId xmlns:a16="http://schemas.microsoft.com/office/drawing/2014/main" id="{00000000-0008-0000-1200-00000F0E0000}"/>
            </a:ext>
          </a:extLst>
        </xdr:cNvPr>
        <xdr:cNvCxnSpPr/>
      </xdr:nvCxnSpPr>
      <xdr:spPr>
        <a:xfrm>
          <a:off x="11334749" y="786024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1323</xdr:row>
      <xdr:rowOff>116416</xdr:rowOff>
    </xdr:from>
    <xdr:to>
      <xdr:col>16</xdr:col>
      <xdr:colOff>0</xdr:colOff>
      <xdr:row>1330</xdr:row>
      <xdr:rowOff>74084</xdr:rowOff>
    </xdr:to>
    <xdr:cxnSp macro="">
      <xdr:nvCxnSpPr>
        <xdr:cNvPr id="3600" name="Straight Arrow Connector 3599">
          <a:extLst>
            <a:ext uri="{FF2B5EF4-FFF2-40B4-BE49-F238E27FC236}">
              <a16:creationId xmlns:a16="http://schemas.microsoft.com/office/drawing/2014/main" id="{00000000-0008-0000-1200-0000100E0000}"/>
            </a:ext>
          </a:extLst>
        </xdr:cNvPr>
        <xdr:cNvCxnSpPr/>
      </xdr:nvCxnSpPr>
      <xdr:spPr>
        <a:xfrm>
          <a:off x="11313583" y="806979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1291</xdr:row>
      <xdr:rowOff>52917</xdr:rowOff>
    </xdr:from>
    <xdr:to>
      <xdr:col>15</xdr:col>
      <xdr:colOff>603250</xdr:colOff>
      <xdr:row>1293</xdr:row>
      <xdr:rowOff>148167</xdr:rowOff>
    </xdr:to>
    <xdr:cxnSp macro="">
      <xdr:nvCxnSpPr>
        <xdr:cNvPr id="3601" name="Straight Arrow Connector 3600">
          <a:extLst>
            <a:ext uri="{FF2B5EF4-FFF2-40B4-BE49-F238E27FC236}">
              <a16:creationId xmlns:a16="http://schemas.microsoft.com/office/drawing/2014/main" id="{00000000-0008-0000-1200-0000110E0000}"/>
            </a:ext>
          </a:extLst>
        </xdr:cNvPr>
        <xdr:cNvCxnSpPr/>
      </xdr:nvCxnSpPr>
      <xdr:spPr>
        <a:xfrm flipV="1">
          <a:off x="11324166" y="74538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1326</xdr:row>
      <xdr:rowOff>42333</xdr:rowOff>
    </xdr:from>
    <xdr:to>
      <xdr:col>11</xdr:col>
      <xdr:colOff>603250</xdr:colOff>
      <xdr:row>1338</xdr:row>
      <xdr:rowOff>10583</xdr:rowOff>
    </xdr:to>
    <xdr:cxnSp macro="">
      <xdr:nvCxnSpPr>
        <xdr:cNvPr id="3602" name="Straight Arrow Connector 3601">
          <a:extLst>
            <a:ext uri="{FF2B5EF4-FFF2-40B4-BE49-F238E27FC236}">
              <a16:creationId xmlns:a16="http://schemas.microsoft.com/office/drawing/2014/main" id="{00000000-0008-0000-1200-0000120E0000}"/>
            </a:ext>
          </a:extLst>
        </xdr:cNvPr>
        <xdr:cNvCxnSpPr/>
      </xdr:nvCxnSpPr>
      <xdr:spPr>
        <a:xfrm>
          <a:off x="7926917" y="8119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1316</xdr:row>
      <xdr:rowOff>21167</xdr:rowOff>
    </xdr:from>
    <xdr:to>
      <xdr:col>13</xdr:col>
      <xdr:colOff>592667</xdr:colOff>
      <xdr:row>1318</xdr:row>
      <xdr:rowOff>0</xdr:rowOff>
    </xdr:to>
    <xdr:cxnSp macro="">
      <xdr:nvCxnSpPr>
        <xdr:cNvPr id="3603" name="Straight Arrow Connector 3602">
          <a:extLst>
            <a:ext uri="{FF2B5EF4-FFF2-40B4-BE49-F238E27FC236}">
              <a16:creationId xmlns:a16="http://schemas.microsoft.com/office/drawing/2014/main" id="{00000000-0008-0000-1200-0000130E0000}"/>
            </a:ext>
          </a:extLst>
        </xdr:cNvPr>
        <xdr:cNvCxnSpPr/>
      </xdr:nvCxnSpPr>
      <xdr:spPr>
        <a:xfrm flipV="1">
          <a:off x="9133417" y="7926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1321</xdr:row>
      <xdr:rowOff>21166</xdr:rowOff>
    </xdr:from>
    <xdr:to>
      <xdr:col>13</xdr:col>
      <xdr:colOff>592667</xdr:colOff>
      <xdr:row>1322</xdr:row>
      <xdr:rowOff>169334</xdr:rowOff>
    </xdr:to>
    <xdr:cxnSp macro="">
      <xdr:nvCxnSpPr>
        <xdr:cNvPr id="3604" name="Straight Arrow Connector 3603">
          <a:extLst>
            <a:ext uri="{FF2B5EF4-FFF2-40B4-BE49-F238E27FC236}">
              <a16:creationId xmlns:a16="http://schemas.microsoft.com/office/drawing/2014/main" id="{00000000-0008-0000-1200-0000140E0000}"/>
            </a:ext>
          </a:extLst>
        </xdr:cNvPr>
        <xdr:cNvCxnSpPr/>
      </xdr:nvCxnSpPr>
      <xdr:spPr>
        <a:xfrm>
          <a:off x="9122833" y="8022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1336</xdr:row>
      <xdr:rowOff>21167</xdr:rowOff>
    </xdr:from>
    <xdr:to>
      <xdr:col>13</xdr:col>
      <xdr:colOff>592667</xdr:colOff>
      <xdr:row>1338</xdr:row>
      <xdr:rowOff>63500</xdr:rowOff>
    </xdr:to>
    <xdr:cxnSp macro="">
      <xdr:nvCxnSpPr>
        <xdr:cNvPr id="3605" name="Straight Arrow Connector 3604">
          <a:extLst>
            <a:ext uri="{FF2B5EF4-FFF2-40B4-BE49-F238E27FC236}">
              <a16:creationId xmlns:a16="http://schemas.microsoft.com/office/drawing/2014/main" id="{00000000-0008-0000-1200-0000150E0000}"/>
            </a:ext>
          </a:extLst>
        </xdr:cNvPr>
        <xdr:cNvCxnSpPr/>
      </xdr:nvCxnSpPr>
      <xdr:spPr>
        <a:xfrm flipV="1">
          <a:off x="9525000" y="8326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1341</xdr:row>
      <xdr:rowOff>0</xdr:rowOff>
    </xdr:from>
    <xdr:to>
      <xdr:col>14</xdr:col>
      <xdr:colOff>10584</xdr:colOff>
      <xdr:row>1349</xdr:row>
      <xdr:rowOff>148167</xdr:rowOff>
    </xdr:to>
    <xdr:cxnSp macro="">
      <xdr:nvCxnSpPr>
        <xdr:cNvPr id="3606" name="Straight Arrow Connector 3605">
          <a:extLst>
            <a:ext uri="{FF2B5EF4-FFF2-40B4-BE49-F238E27FC236}">
              <a16:creationId xmlns:a16="http://schemas.microsoft.com/office/drawing/2014/main" id="{00000000-0008-0000-1200-0000160E0000}"/>
            </a:ext>
          </a:extLst>
        </xdr:cNvPr>
        <xdr:cNvCxnSpPr/>
      </xdr:nvCxnSpPr>
      <xdr:spPr>
        <a:xfrm>
          <a:off x="9535583" y="8420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1312</xdr:row>
      <xdr:rowOff>95250</xdr:rowOff>
    </xdr:from>
    <xdr:to>
      <xdr:col>15</xdr:col>
      <xdr:colOff>582083</xdr:colOff>
      <xdr:row>1314</xdr:row>
      <xdr:rowOff>137583</xdr:rowOff>
    </xdr:to>
    <xdr:cxnSp macro="">
      <xdr:nvCxnSpPr>
        <xdr:cNvPr id="3607" name="Straight Arrow Connector 3606">
          <a:extLst>
            <a:ext uri="{FF2B5EF4-FFF2-40B4-BE49-F238E27FC236}">
              <a16:creationId xmlns:a16="http://schemas.microsoft.com/office/drawing/2014/main" id="{00000000-0008-0000-1200-0000170E0000}"/>
            </a:ext>
          </a:extLst>
        </xdr:cNvPr>
        <xdr:cNvCxnSpPr/>
      </xdr:nvCxnSpPr>
      <xdr:spPr>
        <a:xfrm>
          <a:off x="11334749" y="785812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1321</xdr:row>
      <xdr:rowOff>52916</xdr:rowOff>
    </xdr:from>
    <xdr:to>
      <xdr:col>16</xdr:col>
      <xdr:colOff>0</xdr:colOff>
      <xdr:row>1323</xdr:row>
      <xdr:rowOff>0</xdr:rowOff>
    </xdr:to>
    <xdr:cxnSp macro="">
      <xdr:nvCxnSpPr>
        <xdr:cNvPr id="3608" name="Straight Arrow Connector 3607">
          <a:extLst>
            <a:ext uri="{FF2B5EF4-FFF2-40B4-BE49-F238E27FC236}">
              <a16:creationId xmlns:a16="http://schemas.microsoft.com/office/drawing/2014/main" id="{00000000-0008-0000-1200-0000180E0000}"/>
            </a:ext>
          </a:extLst>
        </xdr:cNvPr>
        <xdr:cNvCxnSpPr/>
      </xdr:nvCxnSpPr>
      <xdr:spPr>
        <a:xfrm flipV="1">
          <a:off x="11281833" y="8025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21167</xdr:rowOff>
    </xdr:from>
    <xdr:to>
      <xdr:col>15</xdr:col>
      <xdr:colOff>592666</xdr:colOff>
      <xdr:row>1324</xdr:row>
      <xdr:rowOff>84667</xdr:rowOff>
    </xdr:to>
    <xdr:cxnSp macro="">
      <xdr:nvCxnSpPr>
        <xdr:cNvPr id="3609" name="Straight Arrow Connector 3608">
          <a:extLst>
            <a:ext uri="{FF2B5EF4-FFF2-40B4-BE49-F238E27FC236}">
              <a16:creationId xmlns:a16="http://schemas.microsoft.com/office/drawing/2014/main" id="{00000000-0008-0000-1200-0000190E0000}"/>
            </a:ext>
          </a:extLst>
        </xdr:cNvPr>
        <xdr:cNvCxnSpPr/>
      </xdr:nvCxnSpPr>
      <xdr:spPr>
        <a:xfrm>
          <a:off x="11271250" y="80602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1323</xdr:row>
      <xdr:rowOff>0</xdr:rowOff>
    </xdr:from>
    <xdr:to>
      <xdr:col>16</xdr:col>
      <xdr:colOff>0</xdr:colOff>
      <xdr:row>1327</xdr:row>
      <xdr:rowOff>42334</xdr:rowOff>
    </xdr:to>
    <xdr:cxnSp macro="">
      <xdr:nvCxnSpPr>
        <xdr:cNvPr id="3610" name="Straight Arrow Connector 3609">
          <a:extLst>
            <a:ext uri="{FF2B5EF4-FFF2-40B4-BE49-F238E27FC236}">
              <a16:creationId xmlns:a16="http://schemas.microsoft.com/office/drawing/2014/main" id="{00000000-0008-0000-1200-00001A0E0000}"/>
            </a:ext>
          </a:extLst>
        </xdr:cNvPr>
        <xdr:cNvCxnSpPr/>
      </xdr:nvCxnSpPr>
      <xdr:spPr>
        <a:xfrm>
          <a:off x="11271250" y="805815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1334</xdr:row>
      <xdr:rowOff>0</xdr:rowOff>
    </xdr:from>
    <xdr:to>
      <xdr:col>15</xdr:col>
      <xdr:colOff>603250</xdr:colOff>
      <xdr:row>1336</xdr:row>
      <xdr:rowOff>1</xdr:rowOff>
    </xdr:to>
    <xdr:cxnSp macro="">
      <xdr:nvCxnSpPr>
        <xdr:cNvPr id="3611" name="Straight Arrow Connector 3610">
          <a:extLst>
            <a:ext uri="{FF2B5EF4-FFF2-40B4-BE49-F238E27FC236}">
              <a16:creationId xmlns:a16="http://schemas.microsoft.com/office/drawing/2014/main" id="{00000000-0008-0000-1200-00001B0E0000}"/>
            </a:ext>
          </a:extLst>
        </xdr:cNvPr>
        <xdr:cNvCxnSpPr/>
      </xdr:nvCxnSpPr>
      <xdr:spPr>
        <a:xfrm flipV="1">
          <a:off x="11271250" y="8286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1336</xdr:row>
      <xdr:rowOff>10584</xdr:rowOff>
    </xdr:from>
    <xdr:to>
      <xdr:col>15</xdr:col>
      <xdr:colOff>592666</xdr:colOff>
      <xdr:row>1337</xdr:row>
      <xdr:rowOff>95250</xdr:rowOff>
    </xdr:to>
    <xdr:cxnSp macro="">
      <xdr:nvCxnSpPr>
        <xdr:cNvPr id="3612" name="Straight Arrow Connector 3611">
          <a:extLst>
            <a:ext uri="{FF2B5EF4-FFF2-40B4-BE49-F238E27FC236}">
              <a16:creationId xmlns:a16="http://schemas.microsoft.com/office/drawing/2014/main" id="{00000000-0008-0000-1200-00001C0E0000}"/>
            </a:ext>
          </a:extLst>
        </xdr:cNvPr>
        <xdr:cNvCxnSpPr/>
      </xdr:nvCxnSpPr>
      <xdr:spPr>
        <a:xfrm>
          <a:off x="11313583" y="8325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1336</xdr:row>
      <xdr:rowOff>10584</xdr:rowOff>
    </xdr:from>
    <xdr:to>
      <xdr:col>15</xdr:col>
      <xdr:colOff>560916</xdr:colOff>
      <xdr:row>1340</xdr:row>
      <xdr:rowOff>52917</xdr:rowOff>
    </xdr:to>
    <xdr:cxnSp macro="">
      <xdr:nvCxnSpPr>
        <xdr:cNvPr id="3613" name="Straight Arrow Connector 3612">
          <a:extLst>
            <a:ext uri="{FF2B5EF4-FFF2-40B4-BE49-F238E27FC236}">
              <a16:creationId xmlns:a16="http://schemas.microsoft.com/office/drawing/2014/main" id="{00000000-0008-0000-1200-00001D0E0000}"/>
            </a:ext>
          </a:extLst>
        </xdr:cNvPr>
        <xdr:cNvCxnSpPr/>
      </xdr:nvCxnSpPr>
      <xdr:spPr>
        <a:xfrm>
          <a:off x="11292416" y="8325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14" name="Straight Arrow Connector 3613">
          <a:extLst>
            <a:ext uri="{FF2B5EF4-FFF2-40B4-BE49-F238E27FC236}">
              <a16:creationId xmlns:a16="http://schemas.microsoft.com/office/drawing/2014/main" id="{00000000-0008-0000-1200-00001E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1350</xdr:row>
      <xdr:rowOff>0</xdr:rowOff>
    </xdr:from>
    <xdr:to>
      <xdr:col>16</xdr:col>
      <xdr:colOff>0</xdr:colOff>
      <xdr:row>1350</xdr:row>
      <xdr:rowOff>42334</xdr:rowOff>
    </xdr:to>
    <xdr:cxnSp macro="">
      <xdr:nvCxnSpPr>
        <xdr:cNvPr id="3615" name="Straight Arrow Connector 3614">
          <a:extLst>
            <a:ext uri="{FF2B5EF4-FFF2-40B4-BE49-F238E27FC236}">
              <a16:creationId xmlns:a16="http://schemas.microsoft.com/office/drawing/2014/main" id="{00000000-0008-0000-1200-00001F0E0000}"/>
            </a:ext>
          </a:extLst>
        </xdr:cNvPr>
        <xdr:cNvCxnSpPr/>
      </xdr:nvCxnSpPr>
      <xdr:spPr>
        <a:xfrm>
          <a:off x="11302999" y="8591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1350</xdr:row>
      <xdr:rowOff>21166</xdr:rowOff>
    </xdr:from>
    <xdr:to>
      <xdr:col>15</xdr:col>
      <xdr:colOff>560916</xdr:colOff>
      <xdr:row>1353</xdr:row>
      <xdr:rowOff>84667</xdr:rowOff>
    </xdr:to>
    <xdr:cxnSp macro="">
      <xdr:nvCxnSpPr>
        <xdr:cNvPr id="3616" name="Straight Arrow Connector 3615">
          <a:extLst>
            <a:ext uri="{FF2B5EF4-FFF2-40B4-BE49-F238E27FC236}">
              <a16:creationId xmlns:a16="http://schemas.microsoft.com/office/drawing/2014/main" id="{00000000-0008-0000-1200-0000200E0000}"/>
            </a:ext>
          </a:extLst>
        </xdr:cNvPr>
        <xdr:cNvCxnSpPr/>
      </xdr:nvCxnSpPr>
      <xdr:spPr>
        <a:xfrm>
          <a:off x="11355916" y="8593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1350</xdr:row>
      <xdr:rowOff>52916</xdr:rowOff>
    </xdr:from>
    <xdr:to>
      <xdr:col>15</xdr:col>
      <xdr:colOff>592666</xdr:colOff>
      <xdr:row>1356</xdr:row>
      <xdr:rowOff>63501</xdr:rowOff>
    </xdr:to>
    <xdr:cxnSp macro="">
      <xdr:nvCxnSpPr>
        <xdr:cNvPr id="3617" name="Straight Arrow Connector 3616">
          <a:extLst>
            <a:ext uri="{FF2B5EF4-FFF2-40B4-BE49-F238E27FC236}">
              <a16:creationId xmlns:a16="http://schemas.microsoft.com/office/drawing/2014/main" id="{00000000-0008-0000-1200-0000210E0000}"/>
            </a:ext>
          </a:extLst>
        </xdr:cNvPr>
        <xdr:cNvCxnSpPr/>
      </xdr:nvCxnSpPr>
      <xdr:spPr>
        <a:xfrm>
          <a:off x="11313583" y="8596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1347</xdr:row>
      <xdr:rowOff>52917</xdr:rowOff>
    </xdr:from>
    <xdr:to>
      <xdr:col>15</xdr:col>
      <xdr:colOff>603250</xdr:colOff>
      <xdr:row>1349</xdr:row>
      <xdr:rowOff>148167</xdr:rowOff>
    </xdr:to>
    <xdr:cxnSp macro="">
      <xdr:nvCxnSpPr>
        <xdr:cNvPr id="3618" name="Straight Arrow Connector 3617">
          <a:extLst>
            <a:ext uri="{FF2B5EF4-FFF2-40B4-BE49-F238E27FC236}">
              <a16:creationId xmlns:a16="http://schemas.microsoft.com/office/drawing/2014/main" id="{00000000-0008-0000-1200-0000220E0000}"/>
            </a:ext>
          </a:extLst>
        </xdr:cNvPr>
        <xdr:cNvCxnSpPr/>
      </xdr:nvCxnSpPr>
      <xdr:spPr>
        <a:xfrm flipV="1">
          <a:off x="11324166" y="8539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619" name="Straight Arrow Connector 3618">
          <a:extLst>
            <a:ext uri="{FF2B5EF4-FFF2-40B4-BE49-F238E27FC236}">
              <a16:creationId xmlns:a16="http://schemas.microsoft.com/office/drawing/2014/main" id="{00000000-0008-0000-1200-0000230E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620" name="Straight Arrow Connector 3619">
          <a:extLst>
            <a:ext uri="{FF2B5EF4-FFF2-40B4-BE49-F238E27FC236}">
              <a16:creationId xmlns:a16="http://schemas.microsoft.com/office/drawing/2014/main" id="{00000000-0008-0000-1200-0000240E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3621" name="Straight Arrow Connector 3620">
          <a:extLst>
            <a:ext uri="{FF2B5EF4-FFF2-40B4-BE49-F238E27FC236}">
              <a16:creationId xmlns:a16="http://schemas.microsoft.com/office/drawing/2014/main" id="{00000000-0008-0000-1200-0000250E0000}"/>
            </a:ext>
          </a:extLst>
        </xdr:cNvPr>
        <xdr:cNvCxnSpPr/>
      </xdr:nvCxnSpPr>
      <xdr:spPr>
        <a:xfrm>
          <a:off x="11281833" y="6975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3622" name="Straight Arrow Connector 3621">
          <a:extLst>
            <a:ext uri="{FF2B5EF4-FFF2-40B4-BE49-F238E27FC236}">
              <a16:creationId xmlns:a16="http://schemas.microsoft.com/office/drawing/2014/main" id="{00000000-0008-0000-1200-0000260E0000}"/>
            </a:ext>
          </a:extLst>
        </xdr:cNvPr>
        <xdr:cNvCxnSpPr/>
      </xdr:nvCxnSpPr>
      <xdr:spPr>
        <a:xfrm>
          <a:off x="11324166" y="72421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1350</xdr:row>
      <xdr:rowOff>21167</xdr:rowOff>
    </xdr:from>
    <xdr:to>
      <xdr:col>15</xdr:col>
      <xdr:colOff>592666</xdr:colOff>
      <xdr:row>1351</xdr:row>
      <xdr:rowOff>84667</xdr:rowOff>
    </xdr:to>
    <xdr:cxnSp macro="">
      <xdr:nvCxnSpPr>
        <xdr:cNvPr id="3623" name="Straight Arrow Connector 3622">
          <a:extLst>
            <a:ext uri="{FF2B5EF4-FFF2-40B4-BE49-F238E27FC236}">
              <a16:creationId xmlns:a16="http://schemas.microsoft.com/office/drawing/2014/main" id="{00000000-0008-0000-1200-0000270E0000}"/>
            </a:ext>
          </a:extLst>
        </xdr:cNvPr>
        <xdr:cNvCxnSpPr/>
      </xdr:nvCxnSpPr>
      <xdr:spPr>
        <a:xfrm>
          <a:off x="11271250" y="859366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3624" name="Straight Arrow Connector 3623">
          <a:extLst>
            <a:ext uri="{FF2B5EF4-FFF2-40B4-BE49-F238E27FC236}">
              <a16:creationId xmlns:a16="http://schemas.microsoft.com/office/drawing/2014/main" id="{00000000-0008-0000-1200-0000280E0000}"/>
            </a:ext>
          </a:extLst>
        </xdr:cNvPr>
        <xdr:cNvCxnSpPr/>
      </xdr:nvCxnSpPr>
      <xdr:spPr>
        <a:xfrm>
          <a:off x="11281833" y="8061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25" name="Straight Arrow Connector 3624">
          <a:extLst>
            <a:ext uri="{FF2B5EF4-FFF2-40B4-BE49-F238E27FC236}">
              <a16:creationId xmlns:a16="http://schemas.microsoft.com/office/drawing/2014/main" id="{00000000-0008-0000-1200-000029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26" name="Straight Arrow Connector 3625">
          <a:extLst>
            <a:ext uri="{FF2B5EF4-FFF2-40B4-BE49-F238E27FC236}">
              <a16:creationId xmlns:a16="http://schemas.microsoft.com/office/drawing/2014/main" id="{00000000-0008-0000-1200-00002A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27" name="Straight Arrow Connector 3626">
          <a:extLst>
            <a:ext uri="{FF2B5EF4-FFF2-40B4-BE49-F238E27FC236}">
              <a16:creationId xmlns:a16="http://schemas.microsoft.com/office/drawing/2014/main" id="{00000000-0008-0000-1200-00002B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3628" name="Straight Arrow Connector 3627">
          <a:extLst>
            <a:ext uri="{FF2B5EF4-FFF2-40B4-BE49-F238E27FC236}">
              <a16:creationId xmlns:a16="http://schemas.microsoft.com/office/drawing/2014/main" id="{00000000-0008-0000-1200-00002C0E0000}"/>
            </a:ext>
          </a:extLst>
        </xdr:cNvPr>
        <xdr:cNvCxnSpPr/>
      </xdr:nvCxnSpPr>
      <xdr:spPr>
        <a:xfrm>
          <a:off x="11281833" y="8061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3629" name="Straight Arrow Connector 3628">
          <a:extLst>
            <a:ext uri="{FF2B5EF4-FFF2-40B4-BE49-F238E27FC236}">
              <a16:creationId xmlns:a16="http://schemas.microsoft.com/office/drawing/2014/main" id="{00000000-0008-0000-1200-00002D0E0000}"/>
            </a:ext>
          </a:extLst>
        </xdr:cNvPr>
        <xdr:cNvCxnSpPr/>
      </xdr:nvCxnSpPr>
      <xdr:spPr>
        <a:xfrm>
          <a:off x="11324166" y="8328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1364</xdr:row>
      <xdr:rowOff>10584</xdr:rowOff>
    </xdr:from>
    <xdr:to>
      <xdr:col>1</xdr:col>
      <xdr:colOff>603250</xdr:colOff>
      <xdr:row>1457</xdr:row>
      <xdr:rowOff>158750</xdr:rowOff>
    </xdr:to>
    <xdr:cxnSp macro="">
      <xdr:nvCxnSpPr>
        <xdr:cNvPr id="3630" name="Straight Arrow Connector 3629">
          <a:extLst>
            <a:ext uri="{FF2B5EF4-FFF2-40B4-BE49-F238E27FC236}">
              <a16:creationId xmlns:a16="http://schemas.microsoft.com/office/drawing/2014/main" id="{00000000-0008-0000-1200-00002E0E0000}"/>
            </a:ext>
          </a:extLst>
        </xdr:cNvPr>
        <xdr:cNvCxnSpPr/>
      </xdr:nvCxnSpPr>
      <xdr:spPr>
        <a:xfrm flipV="1">
          <a:off x="603250" y="88402584"/>
          <a:ext cx="613833" cy="18245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603250</xdr:colOff>
      <xdr:row>1460</xdr:row>
      <xdr:rowOff>169333</xdr:rowOff>
    </xdr:from>
    <xdr:to>
      <xdr:col>1</xdr:col>
      <xdr:colOff>603250</xdr:colOff>
      <xdr:row>1502</xdr:row>
      <xdr:rowOff>148167</xdr:rowOff>
    </xdr:to>
    <xdr:cxnSp macro="">
      <xdr:nvCxnSpPr>
        <xdr:cNvPr id="3631" name="Straight Arrow Connector 3630">
          <a:extLst>
            <a:ext uri="{FF2B5EF4-FFF2-40B4-BE49-F238E27FC236}">
              <a16:creationId xmlns:a16="http://schemas.microsoft.com/office/drawing/2014/main" id="{00000000-0008-0000-1200-00002F0E0000}"/>
            </a:ext>
          </a:extLst>
        </xdr:cNvPr>
        <xdr:cNvCxnSpPr/>
      </xdr:nvCxnSpPr>
      <xdr:spPr>
        <a:xfrm>
          <a:off x="603250" y="107230333"/>
          <a:ext cx="613833" cy="7979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10584</xdr:colOff>
      <xdr:row>1436</xdr:row>
      <xdr:rowOff>158750</xdr:rowOff>
    </xdr:from>
    <xdr:to>
      <xdr:col>3</xdr:col>
      <xdr:colOff>603250</xdr:colOff>
      <xdr:row>1503</xdr:row>
      <xdr:rowOff>10583</xdr:rowOff>
    </xdr:to>
    <xdr:cxnSp macro="">
      <xdr:nvCxnSpPr>
        <xdr:cNvPr id="3632" name="Straight Arrow Connector 3631">
          <a:extLst>
            <a:ext uri="{FF2B5EF4-FFF2-40B4-BE49-F238E27FC236}">
              <a16:creationId xmlns:a16="http://schemas.microsoft.com/office/drawing/2014/main" id="{00000000-0008-0000-1200-0000300E0000}"/>
            </a:ext>
          </a:extLst>
        </xdr:cNvPr>
        <xdr:cNvCxnSpPr/>
      </xdr:nvCxnSpPr>
      <xdr:spPr>
        <a:xfrm flipV="1">
          <a:off x="2381251" y="102457250"/>
          <a:ext cx="592666" cy="12805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21167</xdr:colOff>
      <xdr:row>1505</xdr:row>
      <xdr:rowOff>10583</xdr:rowOff>
    </xdr:from>
    <xdr:to>
      <xdr:col>4</xdr:col>
      <xdr:colOff>63500</xdr:colOff>
      <xdr:row>1656</xdr:row>
      <xdr:rowOff>158750</xdr:rowOff>
    </xdr:to>
    <xdr:cxnSp macro="">
      <xdr:nvCxnSpPr>
        <xdr:cNvPr id="3633" name="Straight Arrow Connector 3632">
          <a:extLst>
            <a:ext uri="{FF2B5EF4-FFF2-40B4-BE49-F238E27FC236}">
              <a16:creationId xmlns:a16="http://schemas.microsoft.com/office/drawing/2014/main" id="{00000000-0008-0000-1200-0000310E0000}"/>
            </a:ext>
          </a:extLst>
        </xdr:cNvPr>
        <xdr:cNvCxnSpPr/>
      </xdr:nvCxnSpPr>
      <xdr:spPr>
        <a:xfrm>
          <a:off x="2391834" y="115834583"/>
          <a:ext cx="656166" cy="29294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1399</xdr:row>
      <xdr:rowOff>1</xdr:rowOff>
    </xdr:from>
    <xdr:to>
      <xdr:col>6</xdr:col>
      <xdr:colOff>0</xdr:colOff>
      <xdr:row>1433</xdr:row>
      <xdr:rowOff>116417</xdr:rowOff>
    </xdr:to>
    <xdr:cxnSp macro="">
      <xdr:nvCxnSpPr>
        <xdr:cNvPr id="3634" name="Straight Arrow Connector 3633">
          <a:extLst>
            <a:ext uri="{FF2B5EF4-FFF2-40B4-BE49-F238E27FC236}">
              <a16:creationId xmlns:a16="http://schemas.microsoft.com/office/drawing/2014/main" id="{00000000-0008-0000-1200-0000320E0000}"/>
            </a:ext>
          </a:extLst>
        </xdr:cNvPr>
        <xdr:cNvCxnSpPr/>
      </xdr:nvCxnSpPr>
      <xdr:spPr>
        <a:xfrm flipV="1">
          <a:off x="3810000" y="952500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1436</xdr:row>
      <xdr:rowOff>169334</xdr:rowOff>
    </xdr:from>
    <xdr:to>
      <xdr:col>5</xdr:col>
      <xdr:colOff>571500</xdr:colOff>
      <xdr:row>1505</xdr:row>
      <xdr:rowOff>0</xdr:rowOff>
    </xdr:to>
    <xdr:cxnSp macro="">
      <xdr:nvCxnSpPr>
        <xdr:cNvPr id="3635" name="Straight Arrow Connector 3634">
          <a:extLst>
            <a:ext uri="{FF2B5EF4-FFF2-40B4-BE49-F238E27FC236}">
              <a16:creationId xmlns:a16="http://schemas.microsoft.com/office/drawing/2014/main" id="{00000000-0008-0000-1200-0000330E0000}"/>
            </a:ext>
          </a:extLst>
        </xdr:cNvPr>
        <xdr:cNvCxnSpPr/>
      </xdr:nvCxnSpPr>
      <xdr:spPr>
        <a:xfrm>
          <a:off x="3894667" y="102467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1374</xdr:row>
      <xdr:rowOff>148167</xdr:rowOff>
    </xdr:from>
    <xdr:to>
      <xdr:col>7</xdr:col>
      <xdr:colOff>603250</xdr:colOff>
      <xdr:row>1396</xdr:row>
      <xdr:rowOff>31750</xdr:rowOff>
    </xdr:to>
    <xdr:cxnSp macro="">
      <xdr:nvCxnSpPr>
        <xdr:cNvPr id="3636" name="Straight Arrow Connector 3635">
          <a:extLst>
            <a:ext uri="{FF2B5EF4-FFF2-40B4-BE49-F238E27FC236}">
              <a16:creationId xmlns:a16="http://schemas.microsoft.com/office/drawing/2014/main" id="{00000000-0008-0000-1200-0000340E0000}"/>
            </a:ext>
          </a:extLst>
        </xdr:cNvPr>
        <xdr:cNvCxnSpPr/>
      </xdr:nvCxnSpPr>
      <xdr:spPr>
        <a:xfrm flipV="1">
          <a:off x="5461000" y="90445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1399</xdr:row>
      <xdr:rowOff>10584</xdr:rowOff>
    </xdr:from>
    <xdr:to>
      <xdr:col>8</xdr:col>
      <xdr:colOff>21167</xdr:colOff>
      <xdr:row>1427</xdr:row>
      <xdr:rowOff>148166</xdr:rowOff>
    </xdr:to>
    <xdr:cxnSp macro="">
      <xdr:nvCxnSpPr>
        <xdr:cNvPr id="3637" name="Straight Arrow Connector 3636">
          <a:extLst>
            <a:ext uri="{FF2B5EF4-FFF2-40B4-BE49-F238E27FC236}">
              <a16:creationId xmlns:a16="http://schemas.microsoft.com/office/drawing/2014/main" id="{00000000-0008-0000-1200-0000350E0000}"/>
            </a:ext>
          </a:extLst>
        </xdr:cNvPr>
        <xdr:cNvCxnSpPr/>
      </xdr:nvCxnSpPr>
      <xdr:spPr>
        <a:xfrm>
          <a:off x="5461000" y="952605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1366</xdr:row>
      <xdr:rowOff>137583</xdr:rowOff>
    </xdr:from>
    <xdr:to>
      <xdr:col>9</xdr:col>
      <xdr:colOff>603250</xdr:colOff>
      <xdr:row>1372</xdr:row>
      <xdr:rowOff>21166</xdr:rowOff>
    </xdr:to>
    <xdr:cxnSp macro="">
      <xdr:nvCxnSpPr>
        <xdr:cNvPr id="3638" name="Straight Arrow Connector 3637">
          <a:extLst>
            <a:ext uri="{FF2B5EF4-FFF2-40B4-BE49-F238E27FC236}">
              <a16:creationId xmlns:a16="http://schemas.microsoft.com/office/drawing/2014/main" id="{00000000-0008-0000-1200-0000360E0000}"/>
            </a:ext>
          </a:extLst>
        </xdr:cNvPr>
        <xdr:cNvCxnSpPr/>
      </xdr:nvCxnSpPr>
      <xdr:spPr>
        <a:xfrm flipV="1">
          <a:off x="6688667" y="88910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1375</xdr:row>
      <xdr:rowOff>0</xdr:rowOff>
    </xdr:from>
    <xdr:to>
      <xdr:col>9</xdr:col>
      <xdr:colOff>582083</xdr:colOff>
      <xdr:row>1383</xdr:row>
      <xdr:rowOff>10583</xdr:rowOff>
    </xdr:to>
    <xdr:cxnSp macro="">
      <xdr:nvCxnSpPr>
        <xdr:cNvPr id="3639" name="Straight Arrow Connector 3638">
          <a:extLst>
            <a:ext uri="{FF2B5EF4-FFF2-40B4-BE49-F238E27FC236}">
              <a16:creationId xmlns:a16="http://schemas.microsoft.com/office/drawing/2014/main" id="{00000000-0008-0000-1200-0000370E0000}"/>
            </a:ext>
          </a:extLst>
        </xdr:cNvPr>
        <xdr:cNvCxnSpPr/>
      </xdr:nvCxnSpPr>
      <xdr:spPr>
        <a:xfrm>
          <a:off x="6720417" y="90487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1380</xdr:row>
      <xdr:rowOff>169333</xdr:rowOff>
    </xdr:from>
    <xdr:to>
      <xdr:col>11</xdr:col>
      <xdr:colOff>603250</xdr:colOff>
      <xdr:row>1383</xdr:row>
      <xdr:rowOff>21167</xdr:rowOff>
    </xdr:to>
    <xdr:cxnSp macro="">
      <xdr:nvCxnSpPr>
        <xdr:cNvPr id="3640" name="Straight Arrow Connector 3639">
          <a:extLst>
            <a:ext uri="{FF2B5EF4-FFF2-40B4-BE49-F238E27FC236}">
              <a16:creationId xmlns:a16="http://schemas.microsoft.com/office/drawing/2014/main" id="{00000000-0008-0000-1200-0000380E0000}"/>
            </a:ext>
          </a:extLst>
        </xdr:cNvPr>
        <xdr:cNvCxnSpPr/>
      </xdr:nvCxnSpPr>
      <xdr:spPr>
        <a:xfrm flipV="1">
          <a:off x="7937500" y="91609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1386</xdr:row>
      <xdr:rowOff>42333</xdr:rowOff>
    </xdr:from>
    <xdr:to>
      <xdr:col>11</xdr:col>
      <xdr:colOff>603250</xdr:colOff>
      <xdr:row>1398</xdr:row>
      <xdr:rowOff>10583</xdr:rowOff>
    </xdr:to>
    <xdr:cxnSp macro="">
      <xdr:nvCxnSpPr>
        <xdr:cNvPr id="3641" name="Straight Arrow Connector 3640">
          <a:extLst>
            <a:ext uri="{FF2B5EF4-FFF2-40B4-BE49-F238E27FC236}">
              <a16:creationId xmlns:a16="http://schemas.microsoft.com/office/drawing/2014/main" id="{00000000-0008-0000-1200-0000390E0000}"/>
            </a:ext>
          </a:extLst>
        </xdr:cNvPr>
        <xdr:cNvCxnSpPr/>
      </xdr:nvCxnSpPr>
      <xdr:spPr>
        <a:xfrm>
          <a:off x="7926917" y="92625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1376</xdr:row>
      <xdr:rowOff>21167</xdr:rowOff>
    </xdr:from>
    <xdr:to>
      <xdr:col>13</xdr:col>
      <xdr:colOff>592667</xdr:colOff>
      <xdr:row>1378</xdr:row>
      <xdr:rowOff>0</xdr:rowOff>
    </xdr:to>
    <xdr:cxnSp macro="">
      <xdr:nvCxnSpPr>
        <xdr:cNvPr id="3642" name="Straight Arrow Connector 3641">
          <a:extLst>
            <a:ext uri="{FF2B5EF4-FFF2-40B4-BE49-F238E27FC236}">
              <a16:creationId xmlns:a16="http://schemas.microsoft.com/office/drawing/2014/main" id="{00000000-0008-0000-1200-00003A0E0000}"/>
            </a:ext>
          </a:extLst>
        </xdr:cNvPr>
        <xdr:cNvCxnSpPr/>
      </xdr:nvCxnSpPr>
      <xdr:spPr>
        <a:xfrm flipV="1">
          <a:off x="9133417" y="90699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1381</xdr:row>
      <xdr:rowOff>21166</xdr:rowOff>
    </xdr:from>
    <xdr:to>
      <xdr:col>13</xdr:col>
      <xdr:colOff>592667</xdr:colOff>
      <xdr:row>1382</xdr:row>
      <xdr:rowOff>169334</xdr:rowOff>
    </xdr:to>
    <xdr:cxnSp macro="">
      <xdr:nvCxnSpPr>
        <xdr:cNvPr id="3643" name="Straight Arrow Connector 3642">
          <a:extLst>
            <a:ext uri="{FF2B5EF4-FFF2-40B4-BE49-F238E27FC236}">
              <a16:creationId xmlns:a16="http://schemas.microsoft.com/office/drawing/2014/main" id="{00000000-0008-0000-1200-00003B0E0000}"/>
            </a:ext>
          </a:extLst>
        </xdr:cNvPr>
        <xdr:cNvCxnSpPr/>
      </xdr:nvCxnSpPr>
      <xdr:spPr>
        <a:xfrm>
          <a:off x="9122833" y="91651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1396</xdr:row>
      <xdr:rowOff>21167</xdr:rowOff>
    </xdr:from>
    <xdr:to>
      <xdr:col>13</xdr:col>
      <xdr:colOff>592667</xdr:colOff>
      <xdr:row>1398</xdr:row>
      <xdr:rowOff>63500</xdr:rowOff>
    </xdr:to>
    <xdr:cxnSp macro="">
      <xdr:nvCxnSpPr>
        <xdr:cNvPr id="3644" name="Straight Arrow Connector 3643">
          <a:extLst>
            <a:ext uri="{FF2B5EF4-FFF2-40B4-BE49-F238E27FC236}">
              <a16:creationId xmlns:a16="http://schemas.microsoft.com/office/drawing/2014/main" id="{00000000-0008-0000-1200-00003C0E0000}"/>
            </a:ext>
          </a:extLst>
        </xdr:cNvPr>
        <xdr:cNvCxnSpPr/>
      </xdr:nvCxnSpPr>
      <xdr:spPr>
        <a:xfrm flipV="1">
          <a:off x="9525000" y="94699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1401</xdr:row>
      <xdr:rowOff>0</xdr:rowOff>
    </xdr:from>
    <xdr:to>
      <xdr:col>14</xdr:col>
      <xdr:colOff>10584</xdr:colOff>
      <xdr:row>1409</xdr:row>
      <xdr:rowOff>148167</xdr:rowOff>
    </xdr:to>
    <xdr:cxnSp macro="">
      <xdr:nvCxnSpPr>
        <xdr:cNvPr id="3645" name="Straight Arrow Connector 3644">
          <a:extLst>
            <a:ext uri="{FF2B5EF4-FFF2-40B4-BE49-F238E27FC236}">
              <a16:creationId xmlns:a16="http://schemas.microsoft.com/office/drawing/2014/main" id="{00000000-0008-0000-1200-00003D0E0000}"/>
            </a:ext>
          </a:extLst>
        </xdr:cNvPr>
        <xdr:cNvCxnSpPr/>
      </xdr:nvCxnSpPr>
      <xdr:spPr>
        <a:xfrm>
          <a:off x="9535583" y="95631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1368</xdr:row>
      <xdr:rowOff>0</xdr:rowOff>
    </xdr:from>
    <xdr:to>
      <xdr:col>15</xdr:col>
      <xdr:colOff>603250</xdr:colOff>
      <xdr:row>1373</xdr:row>
      <xdr:rowOff>31750</xdr:rowOff>
    </xdr:to>
    <xdr:cxnSp macro="">
      <xdr:nvCxnSpPr>
        <xdr:cNvPr id="3646" name="Straight Arrow Connector 3645">
          <a:extLst>
            <a:ext uri="{FF2B5EF4-FFF2-40B4-BE49-F238E27FC236}">
              <a16:creationId xmlns:a16="http://schemas.microsoft.com/office/drawing/2014/main" id="{00000000-0008-0000-1200-00003E0E0000}"/>
            </a:ext>
          </a:extLst>
        </xdr:cNvPr>
        <xdr:cNvCxnSpPr/>
      </xdr:nvCxnSpPr>
      <xdr:spPr>
        <a:xfrm flipV="1">
          <a:off x="11281833" y="89154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1371</xdr:row>
      <xdr:rowOff>52917</xdr:rowOff>
    </xdr:from>
    <xdr:to>
      <xdr:col>15</xdr:col>
      <xdr:colOff>603250</xdr:colOff>
      <xdr:row>1373</xdr:row>
      <xdr:rowOff>95250</xdr:rowOff>
    </xdr:to>
    <xdr:cxnSp macro="">
      <xdr:nvCxnSpPr>
        <xdr:cNvPr id="3647" name="Straight Arrow Connector 3646">
          <a:extLst>
            <a:ext uri="{FF2B5EF4-FFF2-40B4-BE49-F238E27FC236}">
              <a16:creationId xmlns:a16="http://schemas.microsoft.com/office/drawing/2014/main" id="{00000000-0008-0000-1200-00003F0E0000}"/>
            </a:ext>
          </a:extLst>
        </xdr:cNvPr>
        <xdr:cNvCxnSpPr/>
      </xdr:nvCxnSpPr>
      <xdr:spPr>
        <a:xfrm flipV="1">
          <a:off x="11324166" y="89778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1373</xdr:row>
      <xdr:rowOff>158750</xdr:rowOff>
    </xdr:from>
    <xdr:to>
      <xdr:col>15</xdr:col>
      <xdr:colOff>582083</xdr:colOff>
      <xdr:row>1374</xdr:row>
      <xdr:rowOff>137583</xdr:rowOff>
    </xdr:to>
    <xdr:cxnSp macro="">
      <xdr:nvCxnSpPr>
        <xdr:cNvPr id="3648" name="Straight Arrow Connector 3647">
          <a:extLst>
            <a:ext uri="{FF2B5EF4-FFF2-40B4-BE49-F238E27FC236}">
              <a16:creationId xmlns:a16="http://schemas.microsoft.com/office/drawing/2014/main" id="{00000000-0008-0000-1200-0000400E0000}"/>
            </a:ext>
          </a:extLst>
        </xdr:cNvPr>
        <xdr:cNvCxnSpPr/>
      </xdr:nvCxnSpPr>
      <xdr:spPr>
        <a:xfrm>
          <a:off x="11345333" y="90265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1373</xdr:row>
      <xdr:rowOff>105834</xdr:rowOff>
    </xdr:from>
    <xdr:to>
      <xdr:col>16</xdr:col>
      <xdr:colOff>0</xdr:colOff>
      <xdr:row>1377</xdr:row>
      <xdr:rowOff>84667</xdr:rowOff>
    </xdr:to>
    <xdr:cxnSp macro="">
      <xdr:nvCxnSpPr>
        <xdr:cNvPr id="3649" name="Straight Arrow Connector 3648">
          <a:extLst>
            <a:ext uri="{FF2B5EF4-FFF2-40B4-BE49-F238E27FC236}">
              <a16:creationId xmlns:a16="http://schemas.microsoft.com/office/drawing/2014/main" id="{00000000-0008-0000-1200-0000410E0000}"/>
            </a:ext>
          </a:extLst>
        </xdr:cNvPr>
        <xdr:cNvCxnSpPr/>
      </xdr:nvCxnSpPr>
      <xdr:spPr>
        <a:xfrm>
          <a:off x="11260667" y="90212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1381</xdr:row>
      <xdr:rowOff>52916</xdr:rowOff>
    </xdr:from>
    <xdr:to>
      <xdr:col>16</xdr:col>
      <xdr:colOff>0</xdr:colOff>
      <xdr:row>1383</xdr:row>
      <xdr:rowOff>0</xdr:rowOff>
    </xdr:to>
    <xdr:cxnSp macro="">
      <xdr:nvCxnSpPr>
        <xdr:cNvPr id="3650" name="Straight Arrow Connector 3649">
          <a:extLst>
            <a:ext uri="{FF2B5EF4-FFF2-40B4-BE49-F238E27FC236}">
              <a16:creationId xmlns:a16="http://schemas.microsoft.com/office/drawing/2014/main" id="{00000000-0008-0000-1200-0000420E0000}"/>
            </a:ext>
          </a:extLst>
        </xdr:cNvPr>
        <xdr:cNvCxnSpPr/>
      </xdr:nvCxnSpPr>
      <xdr:spPr>
        <a:xfrm flipV="1">
          <a:off x="11281833" y="91683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1383</xdr:row>
      <xdr:rowOff>21167</xdr:rowOff>
    </xdr:from>
    <xdr:to>
      <xdr:col>15</xdr:col>
      <xdr:colOff>582083</xdr:colOff>
      <xdr:row>1384</xdr:row>
      <xdr:rowOff>42333</xdr:rowOff>
    </xdr:to>
    <xdr:cxnSp macro="">
      <xdr:nvCxnSpPr>
        <xdr:cNvPr id="3651" name="Straight Arrow Connector 3650">
          <a:extLst>
            <a:ext uri="{FF2B5EF4-FFF2-40B4-BE49-F238E27FC236}">
              <a16:creationId xmlns:a16="http://schemas.microsoft.com/office/drawing/2014/main" id="{00000000-0008-0000-1200-0000430E0000}"/>
            </a:ext>
          </a:extLst>
        </xdr:cNvPr>
        <xdr:cNvCxnSpPr/>
      </xdr:nvCxnSpPr>
      <xdr:spPr>
        <a:xfrm>
          <a:off x="11292416" y="92032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1383</xdr:row>
      <xdr:rowOff>21167</xdr:rowOff>
    </xdr:from>
    <xdr:to>
      <xdr:col>16</xdr:col>
      <xdr:colOff>42333</xdr:colOff>
      <xdr:row>1388</xdr:row>
      <xdr:rowOff>21168</xdr:rowOff>
    </xdr:to>
    <xdr:cxnSp macro="">
      <xdr:nvCxnSpPr>
        <xdr:cNvPr id="3652" name="Straight Arrow Connector 3651">
          <a:extLst>
            <a:ext uri="{FF2B5EF4-FFF2-40B4-BE49-F238E27FC236}">
              <a16:creationId xmlns:a16="http://schemas.microsoft.com/office/drawing/2014/main" id="{00000000-0008-0000-1200-0000440E0000}"/>
            </a:ext>
          </a:extLst>
        </xdr:cNvPr>
        <xdr:cNvCxnSpPr/>
      </xdr:nvCxnSpPr>
      <xdr:spPr>
        <a:xfrm>
          <a:off x="11271250" y="92032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1383</xdr:row>
      <xdr:rowOff>31750</xdr:rowOff>
    </xdr:from>
    <xdr:to>
      <xdr:col>16</xdr:col>
      <xdr:colOff>42334</xdr:colOff>
      <xdr:row>1390</xdr:row>
      <xdr:rowOff>63501</xdr:rowOff>
    </xdr:to>
    <xdr:cxnSp macro="">
      <xdr:nvCxnSpPr>
        <xdr:cNvPr id="3653" name="Straight Arrow Connector 3652">
          <a:extLst>
            <a:ext uri="{FF2B5EF4-FFF2-40B4-BE49-F238E27FC236}">
              <a16:creationId xmlns:a16="http://schemas.microsoft.com/office/drawing/2014/main" id="{00000000-0008-0000-1200-0000450E0000}"/>
            </a:ext>
          </a:extLst>
        </xdr:cNvPr>
        <xdr:cNvCxnSpPr/>
      </xdr:nvCxnSpPr>
      <xdr:spPr>
        <a:xfrm>
          <a:off x="11281833" y="9204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1420</xdr:row>
      <xdr:rowOff>42333</xdr:rowOff>
    </xdr:from>
    <xdr:to>
      <xdr:col>9</xdr:col>
      <xdr:colOff>592666</xdr:colOff>
      <xdr:row>1428</xdr:row>
      <xdr:rowOff>42333</xdr:rowOff>
    </xdr:to>
    <xdr:cxnSp macro="">
      <xdr:nvCxnSpPr>
        <xdr:cNvPr id="3654" name="Straight Arrow Connector 3653">
          <a:extLst>
            <a:ext uri="{FF2B5EF4-FFF2-40B4-BE49-F238E27FC236}">
              <a16:creationId xmlns:a16="http://schemas.microsoft.com/office/drawing/2014/main" id="{00000000-0008-0000-1200-0000460E0000}"/>
            </a:ext>
          </a:extLst>
        </xdr:cNvPr>
        <xdr:cNvCxnSpPr/>
      </xdr:nvCxnSpPr>
      <xdr:spPr>
        <a:xfrm flipV="1">
          <a:off x="6699250" y="99292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1430</xdr:row>
      <xdr:rowOff>169334</xdr:rowOff>
    </xdr:from>
    <xdr:to>
      <xdr:col>9</xdr:col>
      <xdr:colOff>603250</xdr:colOff>
      <xdr:row>1439</xdr:row>
      <xdr:rowOff>31750</xdr:rowOff>
    </xdr:to>
    <xdr:cxnSp macro="">
      <xdr:nvCxnSpPr>
        <xdr:cNvPr id="3655" name="Straight Arrow Connector 3654">
          <a:extLst>
            <a:ext uri="{FF2B5EF4-FFF2-40B4-BE49-F238E27FC236}">
              <a16:creationId xmlns:a16="http://schemas.microsoft.com/office/drawing/2014/main" id="{00000000-0008-0000-1200-0000470E0000}"/>
            </a:ext>
          </a:extLst>
        </xdr:cNvPr>
        <xdr:cNvCxnSpPr/>
      </xdr:nvCxnSpPr>
      <xdr:spPr>
        <a:xfrm>
          <a:off x="6720417" y="101324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1436</xdr:row>
      <xdr:rowOff>158750</xdr:rowOff>
    </xdr:from>
    <xdr:to>
      <xdr:col>11</xdr:col>
      <xdr:colOff>571500</xdr:colOff>
      <xdr:row>1439</xdr:row>
      <xdr:rowOff>0</xdr:rowOff>
    </xdr:to>
    <xdr:cxnSp macro="">
      <xdr:nvCxnSpPr>
        <xdr:cNvPr id="3656" name="Straight Arrow Connector 3655">
          <a:extLst>
            <a:ext uri="{FF2B5EF4-FFF2-40B4-BE49-F238E27FC236}">
              <a16:creationId xmlns:a16="http://schemas.microsoft.com/office/drawing/2014/main" id="{00000000-0008-0000-1200-0000480E0000}"/>
            </a:ext>
          </a:extLst>
        </xdr:cNvPr>
        <xdr:cNvCxnSpPr/>
      </xdr:nvCxnSpPr>
      <xdr:spPr>
        <a:xfrm flipV="1">
          <a:off x="7874000" y="102457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1394</xdr:row>
      <xdr:rowOff>0</xdr:rowOff>
    </xdr:from>
    <xdr:to>
      <xdr:col>15</xdr:col>
      <xdr:colOff>603250</xdr:colOff>
      <xdr:row>1396</xdr:row>
      <xdr:rowOff>1</xdr:rowOff>
    </xdr:to>
    <xdr:cxnSp macro="">
      <xdr:nvCxnSpPr>
        <xdr:cNvPr id="3657" name="Straight Arrow Connector 3656">
          <a:extLst>
            <a:ext uri="{FF2B5EF4-FFF2-40B4-BE49-F238E27FC236}">
              <a16:creationId xmlns:a16="http://schemas.microsoft.com/office/drawing/2014/main" id="{00000000-0008-0000-1200-0000490E0000}"/>
            </a:ext>
          </a:extLst>
        </xdr:cNvPr>
        <xdr:cNvCxnSpPr/>
      </xdr:nvCxnSpPr>
      <xdr:spPr>
        <a:xfrm flipV="1">
          <a:off x="11271250" y="94297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1396</xdr:row>
      <xdr:rowOff>10584</xdr:rowOff>
    </xdr:from>
    <xdr:to>
      <xdr:col>15</xdr:col>
      <xdr:colOff>592666</xdr:colOff>
      <xdr:row>1397</xdr:row>
      <xdr:rowOff>95250</xdr:rowOff>
    </xdr:to>
    <xdr:cxnSp macro="">
      <xdr:nvCxnSpPr>
        <xdr:cNvPr id="3658" name="Straight Arrow Connector 3657">
          <a:extLst>
            <a:ext uri="{FF2B5EF4-FFF2-40B4-BE49-F238E27FC236}">
              <a16:creationId xmlns:a16="http://schemas.microsoft.com/office/drawing/2014/main" id="{00000000-0008-0000-1200-00004A0E0000}"/>
            </a:ext>
          </a:extLst>
        </xdr:cNvPr>
        <xdr:cNvCxnSpPr/>
      </xdr:nvCxnSpPr>
      <xdr:spPr>
        <a:xfrm>
          <a:off x="11313583" y="94689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1396</xdr:row>
      <xdr:rowOff>10584</xdr:rowOff>
    </xdr:from>
    <xdr:to>
      <xdr:col>15</xdr:col>
      <xdr:colOff>560916</xdr:colOff>
      <xdr:row>1400</xdr:row>
      <xdr:rowOff>52917</xdr:rowOff>
    </xdr:to>
    <xdr:cxnSp macro="">
      <xdr:nvCxnSpPr>
        <xdr:cNvPr id="3659" name="Straight Arrow Connector 3658">
          <a:extLst>
            <a:ext uri="{FF2B5EF4-FFF2-40B4-BE49-F238E27FC236}">
              <a16:creationId xmlns:a16="http://schemas.microsoft.com/office/drawing/2014/main" id="{00000000-0008-0000-1200-00004B0E0000}"/>
            </a:ext>
          </a:extLst>
        </xdr:cNvPr>
        <xdr:cNvCxnSpPr/>
      </xdr:nvCxnSpPr>
      <xdr:spPr>
        <a:xfrm>
          <a:off x="11292416" y="94689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1396</xdr:row>
      <xdr:rowOff>31750</xdr:rowOff>
    </xdr:from>
    <xdr:to>
      <xdr:col>16</xdr:col>
      <xdr:colOff>21167</xdr:colOff>
      <xdr:row>1403</xdr:row>
      <xdr:rowOff>95250</xdr:rowOff>
    </xdr:to>
    <xdr:cxnSp macro="">
      <xdr:nvCxnSpPr>
        <xdr:cNvPr id="3660" name="Straight Arrow Connector 3659">
          <a:extLst>
            <a:ext uri="{FF2B5EF4-FFF2-40B4-BE49-F238E27FC236}">
              <a16:creationId xmlns:a16="http://schemas.microsoft.com/office/drawing/2014/main" id="{00000000-0008-0000-1200-00004C0E0000}"/>
            </a:ext>
          </a:extLst>
        </xdr:cNvPr>
        <xdr:cNvCxnSpPr/>
      </xdr:nvCxnSpPr>
      <xdr:spPr>
        <a:xfrm>
          <a:off x="11324166" y="9471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1410</xdr:row>
      <xdr:rowOff>0</xdr:rowOff>
    </xdr:from>
    <xdr:to>
      <xdr:col>16</xdr:col>
      <xdr:colOff>0</xdr:colOff>
      <xdr:row>1410</xdr:row>
      <xdr:rowOff>42334</xdr:rowOff>
    </xdr:to>
    <xdr:cxnSp macro="">
      <xdr:nvCxnSpPr>
        <xdr:cNvPr id="3661" name="Straight Arrow Connector 3660">
          <a:extLst>
            <a:ext uri="{FF2B5EF4-FFF2-40B4-BE49-F238E27FC236}">
              <a16:creationId xmlns:a16="http://schemas.microsoft.com/office/drawing/2014/main" id="{00000000-0008-0000-1200-00004D0E0000}"/>
            </a:ext>
          </a:extLst>
        </xdr:cNvPr>
        <xdr:cNvCxnSpPr/>
      </xdr:nvCxnSpPr>
      <xdr:spPr>
        <a:xfrm>
          <a:off x="11302999" y="97345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1410</xdr:row>
      <xdr:rowOff>21166</xdr:rowOff>
    </xdr:from>
    <xdr:to>
      <xdr:col>15</xdr:col>
      <xdr:colOff>560916</xdr:colOff>
      <xdr:row>1413</xdr:row>
      <xdr:rowOff>84667</xdr:rowOff>
    </xdr:to>
    <xdr:cxnSp macro="">
      <xdr:nvCxnSpPr>
        <xdr:cNvPr id="3662" name="Straight Arrow Connector 3661">
          <a:extLst>
            <a:ext uri="{FF2B5EF4-FFF2-40B4-BE49-F238E27FC236}">
              <a16:creationId xmlns:a16="http://schemas.microsoft.com/office/drawing/2014/main" id="{00000000-0008-0000-1200-00004E0E0000}"/>
            </a:ext>
          </a:extLst>
        </xdr:cNvPr>
        <xdr:cNvCxnSpPr/>
      </xdr:nvCxnSpPr>
      <xdr:spPr>
        <a:xfrm>
          <a:off x="11355916" y="97366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1410</xdr:row>
      <xdr:rowOff>52916</xdr:rowOff>
    </xdr:from>
    <xdr:to>
      <xdr:col>15</xdr:col>
      <xdr:colOff>592666</xdr:colOff>
      <xdr:row>1416</xdr:row>
      <xdr:rowOff>63501</xdr:rowOff>
    </xdr:to>
    <xdr:cxnSp macro="">
      <xdr:nvCxnSpPr>
        <xdr:cNvPr id="3663" name="Straight Arrow Connector 3662">
          <a:extLst>
            <a:ext uri="{FF2B5EF4-FFF2-40B4-BE49-F238E27FC236}">
              <a16:creationId xmlns:a16="http://schemas.microsoft.com/office/drawing/2014/main" id="{00000000-0008-0000-1200-00004F0E0000}"/>
            </a:ext>
          </a:extLst>
        </xdr:cNvPr>
        <xdr:cNvCxnSpPr/>
      </xdr:nvCxnSpPr>
      <xdr:spPr>
        <a:xfrm>
          <a:off x="11313583" y="97398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1424</xdr:row>
      <xdr:rowOff>116416</xdr:rowOff>
    </xdr:from>
    <xdr:to>
      <xdr:col>15</xdr:col>
      <xdr:colOff>592666</xdr:colOff>
      <xdr:row>1427</xdr:row>
      <xdr:rowOff>158750</xdr:rowOff>
    </xdr:to>
    <xdr:cxnSp macro="">
      <xdr:nvCxnSpPr>
        <xdr:cNvPr id="3664" name="Straight Arrow Connector 3663">
          <a:extLst>
            <a:ext uri="{FF2B5EF4-FFF2-40B4-BE49-F238E27FC236}">
              <a16:creationId xmlns:a16="http://schemas.microsoft.com/office/drawing/2014/main" id="{00000000-0008-0000-1200-0000500E0000}"/>
            </a:ext>
          </a:extLst>
        </xdr:cNvPr>
        <xdr:cNvCxnSpPr/>
      </xdr:nvCxnSpPr>
      <xdr:spPr>
        <a:xfrm flipV="1">
          <a:off x="11302999" y="100128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1426</xdr:row>
      <xdr:rowOff>95250</xdr:rowOff>
    </xdr:from>
    <xdr:to>
      <xdr:col>15</xdr:col>
      <xdr:colOff>582083</xdr:colOff>
      <xdr:row>1428</xdr:row>
      <xdr:rowOff>52917</xdr:rowOff>
    </xdr:to>
    <xdr:cxnSp macro="">
      <xdr:nvCxnSpPr>
        <xdr:cNvPr id="3665" name="Straight Arrow Connector 3664">
          <a:extLst>
            <a:ext uri="{FF2B5EF4-FFF2-40B4-BE49-F238E27FC236}">
              <a16:creationId xmlns:a16="http://schemas.microsoft.com/office/drawing/2014/main" id="{00000000-0008-0000-1200-0000510E0000}"/>
            </a:ext>
          </a:extLst>
        </xdr:cNvPr>
        <xdr:cNvCxnSpPr/>
      </xdr:nvCxnSpPr>
      <xdr:spPr>
        <a:xfrm flipV="1">
          <a:off x="11345333" y="100488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116417</xdr:rowOff>
    </xdr:from>
    <xdr:to>
      <xdr:col>15</xdr:col>
      <xdr:colOff>592666</xdr:colOff>
      <xdr:row>1432</xdr:row>
      <xdr:rowOff>95250</xdr:rowOff>
    </xdr:to>
    <xdr:cxnSp macro="">
      <xdr:nvCxnSpPr>
        <xdr:cNvPr id="3666" name="Straight Arrow Connector 3665">
          <a:extLst>
            <a:ext uri="{FF2B5EF4-FFF2-40B4-BE49-F238E27FC236}">
              <a16:creationId xmlns:a16="http://schemas.microsoft.com/office/drawing/2014/main" id="{00000000-0008-0000-1200-0000520E0000}"/>
            </a:ext>
          </a:extLst>
        </xdr:cNvPr>
        <xdr:cNvCxnSpPr/>
      </xdr:nvCxnSpPr>
      <xdr:spPr>
        <a:xfrm>
          <a:off x="11334749" y="100890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1439</xdr:row>
      <xdr:rowOff>116416</xdr:rowOff>
    </xdr:from>
    <xdr:to>
      <xdr:col>16</xdr:col>
      <xdr:colOff>0</xdr:colOff>
      <xdr:row>1446</xdr:row>
      <xdr:rowOff>74084</xdr:rowOff>
    </xdr:to>
    <xdr:cxnSp macro="">
      <xdr:nvCxnSpPr>
        <xdr:cNvPr id="3667" name="Straight Arrow Connector 3666">
          <a:extLst>
            <a:ext uri="{FF2B5EF4-FFF2-40B4-BE49-F238E27FC236}">
              <a16:creationId xmlns:a16="http://schemas.microsoft.com/office/drawing/2014/main" id="{00000000-0008-0000-1200-0000530E0000}"/>
            </a:ext>
          </a:extLst>
        </xdr:cNvPr>
        <xdr:cNvCxnSpPr/>
      </xdr:nvCxnSpPr>
      <xdr:spPr>
        <a:xfrm>
          <a:off x="11313583" y="102986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1407</xdr:row>
      <xdr:rowOff>52917</xdr:rowOff>
    </xdr:from>
    <xdr:to>
      <xdr:col>15</xdr:col>
      <xdr:colOff>603250</xdr:colOff>
      <xdr:row>1409</xdr:row>
      <xdr:rowOff>148167</xdr:rowOff>
    </xdr:to>
    <xdr:cxnSp macro="">
      <xdr:nvCxnSpPr>
        <xdr:cNvPr id="3668" name="Straight Arrow Connector 3667">
          <a:extLst>
            <a:ext uri="{FF2B5EF4-FFF2-40B4-BE49-F238E27FC236}">
              <a16:creationId xmlns:a16="http://schemas.microsoft.com/office/drawing/2014/main" id="{00000000-0008-0000-1200-0000540E0000}"/>
            </a:ext>
          </a:extLst>
        </xdr:cNvPr>
        <xdr:cNvCxnSpPr/>
      </xdr:nvCxnSpPr>
      <xdr:spPr>
        <a:xfrm flipV="1">
          <a:off x="11324166" y="96826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1442</xdr:row>
      <xdr:rowOff>42333</xdr:rowOff>
    </xdr:from>
    <xdr:to>
      <xdr:col>11</xdr:col>
      <xdr:colOff>603250</xdr:colOff>
      <xdr:row>1454</xdr:row>
      <xdr:rowOff>10583</xdr:rowOff>
    </xdr:to>
    <xdr:cxnSp macro="">
      <xdr:nvCxnSpPr>
        <xdr:cNvPr id="3669" name="Straight Arrow Connector 3668">
          <a:extLst>
            <a:ext uri="{FF2B5EF4-FFF2-40B4-BE49-F238E27FC236}">
              <a16:creationId xmlns:a16="http://schemas.microsoft.com/office/drawing/2014/main" id="{00000000-0008-0000-1200-0000550E0000}"/>
            </a:ext>
          </a:extLst>
        </xdr:cNvPr>
        <xdr:cNvCxnSpPr/>
      </xdr:nvCxnSpPr>
      <xdr:spPr>
        <a:xfrm>
          <a:off x="7926917" y="103483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1432</xdr:row>
      <xdr:rowOff>21167</xdr:rowOff>
    </xdr:from>
    <xdr:to>
      <xdr:col>13</xdr:col>
      <xdr:colOff>592667</xdr:colOff>
      <xdr:row>1434</xdr:row>
      <xdr:rowOff>0</xdr:rowOff>
    </xdr:to>
    <xdr:cxnSp macro="">
      <xdr:nvCxnSpPr>
        <xdr:cNvPr id="3670" name="Straight Arrow Connector 3669">
          <a:extLst>
            <a:ext uri="{FF2B5EF4-FFF2-40B4-BE49-F238E27FC236}">
              <a16:creationId xmlns:a16="http://schemas.microsoft.com/office/drawing/2014/main" id="{00000000-0008-0000-1200-0000560E0000}"/>
            </a:ext>
          </a:extLst>
        </xdr:cNvPr>
        <xdr:cNvCxnSpPr/>
      </xdr:nvCxnSpPr>
      <xdr:spPr>
        <a:xfrm flipV="1">
          <a:off x="9133417" y="101557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1437</xdr:row>
      <xdr:rowOff>21166</xdr:rowOff>
    </xdr:from>
    <xdr:to>
      <xdr:col>13</xdr:col>
      <xdr:colOff>592667</xdr:colOff>
      <xdr:row>1438</xdr:row>
      <xdr:rowOff>169334</xdr:rowOff>
    </xdr:to>
    <xdr:cxnSp macro="">
      <xdr:nvCxnSpPr>
        <xdr:cNvPr id="3671" name="Straight Arrow Connector 3670">
          <a:extLst>
            <a:ext uri="{FF2B5EF4-FFF2-40B4-BE49-F238E27FC236}">
              <a16:creationId xmlns:a16="http://schemas.microsoft.com/office/drawing/2014/main" id="{00000000-0008-0000-1200-0000570E0000}"/>
            </a:ext>
          </a:extLst>
        </xdr:cNvPr>
        <xdr:cNvCxnSpPr/>
      </xdr:nvCxnSpPr>
      <xdr:spPr>
        <a:xfrm>
          <a:off x="9122833" y="102510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1452</xdr:row>
      <xdr:rowOff>21167</xdr:rowOff>
    </xdr:from>
    <xdr:to>
      <xdr:col>13</xdr:col>
      <xdr:colOff>592667</xdr:colOff>
      <xdr:row>1454</xdr:row>
      <xdr:rowOff>63500</xdr:rowOff>
    </xdr:to>
    <xdr:cxnSp macro="">
      <xdr:nvCxnSpPr>
        <xdr:cNvPr id="3672" name="Straight Arrow Connector 3671">
          <a:extLst>
            <a:ext uri="{FF2B5EF4-FFF2-40B4-BE49-F238E27FC236}">
              <a16:creationId xmlns:a16="http://schemas.microsoft.com/office/drawing/2014/main" id="{00000000-0008-0000-1200-0000580E0000}"/>
            </a:ext>
          </a:extLst>
        </xdr:cNvPr>
        <xdr:cNvCxnSpPr/>
      </xdr:nvCxnSpPr>
      <xdr:spPr>
        <a:xfrm flipV="1">
          <a:off x="9525000" y="105558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1457</xdr:row>
      <xdr:rowOff>0</xdr:rowOff>
    </xdr:from>
    <xdr:to>
      <xdr:col>14</xdr:col>
      <xdr:colOff>10584</xdr:colOff>
      <xdr:row>1465</xdr:row>
      <xdr:rowOff>148167</xdr:rowOff>
    </xdr:to>
    <xdr:cxnSp macro="">
      <xdr:nvCxnSpPr>
        <xdr:cNvPr id="3673" name="Straight Arrow Connector 3672">
          <a:extLst>
            <a:ext uri="{FF2B5EF4-FFF2-40B4-BE49-F238E27FC236}">
              <a16:creationId xmlns:a16="http://schemas.microsoft.com/office/drawing/2014/main" id="{00000000-0008-0000-1200-0000590E0000}"/>
            </a:ext>
          </a:extLst>
        </xdr:cNvPr>
        <xdr:cNvCxnSpPr/>
      </xdr:nvCxnSpPr>
      <xdr:spPr>
        <a:xfrm>
          <a:off x="9535583" y="106489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1428</xdr:row>
      <xdr:rowOff>95250</xdr:rowOff>
    </xdr:from>
    <xdr:to>
      <xdr:col>15</xdr:col>
      <xdr:colOff>582083</xdr:colOff>
      <xdr:row>1430</xdr:row>
      <xdr:rowOff>137583</xdr:rowOff>
    </xdr:to>
    <xdr:cxnSp macro="">
      <xdr:nvCxnSpPr>
        <xdr:cNvPr id="3674" name="Straight Arrow Connector 3673">
          <a:extLst>
            <a:ext uri="{FF2B5EF4-FFF2-40B4-BE49-F238E27FC236}">
              <a16:creationId xmlns:a16="http://schemas.microsoft.com/office/drawing/2014/main" id="{00000000-0008-0000-1200-00005A0E0000}"/>
            </a:ext>
          </a:extLst>
        </xdr:cNvPr>
        <xdr:cNvCxnSpPr/>
      </xdr:nvCxnSpPr>
      <xdr:spPr>
        <a:xfrm>
          <a:off x="11334749" y="100869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1437</xdr:row>
      <xdr:rowOff>52916</xdr:rowOff>
    </xdr:from>
    <xdr:to>
      <xdr:col>16</xdr:col>
      <xdr:colOff>0</xdr:colOff>
      <xdr:row>1439</xdr:row>
      <xdr:rowOff>0</xdr:rowOff>
    </xdr:to>
    <xdr:cxnSp macro="">
      <xdr:nvCxnSpPr>
        <xdr:cNvPr id="3675" name="Straight Arrow Connector 3674">
          <a:extLst>
            <a:ext uri="{FF2B5EF4-FFF2-40B4-BE49-F238E27FC236}">
              <a16:creationId xmlns:a16="http://schemas.microsoft.com/office/drawing/2014/main" id="{00000000-0008-0000-1200-00005B0E0000}"/>
            </a:ext>
          </a:extLst>
        </xdr:cNvPr>
        <xdr:cNvCxnSpPr/>
      </xdr:nvCxnSpPr>
      <xdr:spPr>
        <a:xfrm flipV="1">
          <a:off x="11281833" y="102541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21167</xdr:rowOff>
    </xdr:from>
    <xdr:to>
      <xdr:col>15</xdr:col>
      <xdr:colOff>592666</xdr:colOff>
      <xdr:row>1440</xdr:row>
      <xdr:rowOff>84667</xdr:rowOff>
    </xdr:to>
    <xdr:cxnSp macro="">
      <xdr:nvCxnSpPr>
        <xdr:cNvPr id="3676" name="Straight Arrow Connector 3675">
          <a:extLst>
            <a:ext uri="{FF2B5EF4-FFF2-40B4-BE49-F238E27FC236}">
              <a16:creationId xmlns:a16="http://schemas.microsoft.com/office/drawing/2014/main" id="{00000000-0008-0000-1200-00005C0E0000}"/>
            </a:ext>
          </a:extLst>
        </xdr:cNvPr>
        <xdr:cNvCxnSpPr/>
      </xdr:nvCxnSpPr>
      <xdr:spPr>
        <a:xfrm>
          <a:off x="11271250" y="102891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1439</xdr:row>
      <xdr:rowOff>0</xdr:rowOff>
    </xdr:from>
    <xdr:to>
      <xdr:col>16</xdr:col>
      <xdr:colOff>0</xdr:colOff>
      <xdr:row>1443</xdr:row>
      <xdr:rowOff>42334</xdr:rowOff>
    </xdr:to>
    <xdr:cxnSp macro="">
      <xdr:nvCxnSpPr>
        <xdr:cNvPr id="3677" name="Straight Arrow Connector 3676">
          <a:extLst>
            <a:ext uri="{FF2B5EF4-FFF2-40B4-BE49-F238E27FC236}">
              <a16:creationId xmlns:a16="http://schemas.microsoft.com/office/drawing/2014/main" id="{00000000-0008-0000-1200-00005D0E0000}"/>
            </a:ext>
          </a:extLst>
        </xdr:cNvPr>
        <xdr:cNvCxnSpPr/>
      </xdr:nvCxnSpPr>
      <xdr:spPr>
        <a:xfrm>
          <a:off x="11271250" y="102870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1450</xdr:row>
      <xdr:rowOff>0</xdr:rowOff>
    </xdr:from>
    <xdr:to>
      <xdr:col>15</xdr:col>
      <xdr:colOff>603250</xdr:colOff>
      <xdr:row>1452</xdr:row>
      <xdr:rowOff>1</xdr:rowOff>
    </xdr:to>
    <xdr:cxnSp macro="">
      <xdr:nvCxnSpPr>
        <xdr:cNvPr id="3678" name="Straight Arrow Connector 3677">
          <a:extLst>
            <a:ext uri="{FF2B5EF4-FFF2-40B4-BE49-F238E27FC236}">
              <a16:creationId xmlns:a16="http://schemas.microsoft.com/office/drawing/2014/main" id="{00000000-0008-0000-1200-00005E0E0000}"/>
            </a:ext>
          </a:extLst>
        </xdr:cNvPr>
        <xdr:cNvCxnSpPr/>
      </xdr:nvCxnSpPr>
      <xdr:spPr>
        <a:xfrm flipV="1">
          <a:off x="11271250" y="105156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1452</xdr:row>
      <xdr:rowOff>10584</xdr:rowOff>
    </xdr:from>
    <xdr:to>
      <xdr:col>15</xdr:col>
      <xdr:colOff>592666</xdr:colOff>
      <xdr:row>1453</xdr:row>
      <xdr:rowOff>95250</xdr:rowOff>
    </xdr:to>
    <xdr:cxnSp macro="">
      <xdr:nvCxnSpPr>
        <xdr:cNvPr id="3679" name="Straight Arrow Connector 3678">
          <a:extLst>
            <a:ext uri="{FF2B5EF4-FFF2-40B4-BE49-F238E27FC236}">
              <a16:creationId xmlns:a16="http://schemas.microsoft.com/office/drawing/2014/main" id="{00000000-0008-0000-1200-00005F0E0000}"/>
            </a:ext>
          </a:extLst>
        </xdr:cNvPr>
        <xdr:cNvCxnSpPr/>
      </xdr:nvCxnSpPr>
      <xdr:spPr>
        <a:xfrm>
          <a:off x="11313583" y="105547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1452</xdr:row>
      <xdr:rowOff>10584</xdr:rowOff>
    </xdr:from>
    <xdr:to>
      <xdr:col>15</xdr:col>
      <xdr:colOff>560916</xdr:colOff>
      <xdr:row>1456</xdr:row>
      <xdr:rowOff>52917</xdr:rowOff>
    </xdr:to>
    <xdr:cxnSp macro="">
      <xdr:nvCxnSpPr>
        <xdr:cNvPr id="3680" name="Straight Arrow Connector 3679">
          <a:extLst>
            <a:ext uri="{FF2B5EF4-FFF2-40B4-BE49-F238E27FC236}">
              <a16:creationId xmlns:a16="http://schemas.microsoft.com/office/drawing/2014/main" id="{00000000-0008-0000-1200-0000600E0000}"/>
            </a:ext>
          </a:extLst>
        </xdr:cNvPr>
        <xdr:cNvCxnSpPr/>
      </xdr:nvCxnSpPr>
      <xdr:spPr>
        <a:xfrm>
          <a:off x="11292416" y="105547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681" name="Straight Arrow Connector 3680">
          <a:extLst>
            <a:ext uri="{FF2B5EF4-FFF2-40B4-BE49-F238E27FC236}">
              <a16:creationId xmlns:a16="http://schemas.microsoft.com/office/drawing/2014/main" id="{00000000-0008-0000-1200-0000610E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1507</xdr:row>
      <xdr:rowOff>95250</xdr:rowOff>
    </xdr:from>
    <xdr:to>
      <xdr:col>8</xdr:col>
      <xdr:colOff>21167</xdr:colOff>
      <xdr:row>1539</xdr:row>
      <xdr:rowOff>148166</xdr:rowOff>
    </xdr:to>
    <xdr:cxnSp macro="">
      <xdr:nvCxnSpPr>
        <xdr:cNvPr id="3686" name="Straight Arrow Connector 3685">
          <a:extLst>
            <a:ext uri="{FF2B5EF4-FFF2-40B4-BE49-F238E27FC236}">
              <a16:creationId xmlns:a16="http://schemas.microsoft.com/office/drawing/2014/main" id="{00000000-0008-0000-1200-0000660E0000}"/>
            </a:ext>
          </a:extLst>
        </xdr:cNvPr>
        <xdr:cNvCxnSpPr/>
      </xdr:nvCxnSpPr>
      <xdr:spPr>
        <a:xfrm>
          <a:off x="5185833" y="1163002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1478</xdr:row>
      <xdr:rowOff>137583</xdr:rowOff>
    </xdr:from>
    <xdr:to>
      <xdr:col>9</xdr:col>
      <xdr:colOff>603250</xdr:colOff>
      <xdr:row>1484</xdr:row>
      <xdr:rowOff>21166</xdr:rowOff>
    </xdr:to>
    <xdr:cxnSp macro="">
      <xdr:nvCxnSpPr>
        <xdr:cNvPr id="3687" name="Straight Arrow Connector 3686">
          <a:extLst>
            <a:ext uri="{FF2B5EF4-FFF2-40B4-BE49-F238E27FC236}">
              <a16:creationId xmlns:a16="http://schemas.microsoft.com/office/drawing/2014/main" id="{00000000-0008-0000-1200-0000670E0000}"/>
            </a:ext>
          </a:extLst>
        </xdr:cNvPr>
        <xdr:cNvCxnSpPr/>
      </xdr:nvCxnSpPr>
      <xdr:spPr>
        <a:xfrm flipV="1">
          <a:off x="6688667" y="110627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1487</xdr:row>
      <xdr:rowOff>0</xdr:rowOff>
    </xdr:from>
    <xdr:to>
      <xdr:col>9</xdr:col>
      <xdr:colOff>582083</xdr:colOff>
      <xdr:row>1495</xdr:row>
      <xdr:rowOff>10583</xdr:rowOff>
    </xdr:to>
    <xdr:cxnSp macro="">
      <xdr:nvCxnSpPr>
        <xdr:cNvPr id="3688" name="Straight Arrow Connector 3687">
          <a:extLst>
            <a:ext uri="{FF2B5EF4-FFF2-40B4-BE49-F238E27FC236}">
              <a16:creationId xmlns:a16="http://schemas.microsoft.com/office/drawing/2014/main" id="{00000000-0008-0000-1200-0000680E0000}"/>
            </a:ext>
          </a:extLst>
        </xdr:cNvPr>
        <xdr:cNvCxnSpPr/>
      </xdr:nvCxnSpPr>
      <xdr:spPr>
        <a:xfrm>
          <a:off x="6720417" y="112204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3689" name="Straight Arrow Connector 3688">
          <a:extLst>
            <a:ext uri="{FF2B5EF4-FFF2-40B4-BE49-F238E27FC236}">
              <a16:creationId xmlns:a16="http://schemas.microsoft.com/office/drawing/2014/main" id="{00000000-0008-0000-1200-0000690E0000}"/>
            </a:ext>
          </a:extLst>
        </xdr:cNvPr>
        <xdr:cNvCxnSpPr/>
      </xdr:nvCxnSpPr>
      <xdr:spPr>
        <a:xfrm flipV="1">
          <a:off x="7937500"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3690" name="Straight Arrow Connector 3689">
          <a:extLst>
            <a:ext uri="{FF2B5EF4-FFF2-40B4-BE49-F238E27FC236}">
              <a16:creationId xmlns:a16="http://schemas.microsoft.com/office/drawing/2014/main" id="{00000000-0008-0000-1200-00006A0E0000}"/>
            </a:ext>
          </a:extLst>
        </xdr:cNvPr>
        <xdr:cNvCxnSpPr/>
      </xdr:nvCxnSpPr>
      <xdr:spPr>
        <a:xfrm>
          <a:off x="7926917"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3691" name="Straight Arrow Connector 3690">
          <a:extLst>
            <a:ext uri="{FF2B5EF4-FFF2-40B4-BE49-F238E27FC236}">
              <a16:creationId xmlns:a16="http://schemas.microsoft.com/office/drawing/2014/main" id="{00000000-0008-0000-1200-00006B0E0000}"/>
            </a:ext>
          </a:extLst>
        </xdr:cNvPr>
        <xdr:cNvCxnSpPr/>
      </xdr:nvCxnSpPr>
      <xdr:spPr>
        <a:xfrm flipV="1">
          <a:off x="9133417" y="112416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3692" name="Straight Arrow Connector 3691">
          <a:extLst>
            <a:ext uri="{FF2B5EF4-FFF2-40B4-BE49-F238E27FC236}">
              <a16:creationId xmlns:a16="http://schemas.microsoft.com/office/drawing/2014/main" id="{00000000-0008-0000-1200-00006C0E0000}"/>
            </a:ext>
          </a:extLst>
        </xdr:cNvPr>
        <xdr:cNvCxnSpPr/>
      </xdr:nvCxnSpPr>
      <xdr:spPr>
        <a:xfrm>
          <a:off x="9122833" y="113368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3693" name="Straight Arrow Connector 3692">
          <a:extLst>
            <a:ext uri="{FF2B5EF4-FFF2-40B4-BE49-F238E27FC236}">
              <a16:creationId xmlns:a16="http://schemas.microsoft.com/office/drawing/2014/main" id="{00000000-0008-0000-1200-00006D0E0000}"/>
            </a:ext>
          </a:extLst>
        </xdr:cNvPr>
        <xdr:cNvCxnSpPr/>
      </xdr:nvCxnSpPr>
      <xdr:spPr>
        <a:xfrm flipV="1">
          <a:off x="952500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3694" name="Straight Arrow Connector 3693">
          <a:extLst>
            <a:ext uri="{FF2B5EF4-FFF2-40B4-BE49-F238E27FC236}">
              <a16:creationId xmlns:a16="http://schemas.microsoft.com/office/drawing/2014/main" id="{00000000-0008-0000-1200-00006E0E0000}"/>
            </a:ext>
          </a:extLst>
        </xdr:cNvPr>
        <xdr:cNvCxnSpPr/>
      </xdr:nvCxnSpPr>
      <xdr:spPr>
        <a:xfrm>
          <a:off x="9535583" y="117348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1480</xdr:row>
      <xdr:rowOff>0</xdr:rowOff>
    </xdr:from>
    <xdr:to>
      <xdr:col>15</xdr:col>
      <xdr:colOff>603250</xdr:colOff>
      <xdr:row>1485</xdr:row>
      <xdr:rowOff>31750</xdr:rowOff>
    </xdr:to>
    <xdr:cxnSp macro="">
      <xdr:nvCxnSpPr>
        <xdr:cNvPr id="3695" name="Straight Arrow Connector 3694">
          <a:extLst>
            <a:ext uri="{FF2B5EF4-FFF2-40B4-BE49-F238E27FC236}">
              <a16:creationId xmlns:a16="http://schemas.microsoft.com/office/drawing/2014/main" id="{00000000-0008-0000-1200-00006F0E0000}"/>
            </a:ext>
          </a:extLst>
        </xdr:cNvPr>
        <xdr:cNvCxnSpPr/>
      </xdr:nvCxnSpPr>
      <xdr:spPr>
        <a:xfrm flipV="1">
          <a:off x="11281833"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3696" name="Straight Arrow Connector 3695">
          <a:extLst>
            <a:ext uri="{FF2B5EF4-FFF2-40B4-BE49-F238E27FC236}">
              <a16:creationId xmlns:a16="http://schemas.microsoft.com/office/drawing/2014/main" id="{00000000-0008-0000-1200-0000700E0000}"/>
            </a:ext>
          </a:extLst>
        </xdr:cNvPr>
        <xdr:cNvCxnSpPr/>
      </xdr:nvCxnSpPr>
      <xdr:spPr>
        <a:xfrm flipV="1">
          <a:off x="11324166"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3697" name="Straight Arrow Connector 3696">
          <a:extLst>
            <a:ext uri="{FF2B5EF4-FFF2-40B4-BE49-F238E27FC236}">
              <a16:creationId xmlns:a16="http://schemas.microsoft.com/office/drawing/2014/main" id="{00000000-0008-0000-1200-0000710E0000}"/>
            </a:ext>
          </a:extLst>
        </xdr:cNvPr>
        <xdr:cNvCxnSpPr/>
      </xdr:nvCxnSpPr>
      <xdr:spPr>
        <a:xfrm>
          <a:off x="11345333"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3698" name="Straight Arrow Connector 3697">
          <a:extLst>
            <a:ext uri="{FF2B5EF4-FFF2-40B4-BE49-F238E27FC236}">
              <a16:creationId xmlns:a16="http://schemas.microsoft.com/office/drawing/2014/main" id="{00000000-0008-0000-1200-0000720E0000}"/>
            </a:ext>
          </a:extLst>
        </xdr:cNvPr>
        <xdr:cNvCxnSpPr/>
      </xdr:nvCxnSpPr>
      <xdr:spPr>
        <a:xfrm>
          <a:off x="11260667" y="111929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1493</xdr:row>
      <xdr:rowOff>52916</xdr:rowOff>
    </xdr:from>
    <xdr:to>
      <xdr:col>16</xdr:col>
      <xdr:colOff>0</xdr:colOff>
      <xdr:row>1495</xdr:row>
      <xdr:rowOff>0</xdr:rowOff>
    </xdr:to>
    <xdr:cxnSp macro="">
      <xdr:nvCxnSpPr>
        <xdr:cNvPr id="3699" name="Straight Arrow Connector 3698">
          <a:extLst>
            <a:ext uri="{FF2B5EF4-FFF2-40B4-BE49-F238E27FC236}">
              <a16:creationId xmlns:a16="http://schemas.microsoft.com/office/drawing/2014/main" id="{00000000-0008-0000-1200-0000730E0000}"/>
            </a:ext>
          </a:extLst>
        </xdr:cNvPr>
        <xdr:cNvCxnSpPr/>
      </xdr:nvCxnSpPr>
      <xdr:spPr>
        <a:xfrm flipV="1">
          <a:off x="11281833" y="113400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3700" name="Straight Arrow Connector 3699">
          <a:extLst>
            <a:ext uri="{FF2B5EF4-FFF2-40B4-BE49-F238E27FC236}">
              <a16:creationId xmlns:a16="http://schemas.microsoft.com/office/drawing/2014/main" id="{00000000-0008-0000-1200-0000740E0000}"/>
            </a:ext>
          </a:extLst>
        </xdr:cNvPr>
        <xdr:cNvCxnSpPr/>
      </xdr:nvCxnSpPr>
      <xdr:spPr>
        <a:xfrm>
          <a:off x="11292416"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3701" name="Straight Arrow Connector 3700">
          <a:extLst>
            <a:ext uri="{FF2B5EF4-FFF2-40B4-BE49-F238E27FC236}">
              <a16:creationId xmlns:a16="http://schemas.microsoft.com/office/drawing/2014/main" id="{00000000-0008-0000-1200-0000750E0000}"/>
            </a:ext>
          </a:extLst>
        </xdr:cNvPr>
        <xdr:cNvCxnSpPr/>
      </xdr:nvCxnSpPr>
      <xdr:spPr>
        <a:xfrm>
          <a:off x="11271250" y="113749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702" name="Straight Arrow Connector 3701">
          <a:extLst>
            <a:ext uri="{FF2B5EF4-FFF2-40B4-BE49-F238E27FC236}">
              <a16:creationId xmlns:a16="http://schemas.microsoft.com/office/drawing/2014/main" id="{00000000-0008-0000-1200-0000760E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1532</xdr:row>
      <xdr:rowOff>42333</xdr:rowOff>
    </xdr:from>
    <xdr:to>
      <xdr:col>9</xdr:col>
      <xdr:colOff>592666</xdr:colOff>
      <xdr:row>1540</xdr:row>
      <xdr:rowOff>42333</xdr:rowOff>
    </xdr:to>
    <xdr:cxnSp macro="">
      <xdr:nvCxnSpPr>
        <xdr:cNvPr id="3703" name="Straight Arrow Connector 3702">
          <a:extLst>
            <a:ext uri="{FF2B5EF4-FFF2-40B4-BE49-F238E27FC236}">
              <a16:creationId xmlns:a16="http://schemas.microsoft.com/office/drawing/2014/main" id="{00000000-0008-0000-1200-0000770E0000}"/>
            </a:ext>
          </a:extLst>
        </xdr:cNvPr>
        <xdr:cNvCxnSpPr/>
      </xdr:nvCxnSpPr>
      <xdr:spPr>
        <a:xfrm flipV="1">
          <a:off x="6699250" y="121009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1542</xdr:row>
      <xdr:rowOff>169334</xdr:rowOff>
    </xdr:from>
    <xdr:to>
      <xdr:col>9</xdr:col>
      <xdr:colOff>603250</xdr:colOff>
      <xdr:row>1551</xdr:row>
      <xdr:rowOff>31750</xdr:rowOff>
    </xdr:to>
    <xdr:cxnSp macro="">
      <xdr:nvCxnSpPr>
        <xdr:cNvPr id="3704" name="Straight Arrow Connector 3703">
          <a:extLst>
            <a:ext uri="{FF2B5EF4-FFF2-40B4-BE49-F238E27FC236}">
              <a16:creationId xmlns:a16="http://schemas.microsoft.com/office/drawing/2014/main" id="{00000000-0008-0000-1200-0000780E0000}"/>
            </a:ext>
          </a:extLst>
        </xdr:cNvPr>
        <xdr:cNvCxnSpPr/>
      </xdr:nvCxnSpPr>
      <xdr:spPr>
        <a:xfrm>
          <a:off x="6720417" y="123041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3705" name="Straight Arrow Connector 3704">
          <a:extLst>
            <a:ext uri="{FF2B5EF4-FFF2-40B4-BE49-F238E27FC236}">
              <a16:creationId xmlns:a16="http://schemas.microsoft.com/office/drawing/2014/main" id="{00000000-0008-0000-1200-0000790E0000}"/>
            </a:ext>
          </a:extLst>
        </xdr:cNvPr>
        <xdr:cNvCxnSpPr/>
      </xdr:nvCxnSpPr>
      <xdr:spPr>
        <a:xfrm flipV="1">
          <a:off x="7874000" y="124174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3706" name="Straight Arrow Connector 3705">
          <a:extLst>
            <a:ext uri="{FF2B5EF4-FFF2-40B4-BE49-F238E27FC236}">
              <a16:creationId xmlns:a16="http://schemas.microsoft.com/office/drawing/2014/main" id="{00000000-0008-0000-1200-00007A0E0000}"/>
            </a:ext>
          </a:extLst>
        </xdr:cNvPr>
        <xdr:cNvCxnSpPr/>
      </xdr:nvCxnSpPr>
      <xdr:spPr>
        <a:xfrm flipV="1">
          <a:off x="11271250"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3707" name="Straight Arrow Connector 3706">
          <a:extLst>
            <a:ext uri="{FF2B5EF4-FFF2-40B4-BE49-F238E27FC236}">
              <a16:creationId xmlns:a16="http://schemas.microsoft.com/office/drawing/2014/main" id="{00000000-0008-0000-1200-00007B0E0000}"/>
            </a:ext>
          </a:extLst>
        </xdr:cNvPr>
        <xdr:cNvCxnSpPr/>
      </xdr:nvCxnSpPr>
      <xdr:spPr>
        <a:xfrm>
          <a:off x="11313583"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3708" name="Straight Arrow Connector 3707">
          <a:extLst>
            <a:ext uri="{FF2B5EF4-FFF2-40B4-BE49-F238E27FC236}">
              <a16:creationId xmlns:a16="http://schemas.microsoft.com/office/drawing/2014/main" id="{00000000-0008-0000-1200-00007C0E0000}"/>
            </a:ext>
          </a:extLst>
        </xdr:cNvPr>
        <xdr:cNvCxnSpPr/>
      </xdr:nvCxnSpPr>
      <xdr:spPr>
        <a:xfrm>
          <a:off x="11292416"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709" name="Straight Arrow Connector 3708">
          <a:extLst>
            <a:ext uri="{FF2B5EF4-FFF2-40B4-BE49-F238E27FC236}">
              <a16:creationId xmlns:a16="http://schemas.microsoft.com/office/drawing/2014/main" id="{00000000-0008-0000-1200-00007D0E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3710" name="Straight Arrow Connector 3709">
          <a:extLst>
            <a:ext uri="{FF2B5EF4-FFF2-40B4-BE49-F238E27FC236}">
              <a16:creationId xmlns:a16="http://schemas.microsoft.com/office/drawing/2014/main" id="{00000000-0008-0000-1200-00007E0E0000}"/>
            </a:ext>
          </a:extLst>
        </xdr:cNvPr>
        <xdr:cNvCxnSpPr/>
      </xdr:nvCxnSpPr>
      <xdr:spPr>
        <a:xfrm>
          <a:off x="11302999" y="119062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3711" name="Straight Arrow Connector 3710">
          <a:extLst>
            <a:ext uri="{FF2B5EF4-FFF2-40B4-BE49-F238E27FC236}">
              <a16:creationId xmlns:a16="http://schemas.microsoft.com/office/drawing/2014/main" id="{00000000-0008-0000-1200-00007F0E0000}"/>
            </a:ext>
          </a:extLst>
        </xdr:cNvPr>
        <xdr:cNvCxnSpPr/>
      </xdr:nvCxnSpPr>
      <xdr:spPr>
        <a:xfrm>
          <a:off x="11355916"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3712" name="Straight Arrow Connector 3711">
          <a:extLst>
            <a:ext uri="{FF2B5EF4-FFF2-40B4-BE49-F238E27FC236}">
              <a16:creationId xmlns:a16="http://schemas.microsoft.com/office/drawing/2014/main" id="{00000000-0008-0000-1200-0000800E0000}"/>
            </a:ext>
          </a:extLst>
        </xdr:cNvPr>
        <xdr:cNvCxnSpPr/>
      </xdr:nvCxnSpPr>
      <xdr:spPr>
        <a:xfrm>
          <a:off x="11313583"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3713" name="Straight Arrow Connector 3712">
          <a:extLst>
            <a:ext uri="{FF2B5EF4-FFF2-40B4-BE49-F238E27FC236}">
              <a16:creationId xmlns:a16="http://schemas.microsoft.com/office/drawing/2014/main" id="{00000000-0008-0000-1200-0000810E0000}"/>
            </a:ext>
          </a:extLst>
        </xdr:cNvPr>
        <xdr:cNvCxnSpPr/>
      </xdr:nvCxnSpPr>
      <xdr:spPr>
        <a:xfrm flipV="1">
          <a:off x="11302999"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3714" name="Straight Arrow Connector 3713">
          <a:extLst>
            <a:ext uri="{FF2B5EF4-FFF2-40B4-BE49-F238E27FC236}">
              <a16:creationId xmlns:a16="http://schemas.microsoft.com/office/drawing/2014/main" id="{00000000-0008-0000-1200-0000820E0000}"/>
            </a:ext>
          </a:extLst>
        </xdr:cNvPr>
        <xdr:cNvCxnSpPr/>
      </xdr:nvCxnSpPr>
      <xdr:spPr>
        <a:xfrm flipV="1">
          <a:off x="11345333"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3715" name="Straight Arrow Connector 3714">
          <a:extLst>
            <a:ext uri="{FF2B5EF4-FFF2-40B4-BE49-F238E27FC236}">
              <a16:creationId xmlns:a16="http://schemas.microsoft.com/office/drawing/2014/main" id="{00000000-0008-0000-1200-0000830E0000}"/>
            </a:ext>
          </a:extLst>
        </xdr:cNvPr>
        <xdr:cNvCxnSpPr/>
      </xdr:nvCxnSpPr>
      <xdr:spPr>
        <a:xfrm>
          <a:off x="11334749"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3716" name="Straight Arrow Connector 3715">
          <a:extLst>
            <a:ext uri="{FF2B5EF4-FFF2-40B4-BE49-F238E27FC236}">
              <a16:creationId xmlns:a16="http://schemas.microsoft.com/office/drawing/2014/main" id="{00000000-0008-0000-1200-0000840E0000}"/>
            </a:ext>
          </a:extLst>
        </xdr:cNvPr>
        <xdr:cNvCxnSpPr/>
      </xdr:nvCxnSpPr>
      <xdr:spPr>
        <a:xfrm>
          <a:off x="11313583" y="124703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3717" name="Straight Arrow Connector 3716">
          <a:extLst>
            <a:ext uri="{FF2B5EF4-FFF2-40B4-BE49-F238E27FC236}">
              <a16:creationId xmlns:a16="http://schemas.microsoft.com/office/drawing/2014/main" id="{00000000-0008-0000-1200-0000850E0000}"/>
            </a:ext>
          </a:extLst>
        </xdr:cNvPr>
        <xdr:cNvCxnSpPr/>
      </xdr:nvCxnSpPr>
      <xdr:spPr>
        <a:xfrm flipV="1">
          <a:off x="11324166"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3718" name="Straight Arrow Connector 3717">
          <a:extLst>
            <a:ext uri="{FF2B5EF4-FFF2-40B4-BE49-F238E27FC236}">
              <a16:creationId xmlns:a16="http://schemas.microsoft.com/office/drawing/2014/main" id="{00000000-0008-0000-1200-0000860E0000}"/>
            </a:ext>
          </a:extLst>
        </xdr:cNvPr>
        <xdr:cNvCxnSpPr/>
      </xdr:nvCxnSpPr>
      <xdr:spPr>
        <a:xfrm>
          <a:off x="7926917"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3719" name="Straight Arrow Connector 3718">
          <a:extLst>
            <a:ext uri="{FF2B5EF4-FFF2-40B4-BE49-F238E27FC236}">
              <a16:creationId xmlns:a16="http://schemas.microsoft.com/office/drawing/2014/main" id="{00000000-0008-0000-1200-0000870E0000}"/>
            </a:ext>
          </a:extLst>
        </xdr:cNvPr>
        <xdr:cNvCxnSpPr/>
      </xdr:nvCxnSpPr>
      <xdr:spPr>
        <a:xfrm flipV="1">
          <a:off x="9133417" y="123274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3720" name="Straight Arrow Connector 3719">
          <a:extLst>
            <a:ext uri="{FF2B5EF4-FFF2-40B4-BE49-F238E27FC236}">
              <a16:creationId xmlns:a16="http://schemas.microsoft.com/office/drawing/2014/main" id="{00000000-0008-0000-1200-0000880E0000}"/>
            </a:ext>
          </a:extLst>
        </xdr:cNvPr>
        <xdr:cNvCxnSpPr/>
      </xdr:nvCxnSpPr>
      <xdr:spPr>
        <a:xfrm>
          <a:off x="9122833" y="124227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3721" name="Straight Arrow Connector 3720">
          <a:extLst>
            <a:ext uri="{FF2B5EF4-FFF2-40B4-BE49-F238E27FC236}">
              <a16:creationId xmlns:a16="http://schemas.microsoft.com/office/drawing/2014/main" id="{00000000-0008-0000-1200-0000890E0000}"/>
            </a:ext>
          </a:extLst>
        </xdr:cNvPr>
        <xdr:cNvCxnSpPr/>
      </xdr:nvCxnSpPr>
      <xdr:spPr>
        <a:xfrm flipV="1">
          <a:off x="952500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3722" name="Straight Arrow Connector 3721">
          <a:extLst>
            <a:ext uri="{FF2B5EF4-FFF2-40B4-BE49-F238E27FC236}">
              <a16:creationId xmlns:a16="http://schemas.microsoft.com/office/drawing/2014/main" id="{00000000-0008-0000-1200-00008A0E0000}"/>
            </a:ext>
          </a:extLst>
        </xdr:cNvPr>
        <xdr:cNvCxnSpPr/>
      </xdr:nvCxnSpPr>
      <xdr:spPr>
        <a:xfrm>
          <a:off x="9535583" y="128206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3723" name="Straight Arrow Connector 3722">
          <a:extLst>
            <a:ext uri="{FF2B5EF4-FFF2-40B4-BE49-F238E27FC236}">
              <a16:creationId xmlns:a16="http://schemas.microsoft.com/office/drawing/2014/main" id="{00000000-0008-0000-1200-00008B0E0000}"/>
            </a:ext>
          </a:extLst>
        </xdr:cNvPr>
        <xdr:cNvCxnSpPr/>
      </xdr:nvCxnSpPr>
      <xdr:spPr>
        <a:xfrm>
          <a:off x="11334749"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1549</xdr:row>
      <xdr:rowOff>52916</xdr:rowOff>
    </xdr:from>
    <xdr:to>
      <xdr:col>16</xdr:col>
      <xdr:colOff>0</xdr:colOff>
      <xdr:row>1551</xdr:row>
      <xdr:rowOff>0</xdr:rowOff>
    </xdr:to>
    <xdr:cxnSp macro="">
      <xdr:nvCxnSpPr>
        <xdr:cNvPr id="3724" name="Straight Arrow Connector 3723">
          <a:extLst>
            <a:ext uri="{FF2B5EF4-FFF2-40B4-BE49-F238E27FC236}">
              <a16:creationId xmlns:a16="http://schemas.microsoft.com/office/drawing/2014/main" id="{00000000-0008-0000-1200-00008C0E0000}"/>
            </a:ext>
          </a:extLst>
        </xdr:cNvPr>
        <xdr:cNvCxnSpPr/>
      </xdr:nvCxnSpPr>
      <xdr:spPr>
        <a:xfrm flipV="1">
          <a:off x="11281833" y="124258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3725" name="Straight Arrow Connector 3724">
          <a:extLst>
            <a:ext uri="{FF2B5EF4-FFF2-40B4-BE49-F238E27FC236}">
              <a16:creationId xmlns:a16="http://schemas.microsoft.com/office/drawing/2014/main" id="{00000000-0008-0000-1200-00008D0E0000}"/>
            </a:ext>
          </a:extLst>
        </xdr:cNvPr>
        <xdr:cNvCxnSpPr/>
      </xdr:nvCxnSpPr>
      <xdr:spPr>
        <a:xfrm>
          <a:off x="11271250"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3726" name="Straight Arrow Connector 3725">
          <a:extLst>
            <a:ext uri="{FF2B5EF4-FFF2-40B4-BE49-F238E27FC236}">
              <a16:creationId xmlns:a16="http://schemas.microsoft.com/office/drawing/2014/main" id="{00000000-0008-0000-1200-00008E0E0000}"/>
            </a:ext>
          </a:extLst>
        </xdr:cNvPr>
        <xdr:cNvCxnSpPr/>
      </xdr:nvCxnSpPr>
      <xdr:spPr>
        <a:xfrm>
          <a:off x="11271250" y="124587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3727" name="Straight Arrow Connector 3726">
          <a:extLst>
            <a:ext uri="{FF2B5EF4-FFF2-40B4-BE49-F238E27FC236}">
              <a16:creationId xmlns:a16="http://schemas.microsoft.com/office/drawing/2014/main" id="{00000000-0008-0000-1200-00008F0E0000}"/>
            </a:ext>
          </a:extLst>
        </xdr:cNvPr>
        <xdr:cNvCxnSpPr/>
      </xdr:nvCxnSpPr>
      <xdr:spPr>
        <a:xfrm flipV="1">
          <a:off x="11271250"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3728" name="Straight Arrow Connector 3727">
          <a:extLst>
            <a:ext uri="{FF2B5EF4-FFF2-40B4-BE49-F238E27FC236}">
              <a16:creationId xmlns:a16="http://schemas.microsoft.com/office/drawing/2014/main" id="{00000000-0008-0000-1200-0000900E0000}"/>
            </a:ext>
          </a:extLst>
        </xdr:cNvPr>
        <xdr:cNvCxnSpPr/>
      </xdr:nvCxnSpPr>
      <xdr:spPr>
        <a:xfrm>
          <a:off x="11313583"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3729" name="Straight Arrow Connector 3728">
          <a:extLst>
            <a:ext uri="{FF2B5EF4-FFF2-40B4-BE49-F238E27FC236}">
              <a16:creationId xmlns:a16="http://schemas.microsoft.com/office/drawing/2014/main" id="{00000000-0008-0000-1200-0000910E0000}"/>
            </a:ext>
          </a:extLst>
        </xdr:cNvPr>
        <xdr:cNvCxnSpPr/>
      </xdr:nvCxnSpPr>
      <xdr:spPr>
        <a:xfrm>
          <a:off x="11292416"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730" name="Straight Arrow Connector 3729">
          <a:extLst>
            <a:ext uri="{FF2B5EF4-FFF2-40B4-BE49-F238E27FC236}">
              <a16:creationId xmlns:a16="http://schemas.microsoft.com/office/drawing/2014/main" id="{00000000-0008-0000-1200-0000920E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3731" name="Straight Arrow Connector 3730">
          <a:extLst>
            <a:ext uri="{FF2B5EF4-FFF2-40B4-BE49-F238E27FC236}">
              <a16:creationId xmlns:a16="http://schemas.microsoft.com/office/drawing/2014/main" id="{00000000-0008-0000-1200-0000930E0000}"/>
            </a:ext>
          </a:extLst>
        </xdr:cNvPr>
        <xdr:cNvCxnSpPr/>
      </xdr:nvCxnSpPr>
      <xdr:spPr>
        <a:xfrm>
          <a:off x="11302999" y="129921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3732" name="Straight Arrow Connector 3731">
          <a:extLst>
            <a:ext uri="{FF2B5EF4-FFF2-40B4-BE49-F238E27FC236}">
              <a16:creationId xmlns:a16="http://schemas.microsoft.com/office/drawing/2014/main" id="{00000000-0008-0000-1200-0000940E0000}"/>
            </a:ext>
          </a:extLst>
        </xdr:cNvPr>
        <xdr:cNvCxnSpPr/>
      </xdr:nvCxnSpPr>
      <xdr:spPr>
        <a:xfrm>
          <a:off x="11355916"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3733" name="Straight Arrow Connector 3732">
          <a:extLst>
            <a:ext uri="{FF2B5EF4-FFF2-40B4-BE49-F238E27FC236}">
              <a16:creationId xmlns:a16="http://schemas.microsoft.com/office/drawing/2014/main" id="{00000000-0008-0000-1200-0000950E0000}"/>
            </a:ext>
          </a:extLst>
        </xdr:cNvPr>
        <xdr:cNvCxnSpPr/>
      </xdr:nvCxnSpPr>
      <xdr:spPr>
        <a:xfrm>
          <a:off x="11313583"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3734" name="Straight Arrow Connector 3733">
          <a:extLst>
            <a:ext uri="{FF2B5EF4-FFF2-40B4-BE49-F238E27FC236}">
              <a16:creationId xmlns:a16="http://schemas.microsoft.com/office/drawing/2014/main" id="{00000000-0008-0000-1200-0000960E0000}"/>
            </a:ext>
          </a:extLst>
        </xdr:cNvPr>
        <xdr:cNvCxnSpPr/>
      </xdr:nvCxnSpPr>
      <xdr:spPr>
        <a:xfrm flipV="1">
          <a:off x="11324166"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1486</xdr:row>
      <xdr:rowOff>127000</xdr:rowOff>
    </xdr:from>
    <xdr:to>
      <xdr:col>8</xdr:col>
      <xdr:colOff>63500</xdr:colOff>
      <xdr:row>1505</xdr:row>
      <xdr:rowOff>0</xdr:rowOff>
    </xdr:to>
    <xdr:cxnSp macro="">
      <xdr:nvCxnSpPr>
        <xdr:cNvPr id="3735" name="Straight Arrow Connector 3734">
          <a:extLst>
            <a:ext uri="{FF2B5EF4-FFF2-40B4-BE49-F238E27FC236}">
              <a16:creationId xmlns:a16="http://schemas.microsoft.com/office/drawing/2014/main" id="{00000000-0008-0000-1200-0000970E0000}"/>
            </a:ext>
          </a:extLst>
        </xdr:cNvPr>
        <xdr:cNvCxnSpPr/>
      </xdr:nvCxnSpPr>
      <xdr:spPr>
        <a:xfrm flipV="1">
          <a:off x="5492750" y="1121410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825500</xdr:colOff>
      <xdr:row>1623</xdr:row>
      <xdr:rowOff>1</xdr:rowOff>
    </xdr:from>
    <xdr:to>
      <xdr:col>6</xdr:col>
      <xdr:colOff>0</xdr:colOff>
      <xdr:row>1657</xdr:row>
      <xdr:rowOff>116417</xdr:rowOff>
    </xdr:to>
    <xdr:cxnSp macro="">
      <xdr:nvCxnSpPr>
        <xdr:cNvPr id="3736" name="Straight Arrow Connector 3735">
          <a:extLst>
            <a:ext uri="{FF2B5EF4-FFF2-40B4-BE49-F238E27FC236}">
              <a16:creationId xmlns:a16="http://schemas.microsoft.com/office/drawing/2014/main" id="{00000000-0008-0000-1200-0000980E0000}"/>
            </a:ext>
          </a:extLst>
        </xdr:cNvPr>
        <xdr:cNvCxnSpPr/>
      </xdr:nvCxnSpPr>
      <xdr:spPr>
        <a:xfrm flipV="1">
          <a:off x="3810000" y="138684001"/>
          <a:ext cx="677333" cy="6593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21167</xdr:colOff>
      <xdr:row>1660</xdr:row>
      <xdr:rowOff>169334</xdr:rowOff>
    </xdr:from>
    <xdr:to>
      <xdr:col>5</xdr:col>
      <xdr:colOff>571500</xdr:colOff>
      <xdr:row>1729</xdr:row>
      <xdr:rowOff>0</xdr:rowOff>
    </xdr:to>
    <xdr:cxnSp macro="">
      <xdr:nvCxnSpPr>
        <xdr:cNvPr id="3737" name="Straight Arrow Connector 3736">
          <a:extLst>
            <a:ext uri="{FF2B5EF4-FFF2-40B4-BE49-F238E27FC236}">
              <a16:creationId xmlns:a16="http://schemas.microsoft.com/office/drawing/2014/main" id="{00000000-0008-0000-1200-0000990E0000}"/>
            </a:ext>
          </a:extLst>
        </xdr:cNvPr>
        <xdr:cNvCxnSpPr/>
      </xdr:nvCxnSpPr>
      <xdr:spPr>
        <a:xfrm>
          <a:off x="3894667" y="145901834"/>
          <a:ext cx="550333" cy="133244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1598</xdr:row>
      <xdr:rowOff>148167</xdr:rowOff>
    </xdr:from>
    <xdr:to>
      <xdr:col>7</xdr:col>
      <xdr:colOff>603250</xdr:colOff>
      <xdr:row>1620</xdr:row>
      <xdr:rowOff>31750</xdr:rowOff>
    </xdr:to>
    <xdr:cxnSp macro="">
      <xdr:nvCxnSpPr>
        <xdr:cNvPr id="3738" name="Straight Arrow Connector 3737">
          <a:extLst>
            <a:ext uri="{FF2B5EF4-FFF2-40B4-BE49-F238E27FC236}">
              <a16:creationId xmlns:a16="http://schemas.microsoft.com/office/drawing/2014/main" id="{00000000-0008-0000-1200-00009A0E0000}"/>
            </a:ext>
          </a:extLst>
        </xdr:cNvPr>
        <xdr:cNvCxnSpPr/>
      </xdr:nvCxnSpPr>
      <xdr:spPr>
        <a:xfrm flipV="1">
          <a:off x="5461000" y="133879167"/>
          <a:ext cx="603250" cy="42650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1623</xdr:row>
      <xdr:rowOff>10584</xdr:rowOff>
    </xdr:from>
    <xdr:to>
      <xdr:col>8</xdr:col>
      <xdr:colOff>21167</xdr:colOff>
      <xdr:row>1651</xdr:row>
      <xdr:rowOff>148166</xdr:rowOff>
    </xdr:to>
    <xdr:cxnSp macro="">
      <xdr:nvCxnSpPr>
        <xdr:cNvPr id="3739" name="Straight Arrow Connector 3738">
          <a:extLst>
            <a:ext uri="{FF2B5EF4-FFF2-40B4-BE49-F238E27FC236}">
              <a16:creationId xmlns:a16="http://schemas.microsoft.com/office/drawing/2014/main" id="{00000000-0008-0000-1200-00009B0E0000}"/>
            </a:ext>
          </a:extLst>
        </xdr:cNvPr>
        <xdr:cNvCxnSpPr/>
      </xdr:nvCxnSpPr>
      <xdr:spPr>
        <a:xfrm>
          <a:off x="5461000" y="138694584"/>
          <a:ext cx="635000" cy="547158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1590</xdr:row>
      <xdr:rowOff>137583</xdr:rowOff>
    </xdr:from>
    <xdr:to>
      <xdr:col>9</xdr:col>
      <xdr:colOff>603250</xdr:colOff>
      <xdr:row>1596</xdr:row>
      <xdr:rowOff>21166</xdr:rowOff>
    </xdr:to>
    <xdr:cxnSp macro="">
      <xdr:nvCxnSpPr>
        <xdr:cNvPr id="3740" name="Straight Arrow Connector 3739">
          <a:extLst>
            <a:ext uri="{FF2B5EF4-FFF2-40B4-BE49-F238E27FC236}">
              <a16:creationId xmlns:a16="http://schemas.microsoft.com/office/drawing/2014/main" id="{00000000-0008-0000-1200-00009C0E0000}"/>
            </a:ext>
          </a:extLst>
        </xdr:cNvPr>
        <xdr:cNvCxnSpPr/>
      </xdr:nvCxnSpPr>
      <xdr:spPr>
        <a:xfrm flipV="1">
          <a:off x="6688667" y="132344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1599</xdr:row>
      <xdr:rowOff>0</xdr:rowOff>
    </xdr:from>
    <xdr:to>
      <xdr:col>9</xdr:col>
      <xdr:colOff>582083</xdr:colOff>
      <xdr:row>1607</xdr:row>
      <xdr:rowOff>10583</xdr:rowOff>
    </xdr:to>
    <xdr:cxnSp macro="">
      <xdr:nvCxnSpPr>
        <xdr:cNvPr id="3741" name="Straight Arrow Connector 3740">
          <a:extLst>
            <a:ext uri="{FF2B5EF4-FFF2-40B4-BE49-F238E27FC236}">
              <a16:creationId xmlns:a16="http://schemas.microsoft.com/office/drawing/2014/main" id="{00000000-0008-0000-1200-00009D0E0000}"/>
            </a:ext>
          </a:extLst>
        </xdr:cNvPr>
        <xdr:cNvCxnSpPr/>
      </xdr:nvCxnSpPr>
      <xdr:spPr>
        <a:xfrm>
          <a:off x="6720417" y="133921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1604</xdr:row>
      <xdr:rowOff>169333</xdr:rowOff>
    </xdr:from>
    <xdr:to>
      <xdr:col>11</xdr:col>
      <xdr:colOff>603250</xdr:colOff>
      <xdr:row>1607</xdr:row>
      <xdr:rowOff>21167</xdr:rowOff>
    </xdr:to>
    <xdr:cxnSp macro="">
      <xdr:nvCxnSpPr>
        <xdr:cNvPr id="3742" name="Straight Arrow Connector 3741">
          <a:extLst>
            <a:ext uri="{FF2B5EF4-FFF2-40B4-BE49-F238E27FC236}">
              <a16:creationId xmlns:a16="http://schemas.microsoft.com/office/drawing/2014/main" id="{00000000-0008-0000-1200-00009E0E0000}"/>
            </a:ext>
          </a:extLst>
        </xdr:cNvPr>
        <xdr:cNvCxnSpPr/>
      </xdr:nvCxnSpPr>
      <xdr:spPr>
        <a:xfrm flipV="1">
          <a:off x="7937500" y="135043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1610</xdr:row>
      <xdr:rowOff>42333</xdr:rowOff>
    </xdr:from>
    <xdr:to>
      <xdr:col>11</xdr:col>
      <xdr:colOff>603250</xdr:colOff>
      <xdr:row>1622</xdr:row>
      <xdr:rowOff>10583</xdr:rowOff>
    </xdr:to>
    <xdr:cxnSp macro="">
      <xdr:nvCxnSpPr>
        <xdr:cNvPr id="3743" name="Straight Arrow Connector 3742">
          <a:extLst>
            <a:ext uri="{FF2B5EF4-FFF2-40B4-BE49-F238E27FC236}">
              <a16:creationId xmlns:a16="http://schemas.microsoft.com/office/drawing/2014/main" id="{00000000-0008-0000-1200-00009F0E0000}"/>
            </a:ext>
          </a:extLst>
        </xdr:cNvPr>
        <xdr:cNvCxnSpPr/>
      </xdr:nvCxnSpPr>
      <xdr:spPr>
        <a:xfrm>
          <a:off x="7926917" y="136059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1600</xdr:row>
      <xdr:rowOff>21167</xdr:rowOff>
    </xdr:from>
    <xdr:to>
      <xdr:col>13</xdr:col>
      <xdr:colOff>592667</xdr:colOff>
      <xdr:row>1602</xdr:row>
      <xdr:rowOff>0</xdr:rowOff>
    </xdr:to>
    <xdr:cxnSp macro="">
      <xdr:nvCxnSpPr>
        <xdr:cNvPr id="3744" name="Straight Arrow Connector 3743">
          <a:extLst>
            <a:ext uri="{FF2B5EF4-FFF2-40B4-BE49-F238E27FC236}">
              <a16:creationId xmlns:a16="http://schemas.microsoft.com/office/drawing/2014/main" id="{00000000-0008-0000-1200-0000A00E0000}"/>
            </a:ext>
          </a:extLst>
        </xdr:cNvPr>
        <xdr:cNvCxnSpPr/>
      </xdr:nvCxnSpPr>
      <xdr:spPr>
        <a:xfrm flipV="1">
          <a:off x="9133417" y="134133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1605</xdr:row>
      <xdr:rowOff>21166</xdr:rowOff>
    </xdr:from>
    <xdr:to>
      <xdr:col>13</xdr:col>
      <xdr:colOff>592667</xdr:colOff>
      <xdr:row>1606</xdr:row>
      <xdr:rowOff>169334</xdr:rowOff>
    </xdr:to>
    <xdr:cxnSp macro="">
      <xdr:nvCxnSpPr>
        <xdr:cNvPr id="3745" name="Straight Arrow Connector 3744">
          <a:extLst>
            <a:ext uri="{FF2B5EF4-FFF2-40B4-BE49-F238E27FC236}">
              <a16:creationId xmlns:a16="http://schemas.microsoft.com/office/drawing/2014/main" id="{00000000-0008-0000-1200-0000A10E0000}"/>
            </a:ext>
          </a:extLst>
        </xdr:cNvPr>
        <xdr:cNvCxnSpPr/>
      </xdr:nvCxnSpPr>
      <xdr:spPr>
        <a:xfrm>
          <a:off x="9122833" y="135085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1620</xdr:row>
      <xdr:rowOff>21167</xdr:rowOff>
    </xdr:from>
    <xdr:to>
      <xdr:col>13</xdr:col>
      <xdr:colOff>592667</xdr:colOff>
      <xdr:row>1622</xdr:row>
      <xdr:rowOff>63500</xdr:rowOff>
    </xdr:to>
    <xdr:cxnSp macro="">
      <xdr:nvCxnSpPr>
        <xdr:cNvPr id="3746" name="Straight Arrow Connector 3745">
          <a:extLst>
            <a:ext uri="{FF2B5EF4-FFF2-40B4-BE49-F238E27FC236}">
              <a16:creationId xmlns:a16="http://schemas.microsoft.com/office/drawing/2014/main" id="{00000000-0008-0000-1200-0000A20E0000}"/>
            </a:ext>
          </a:extLst>
        </xdr:cNvPr>
        <xdr:cNvCxnSpPr/>
      </xdr:nvCxnSpPr>
      <xdr:spPr>
        <a:xfrm flipV="1">
          <a:off x="9525000" y="138133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1625</xdr:row>
      <xdr:rowOff>0</xdr:rowOff>
    </xdr:from>
    <xdr:to>
      <xdr:col>14</xdr:col>
      <xdr:colOff>10584</xdr:colOff>
      <xdr:row>1633</xdr:row>
      <xdr:rowOff>148167</xdr:rowOff>
    </xdr:to>
    <xdr:cxnSp macro="">
      <xdr:nvCxnSpPr>
        <xdr:cNvPr id="3747" name="Straight Arrow Connector 3746">
          <a:extLst>
            <a:ext uri="{FF2B5EF4-FFF2-40B4-BE49-F238E27FC236}">
              <a16:creationId xmlns:a16="http://schemas.microsoft.com/office/drawing/2014/main" id="{00000000-0008-0000-1200-0000A30E0000}"/>
            </a:ext>
          </a:extLst>
        </xdr:cNvPr>
        <xdr:cNvCxnSpPr/>
      </xdr:nvCxnSpPr>
      <xdr:spPr>
        <a:xfrm>
          <a:off x="9535583" y="139065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1592</xdr:row>
      <xdr:rowOff>0</xdr:rowOff>
    </xdr:from>
    <xdr:to>
      <xdr:col>15</xdr:col>
      <xdr:colOff>603250</xdr:colOff>
      <xdr:row>1597</xdr:row>
      <xdr:rowOff>31750</xdr:rowOff>
    </xdr:to>
    <xdr:cxnSp macro="">
      <xdr:nvCxnSpPr>
        <xdr:cNvPr id="3748" name="Straight Arrow Connector 3747">
          <a:extLst>
            <a:ext uri="{FF2B5EF4-FFF2-40B4-BE49-F238E27FC236}">
              <a16:creationId xmlns:a16="http://schemas.microsoft.com/office/drawing/2014/main" id="{00000000-0008-0000-1200-0000A40E0000}"/>
            </a:ext>
          </a:extLst>
        </xdr:cNvPr>
        <xdr:cNvCxnSpPr/>
      </xdr:nvCxnSpPr>
      <xdr:spPr>
        <a:xfrm flipV="1">
          <a:off x="11281833" y="132588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1595</xdr:row>
      <xdr:rowOff>52917</xdr:rowOff>
    </xdr:from>
    <xdr:to>
      <xdr:col>15</xdr:col>
      <xdr:colOff>603250</xdr:colOff>
      <xdr:row>1597</xdr:row>
      <xdr:rowOff>95250</xdr:rowOff>
    </xdr:to>
    <xdr:cxnSp macro="">
      <xdr:nvCxnSpPr>
        <xdr:cNvPr id="3749" name="Straight Arrow Connector 3748">
          <a:extLst>
            <a:ext uri="{FF2B5EF4-FFF2-40B4-BE49-F238E27FC236}">
              <a16:creationId xmlns:a16="http://schemas.microsoft.com/office/drawing/2014/main" id="{00000000-0008-0000-1200-0000A50E0000}"/>
            </a:ext>
          </a:extLst>
        </xdr:cNvPr>
        <xdr:cNvCxnSpPr/>
      </xdr:nvCxnSpPr>
      <xdr:spPr>
        <a:xfrm flipV="1">
          <a:off x="11324166" y="133212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1597</xdr:row>
      <xdr:rowOff>158750</xdr:rowOff>
    </xdr:from>
    <xdr:to>
      <xdr:col>15</xdr:col>
      <xdr:colOff>582083</xdr:colOff>
      <xdr:row>1598</xdr:row>
      <xdr:rowOff>137583</xdr:rowOff>
    </xdr:to>
    <xdr:cxnSp macro="">
      <xdr:nvCxnSpPr>
        <xdr:cNvPr id="3750" name="Straight Arrow Connector 3749">
          <a:extLst>
            <a:ext uri="{FF2B5EF4-FFF2-40B4-BE49-F238E27FC236}">
              <a16:creationId xmlns:a16="http://schemas.microsoft.com/office/drawing/2014/main" id="{00000000-0008-0000-1200-0000A60E0000}"/>
            </a:ext>
          </a:extLst>
        </xdr:cNvPr>
        <xdr:cNvCxnSpPr/>
      </xdr:nvCxnSpPr>
      <xdr:spPr>
        <a:xfrm>
          <a:off x="11345333" y="133699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1597</xdr:row>
      <xdr:rowOff>105834</xdr:rowOff>
    </xdr:from>
    <xdr:to>
      <xdr:col>16</xdr:col>
      <xdr:colOff>0</xdr:colOff>
      <xdr:row>1601</xdr:row>
      <xdr:rowOff>84667</xdr:rowOff>
    </xdr:to>
    <xdr:cxnSp macro="">
      <xdr:nvCxnSpPr>
        <xdr:cNvPr id="3751" name="Straight Arrow Connector 3750">
          <a:extLst>
            <a:ext uri="{FF2B5EF4-FFF2-40B4-BE49-F238E27FC236}">
              <a16:creationId xmlns:a16="http://schemas.microsoft.com/office/drawing/2014/main" id="{00000000-0008-0000-1200-0000A70E0000}"/>
            </a:ext>
          </a:extLst>
        </xdr:cNvPr>
        <xdr:cNvCxnSpPr/>
      </xdr:nvCxnSpPr>
      <xdr:spPr>
        <a:xfrm>
          <a:off x="11260667" y="133646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1605</xdr:row>
      <xdr:rowOff>52916</xdr:rowOff>
    </xdr:from>
    <xdr:to>
      <xdr:col>16</xdr:col>
      <xdr:colOff>0</xdr:colOff>
      <xdr:row>1607</xdr:row>
      <xdr:rowOff>0</xdr:rowOff>
    </xdr:to>
    <xdr:cxnSp macro="">
      <xdr:nvCxnSpPr>
        <xdr:cNvPr id="3752" name="Straight Arrow Connector 3751">
          <a:extLst>
            <a:ext uri="{FF2B5EF4-FFF2-40B4-BE49-F238E27FC236}">
              <a16:creationId xmlns:a16="http://schemas.microsoft.com/office/drawing/2014/main" id="{00000000-0008-0000-1200-0000A80E0000}"/>
            </a:ext>
          </a:extLst>
        </xdr:cNvPr>
        <xdr:cNvCxnSpPr/>
      </xdr:nvCxnSpPr>
      <xdr:spPr>
        <a:xfrm flipV="1">
          <a:off x="11281833" y="135117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1607</xdr:row>
      <xdr:rowOff>21167</xdr:rowOff>
    </xdr:from>
    <xdr:to>
      <xdr:col>15</xdr:col>
      <xdr:colOff>582083</xdr:colOff>
      <xdr:row>1608</xdr:row>
      <xdr:rowOff>42333</xdr:rowOff>
    </xdr:to>
    <xdr:cxnSp macro="">
      <xdr:nvCxnSpPr>
        <xdr:cNvPr id="3753" name="Straight Arrow Connector 3752">
          <a:extLst>
            <a:ext uri="{FF2B5EF4-FFF2-40B4-BE49-F238E27FC236}">
              <a16:creationId xmlns:a16="http://schemas.microsoft.com/office/drawing/2014/main" id="{00000000-0008-0000-1200-0000A90E0000}"/>
            </a:ext>
          </a:extLst>
        </xdr:cNvPr>
        <xdr:cNvCxnSpPr/>
      </xdr:nvCxnSpPr>
      <xdr:spPr>
        <a:xfrm>
          <a:off x="11292416" y="135466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1607</xdr:row>
      <xdr:rowOff>21167</xdr:rowOff>
    </xdr:from>
    <xdr:to>
      <xdr:col>16</xdr:col>
      <xdr:colOff>42333</xdr:colOff>
      <xdr:row>1612</xdr:row>
      <xdr:rowOff>21168</xdr:rowOff>
    </xdr:to>
    <xdr:cxnSp macro="">
      <xdr:nvCxnSpPr>
        <xdr:cNvPr id="3754" name="Straight Arrow Connector 3753">
          <a:extLst>
            <a:ext uri="{FF2B5EF4-FFF2-40B4-BE49-F238E27FC236}">
              <a16:creationId xmlns:a16="http://schemas.microsoft.com/office/drawing/2014/main" id="{00000000-0008-0000-1200-0000AA0E0000}"/>
            </a:ext>
          </a:extLst>
        </xdr:cNvPr>
        <xdr:cNvCxnSpPr/>
      </xdr:nvCxnSpPr>
      <xdr:spPr>
        <a:xfrm>
          <a:off x="11271250" y="135466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755" name="Straight Arrow Connector 3754">
          <a:extLst>
            <a:ext uri="{FF2B5EF4-FFF2-40B4-BE49-F238E27FC236}">
              <a16:creationId xmlns:a16="http://schemas.microsoft.com/office/drawing/2014/main" id="{00000000-0008-0000-1200-0000AB0E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1644</xdr:row>
      <xdr:rowOff>42333</xdr:rowOff>
    </xdr:from>
    <xdr:to>
      <xdr:col>9</xdr:col>
      <xdr:colOff>592666</xdr:colOff>
      <xdr:row>1652</xdr:row>
      <xdr:rowOff>42333</xdr:rowOff>
    </xdr:to>
    <xdr:cxnSp macro="">
      <xdr:nvCxnSpPr>
        <xdr:cNvPr id="3756" name="Straight Arrow Connector 3755">
          <a:extLst>
            <a:ext uri="{FF2B5EF4-FFF2-40B4-BE49-F238E27FC236}">
              <a16:creationId xmlns:a16="http://schemas.microsoft.com/office/drawing/2014/main" id="{00000000-0008-0000-1200-0000AC0E0000}"/>
            </a:ext>
          </a:extLst>
        </xdr:cNvPr>
        <xdr:cNvCxnSpPr/>
      </xdr:nvCxnSpPr>
      <xdr:spPr>
        <a:xfrm flipV="1">
          <a:off x="6699250" y="142726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1654</xdr:row>
      <xdr:rowOff>169334</xdr:rowOff>
    </xdr:from>
    <xdr:to>
      <xdr:col>9</xdr:col>
      <xdr:colOff>603250</xdr:colOff>
      <xdr:row>1663</xdr:row>
      <xdr:rowOff>31750</xdr:rowOff>
    </xdr:to>
    <xdr:cxnSp macro="">
      <xdr:nvCxnSpPr>
        <xdr:cNvPr id="3757" name="Straight Arrow Connector 3756">
          <a:extLst>
            <a:ext uri="{FF2B5EF4-FFF2-40B4-BE49-F238E27FC236}">
              <a16:creationId xmlns:a16="http://schemas.microsoft.com/office/drawing/2014/main" id="{00000000-0008-0000-1200-0000AD0E0000}"/>
            </a:ext>
          </a:extLst>
        </xdr:cNvPr>
        <xdr:cNvCxnSpPr/>
      </xdr:nvCxnSpPr>
      <xdr:spPr>
        <a:xfrm>
          <a:off x="6720417" y="144758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1660</xdr:row>
      <xdr:rowOff>158750</xdr:rowOff>
    </xdr:from>
    <xdr:to>
      <xdr:col>11</xdr:col>
      <xdr:colOff>571500</xdr:colOff>
      <xdr:row>1663</xdr:row>
      <xdr:rowOff>0</xdr:rowOff>
    </xdr:to>
    <xdr:cxnSp macro="">
      <xdr:nvCxnSpPr>
        <xdr:cNvPr id="3758" name="Straight Arrow Connector 3757">
          <a:extLst>
            <a:ext uri="{FF2B5EF4-FFF2-40B4-BE49-F238E27FC236}">
              <a16:creationId xmlns:a16="http://schemas.microsoft.com/office/drawing/2014/main" id="{00000000-0008-0000-1200-0000AE0E0000}"/>
            </a:ext>
          </a:extLst>
        </xdr:cNvPr>
        <xdr:cNvCxnSpPr/>
      </xdr:nvCxnSpPr>
      <xdr:spPr>
        <a:xfrm flipV="1">
          <a:off x="7874000" y="145891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1618</xdr:row>
      <xdr:rowOff>0</xdr:rowOff>
    </xdr:from>
    <xdr:to>
      <xdr:col>15</xdr:col>
      <xdr:colOff>603250</xdr:colOff>
      <xdr:row>1620</xdr:row>
      <xdr:rowOff>1</xdr:rowOff>
    </xdr:to>
    <xdr:cxnSp macro="">
      <xdr:nvCxnSpPr>
        <xdr:cNvPr id="3759" name="Straight Arrow Connector 3758">
          <a:extLst>
            <a:ext uri="{FF2B5EF4-FFF2-40B4-BE49-F238E27FC236}">
              <a16:creationId xmlns:a16="http://schemas.microsoft.com/office/drawing/2014/main" id="{00000000-0008-0000-1200-0000AF0E0000}"/>
            </a:ext>
          </a:extLst>
        </xdr:cNvPr>
        <xdr:cNvCxnSpPr/>
      </xdr:nvCxnSpPr>
      <xdr:spPr>
        <a:xfrm flipV="1">
          <a:off x="11271250" y="137731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1620</xdr:row>
      <xdr:rowOff>10584</xdr:rowOff>
    </xdr:from>
    <xdr:to>
      <xdr:col>15</xdr:col>
      <xdr:colOff>592666</xdr:colOff>
      <xdr:row>1621</xdr:row>
      <xdr:rowOff>95250</xdr:rowOff>
    </xdr:to>
    <xdr:cxnSp macro="">
      <xdr:nvCxnSpPr>
        <xdr:cNvPr id="3760" name="Straight Arrow Connector 3759">
          <a:extLst>
            <a:ext uri="{FF2B5EF4-FFF2-40B4-BE49-F238E27FC236}">
              <a16:creationId xmlns:a16="http://schemas.microsoft.com/office/drawing/2014/main" id="{00000000-0008-0000-1200-0000B00E0000}"/>
            </a:ext>
          </a:extLst>
        </xdr:cNvPr>
        <xdr:cNvCxnSpPr/>
      </xdr:nvCxnSpPr>
      <xdr:spPr>
        <a:xfrm>
          <a:off x="11313583" y="138123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1620</xdr:row>
      <xdr:rowOff>10584</xdr:rowOff>
    </xdr:from>
    <xdr:to>
      <xdr:col>15</xdr:col>
      <xdr:colOff>560916</xdr:colOff>
      <xdr:row>1624</xdr:row>
      <xdr:rowOff>52917</xdr:rowOff>
    </xdr:to>
    <xdr:cxnSp macro="">
      <xdr:nvCxnSpPr>
        <xdr:cNvPr id="3761" name="Straight Arrow Connector 3760">
          <a:extLst>
            <a:ext uri="{FF2B5EF4-FFF2-40B4-BE49-F238E27FC236}">
              <a16:creationId xmlns:a16="http://schemas.microsoft.com/office/drawing/2014/main" id="{00000000-0008-0000-1200-0000B10E0000}"/>
            </a:ext>
          </a:extLst>
        </xdr:cNvPr>
        <xdr:cNvCxnSpPr/>
      </xdr:nvCxnSpPr>
      <xdr:spPr>
        <a:xfrm>
          <a:off x="11292416" y="138123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762" name="Straight Arrow Connector 3761">
          <a:extLst>
            <a:ext uri="{FF2B5EF4-FFF2-40B4-BE49-F238E27FC236}">
              <a16:creationId xmlns:a16="http://schemas.microsoft.com/office/drawing/2014/main" id="{00000000-0008-0000-1200-0000B20E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1634</xdr:row>
      <xdr:rowOff>0</xdr:rowOff>
    </xdr:from>
    <xdr:to>
      <xdr:col>16</xdr:col>
      <xdr:colOff>0</xdr:colOff>
      <xdr:row>1634</xdr:row>
      <xdr:rowOff>42334</xdr:rowOff>
    </xdr:to>
    <xdr:cxnSp macro="">
      <xdr:nvCxnSpPr>
        <xdr:cNvPr id="3763" name="Straight Arrow Connector 3762">
          <a:extLst>
            <a:ext uri="{FF2B5EF4-FFF2-40B4-BE49-F238E27FC236}">
              <a16:creationId xmlns:a16="http://schemas.microsoft.com/office/drawing/2014/main" id="{00000000-0008-0000-1200-0000B30E0000}"/>
            </a:ext>
          </a:extLst>
        </xdr:cNvPr>
        <xdr:cNvCxnSpPr/>
      </xdr:nvCxnSpPr>
      <xdr:spPr>
        <a:xfrm>
          <a:off x="11302999" y="140779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1634</xdr:row>
      <xdr:rowOff>21166</xdr:rowOff>
    </xdr:from>
    <xdr:to>
      <xdr:col>15</xdr:col>
      <xdr:colOff>560916</xdr:colOff>
      <xdr:row>1637</xdr:row>
      <xdr:rowOff>84667</xdr:rowOff>
    </xdr:to>
    <xdr:cxnSp macro="">
      <xdr:nvCxnSpPr>
        <xdr:cNvPr id="3764" name="Straight Arrow Connector 3763">
          <a:extLst>
            <a:ext uri="{FF2B5EF4-FFF2-40B4-BE49-F238E27FC236}">
              <a16:creationId xmlns:a16="http://schemas.microsoft.com/office/drawing/2014/main" id="{00000000-0008-0000-1200-0000B40E0000}"/>
            </a:ext>
          </a:extLst>
        </xdr:cNvPr>
        <xdr:cNvCxnSpPr/>
      </xdr:nvCxnSpPr>
      <xdr:spPr>
        <a:xfrm>
          <a:off x="11355916" y="140800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1634</xdr:row>
      <xdr:rowOff>52916</xdr:rowOff>
    </xdr:from>
    <xdr:to>
      <xdr:col>15</xdr:col>
      <xdr:colOff>592666</xdr:colOff>
      <xdr:row>1640</xdr:row>
      <xdr:rowOff>63501</xdr:rowOff>
    </xdr:to>
    <xdr:cxnSp macro="">
      <xdr:nvCxnSpPr>
        <xdr:cNvPr id="3765" name="Straight Arrow Connector 3764">
          <a:extLst>
            <a:ext uri="{FF2B5EF4-FFF2-40B4-BE49-F238E27FC236}">
              <a16:creationId xmlns:a16="http://schemas.microsoft.com/office/drawing/2014/main" id="{00000000-0008-0000-1200-0000B50E0000}"/>
            </a:ext>
          </a:extLst>
        </xdr:cNvPr>
        <xdr:cNvCxnSpPr/>
      </xdr:nvCxnSpPr>
      <xdr:spPr>
        <a:xfrm>
          <a:off x="11313583" y="140832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1648</xdr:row>
      <xdr:rowOff>116416</xdr:rowOff>
    </xdr:from>
    <xdr:to>
      <xdr:col>15</xdr:col>
      <xdr:colOff>592666</xdr:colOff>
      <xdr:row>1651</xdr:row>
      <xdr:rowOff>158750</xdr:rowOff>
    </xdr:to>
    <xdr:cxnSp macro="">
      <xdr:nvCxnSpPr>
        <xdr:cNvPr id="3766" name="Straight Arrow Connector 3765">
          <a:extLst>
            <a:ext uri="{FF2B5EF4-FFF2-40B4-BE49-F238E27FC236}">
              <a16:creationId xmlns:a16="http://schemas.microsoft.com/office/drawing/2014/main" id="{00000000-0008-0000-1200-0000B60E0000}"/>
            </a:ext>
          </a:extLst>
        </xdr:cNvPr>
        <xdr:cNvCxnSpPr/>
      </xdr:nvCxnSpPr>
      <xdr:spPr>
        <a:xfrm flipV="1">
          <a:off x="11302999" y="143562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1650</xdr:row>
      <xdr:rowOff>95250</xdr:rowOff>
    </xdr:from>
    <xdr:to>
      <xdr:col>15</xdr:col>
      <xdr:colOff>582083</xdr:colOff>
      <xdr:row>1652</xdr:row>
      <xdr:rowOff>52917</xdr:rowOff>
    </xdr:to>
    <xdr:cxnSp macro="">
      <xdr:nvCxnSpPr>
        <xdr:cNvPr id="3767" name="Straight Arrow Connector 3766">
          <a:extLst>
            <a:ext uri="{FF2B5EF4-FFF2-40B4-BE49-F238E27FC236}">
              <a16:creationId xmlns:a16="http://schemas.microsoft.com/office/drawing/2014/main" id="{00000000-0008-0000-1200-0000B70E0000}"/>
            </a:ext>
          </a:extLst>
        </xdr:cNvPr>
        <xdr:cNvCxnSpPr/>
      </xdr:nvCxnSpPr>
      <xdr:spPr>
        <a:xfrm flipV="1">
          <a:off x="11345333" y="143922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116417</xdr:rowOff>
    </xdr:from>
    <xdr:to>
      <xdr:col>15</xdr:col>
      <xdr:colOff>592666</xdr:colOff>
      <xdr:row>1656</xdr:row>
      <xdr:rowOff>95250</xdr:rowOff>
    </xdr:to>
    <xdr:cxnSp macro="">
      <xdr:nvCxnSpPr>
        <xdr:cNvPr id="3768" name="Straight Arrow Connector 3767">
          <a:extLst>
            <a:ext uri="{FF2B5EF4-FFF2-40B4-BE49-F238E27FC236}">
              <a16:creationId xmlns:a16="http://schemas.microsoft.com/office/drawing/2014/main" id="{00000000-0008-0000-1200-0000B80E0000}"/>
            </a:ext>
          </a:extLst>
        </xdr:cNvPr>
        <xdr:cNvCxnSpPr/>
      </xdr:nvCxnSpPr>
      <xdr:spPr>
        <a:xfrm>
          <a:off x="11334749" y="144324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1663</xdr:row>
      <xdr:rowOff>116416</xdr:rowOff>
    </xdr:from>
    <xdr:to>
      <xdr:col>16</xdr:col>
      <xdr:colOff>0</xdr:colOff>
      <xdr:row>1670</xdr:row>
      <xdr:rowOff>74084</xdr:rowOff>
    </xdr:to>
    <xdr:cxnSp macro="">
      <xdr:nvCxnSpPr>
        <xdr:cNvPr id="3769" name="Straight Arrow Connector 3768">
          <a:extLst>
            <a:ext uri="{FF2B5EF4-FFF2-40B4-BE49-F238E27FC236}">
              <a16:creationId xmlns:a16="http://schemas.microsoft.com/office/drawing/2014/main" id="{00000000-0008-0000-1200-0000B90E0000}"/>
            </a:ext>
          </a:extLst>
        </xdr:cNvPr>
        <xdr:cNvCxnSpPr/>
      </xdr:nvCxnSpPr>
      <xdr:spPr>
        <a:xfrm>
          <a:off x="11313583" y="146420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1631</xdr:row>
      <xdr:rowOff>52917</xdr:rowOff>
    </xdr:from>
    <xdr:to>
      <xdr:col>15</xdr:col>
      <xdr:colOff>603250</xdr:colOff>
      <xdr:row>1633</xdr:row>
      <xdr:rowOff>148167</xdr:rowOff>
    </xdr:to>
    <xdr:cxnSp macro="">
      <xdr:nvCxnSpPr>
        <xdr:cNvPr id="3770" name="Straight Arrow Connector 3769">
          <a:extLst>
            <a:ext uri="{FF2B5EF4-FFF2-40B4-BE49-F238E27FC236}">
              <a16:creationId xmlns:a16="http://schemas.microsoft.com/office/drawing/2014/main" id="{00000000-0008-0000-1200-0000BA0E0000}"/>
            </a:ext>
          </a:extLst>
        </xdr:cNvPr>
        <xdr:cNvCxnSpPr/>
      </xdr:nvCxnSpPr>
      <xdr:spPr>
        <a:xfrm flipV="1">
          <a:off x="11324166" y="140260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1666</xdr:row>
      <xdr:rowOff>42333</xdr:rowOff>
    </xdr:from>
    <xdr:to>
      <xdr:col>11</xdr:col>
      <xdr:colOff>603250</xdr:colOff>
      <xdr:row>1678</xdr:row>
      <xdr:rowOff>10583</xdr:rowOff>
    </xdr:to>
    <xdr:cxnSp macro="">
      <xdr:nvCxnSpPr>
        <xdr:cNvPr id="3771" name="Straight Arrow Connector 3770">
          <a:extLst>
            <a:ext uri="{FF2B5EF4-FFF2-40B4-BE49-F238E27FC236}">
              <a16:creationId xmlns:a16="http://schemas.microsoft.com/office/drawing/2014/main" id="{00000000-0008-0000-1200-0000BB0E0000}"/>
            </a:ext>
          </a:extLst>
        </xdr:cNvPr>
        <xdr:cNvCxnSpPr/>
      </xdr:nvCxnSpPr>
      <xdr:spPr>
        <a:xfrm>
          <a:off x="7926917" y="146917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1656</xdr:row>
      <xdr:rowOff>21167</xdr:rowOff>
    </xdr:from>
    <xdr:to>
      <xdr:col>13</xdr:col>
      <xdr:colOff>592667</xdr:colOff>
      <xdr:row>1658</xdr:row>
      <xdr:rowOff>0</xdr:rowOff>
    </xdr:to>
    <xdr:cxnSp macro="">
      <xdr:nvCxnSpPr>
        <xdr:cNvPr id="3772" name="Straight Arrow Connector 3771">
          <a:extLst>
            <a:ext uri="{FF2B5EF4-FFF2-40B4-BE49-F238E27FC236}">
              <a16:creationId xmlns:a16="http://schemas.microsoft.com/office/drawing/2014/main" id="{00000000-0008-0000-1200-0000BC0E0000}"/>
            </a:ext>
          </a:extLst>
        </xdr:cNvPr>
        <xdr:cNvCxnSpPr/>
      </xdr:nvCxnSpPr>
      <xdr:spPr>
        <a:xfrm flipV="1">
          <a:off x="9133417" y="144991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1661</xdr:row>
      <xdr:rowOff>21166</xdr:rowOff>
    </xdr:from>
    <xdr:to>
      <xdr:col>13</xdr:col>
      <xdr:colOff>592667</xdr:colOff>
      <xdr:row>1662</xdr:row>
      <xdr:rowOff>169334</xdr:rowOff>
    </xdr:to>
    <xdr:cxnSp macro="">
      <xdr:nvCxnSpPr>
        <xdr:cNvPr id="3773" name="Straight Arrow Connector 3772">
          <a:extLst>
            <a:ext uri="{FF2B5EF4-FFF2-40B4-BE49-F238E27FC236}">
              <a16:creationId xmlns:a16="http://schemas.microsoft.com/office/drawing/2014/main" id="{00000000-0008-0000-1200-0000BD0E0000}"/>
            </a:ext>
          </a:extLst>
        </xdr:cNvPr>
        <xdr:cNvCxnSpPr/>
      </xdr:nvCxnSpPr>
      <xdr:spPr>
        <a:xfrm>
          <a:off x="9122833" y="145944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1676</xdr:row>
      <xdr:rowOff>21167</xdr:rowOff>
    </xdr:from>
    <xdr:to>
      <xdr:col>13</xdr:col>
      <xdr:colOff>592667</xdr:colOff>
      <xdr:row>1678</xdr:row>
      <xdr:rowOff>63500</xdr:rowOff>
    </xdr:to>
    <xdr:cxnSp macro="">
      <xdr:nvCxnSpPr>
        <xdr:cNvPr id="3774" name="Straight Arrow Connector 3773">
          <a:extLst>
            <a:ext uri="{FF2B5EF4-FFF2-40B4-BE49-F238E27FC236}">
              <a16:creationId xmlns:a16="http://schemas.microsoft.com/office/drawing/2014/main" id="{00000000-0008-0000-1200-0000BE0E0000}"/>
            </a:ext>
          </a:extLst>
        </xdr:cNvPr>
        <xdr:cNvCxnSpPr/>
      </xdr:nvCxnSpPr>
      <xdr:spPr>
        <a:xfrm flipV="1">
          <a:off x="9525000" y="148992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1681</xdr:row>
      <xdr:rowOff>0</xdr:rowOff>
    </xdr:from>
    <xdr:to>
      <xdr:col>14</xdr:col>
      <xdr:colOff>10584</xdr:colOff>
      <xdr:row>1689</xdr:row>
      <xdr:rowOff>148167</xdr:rowOff>
    </xdr:to>
    <xdr:cxnSp macro="">
      <xdr:nvCxnSpPr>
        <xdr:cNvPr id="3775" name="Straight Arrow Connector 3774">
          <a:extLst>
            <a:ext uri="{FF2B5EF4-FFF2-40B4-BE49-F238E27FC236}">
              <a16:creationId xmlns:a16="http://schemas.microsoft.com/office/drawing/2014/main" id="{00000000-0008-0000-1200-0000BF0E0000}"/>
            </a:ext>
          </a:extLst>
        </xdr:cNvPr>
        <xdr:cNvCxnSpPr/>
      </xdr:nvCxnSpPr>
      <xdr:spPr>
        <a:xfrm>
          <a:off x="9535583" y="149923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1652</xdr:row>
      <xdr:rowOff>95250</xdr:rowOff>
    </xdr:from>
    <xdr:to>
      <xdr:col>15</xdr:col>
      <xdr:colOff>582083</xdr:colOff>
      <xdr:row>1654</xdr:row>
      <xdr:rowOff>137583</xdr:rowOff>
    </xdr:to>
    <xdr:cxnSp macro="">
      <xdr:nvCxnSpPr>
        <xdr:cNvPr id="3776" name="Straight Arrow Connector 3775">
          <a:extLst>
            <a:ext uri="{FF2B5EF4-FFF2-40B4-BE49-F238E27FC236}">
              <a16:creationId xmlns:a16="http://schemas.microsoft.com/office/drawing/2014/main" id="{00000000-0008-0000-1200-0000C00E0000}"/>
            </a:ext>
          </a:extLst>
        </xdr:cNvPr>
        <xdr:cNvCxnSpPr/>
      </xdr:nvCxnSpPr>
      <xdr:spPr>
        <a:xfrm>
          <a:off x="11334749" y="144303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1661</xdr:row>
      <xdr:rowOff>52916</xdr:rowOff>
    </xdr:from>
    <xdr:to>
      <xdr:col>16</xdr:col>
      <xdr:colOff>0</xdr:colOff>
      <xdr:row>1663</xdr:row>
      <xdr:rowOff>0</xdr:rowOff>
    </xdr:to>
    <xdr:cxnSp macro="">
      <xdr:nvCxnSpPr>
        <xdr:cNvPr id="3777" name="Straight Arrow Connector 3776">
          <a:extLst>
            <a:ext uri="{FF2B5EF4-FFF2-40B4-BE49-F238E27FC236}">
              <a16:creationId xmlns:a16="http://schemas.microsoft.com/office/drawing/2014/main" id="{00000000-0008-0000-1200-0000C10E0000}"/>
            </a:ext>
          </a:extLst>
        </xdr:cNvPr>
        <xdr:cNvCxnSpPr/>
      </xdr:nvCxnSpPr>
      <xdr:spPr>
        <a:xfrm flipV="1">
          <a:off x="11281833" y="145975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21167</xdr:rowOff>
    </xdr:from>
    <xdr:to>
      <xdr:col>15</xdr:col>
      <xdr:colOff>592666</xdr:colOff>
      <xdr:row>1664</xdr:row>
      <xdr:rowOff>84667</xdr:rowOff>
    </xdr:to>
    <xdr:cxnSp macro="">
      <xdr:nvCxnSpPr>
        <xdr:cNvPr id="3778" name="Straight Arrow Connector 3777">
          <a:extLst>
            <a:ext uri="{FF2B5EF4-FFF2-40B4-BE49-F238E27FC236}">
              <a16:creationId xmlns:a16="http://schemas.microsoft.com/office/drawing/2014/main" id="{00000000-0008-0000-1200-0000C20E0000}"/>
            </a:ext>
          </a:extLst>
        </xdr:cNvPr>
        <xdr:cNvCxnSpPr/>
      </xdr:nvCxnSpPr>
      <xdr:spPr>
        <a:xfrm>
          <a:off x="11271250" y="146325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1663</xdr:row>
      <xdr:rowOff>0</xdr:rowOff>
    </xdr:from>
    <xdr:to>
      <xdr:col>16</xdr:col>
      <xdr:colOff>0</xdr:colOff>
      <xdr:row>1667</xdr:row>
      <xdr:rowOff>42334</xdr:rowOff>
    </xdr:to>
    <xdr:cxnSp macro="">
      <xdr:nvCxnSpPr>
        <xdr:cNvPr id="3779" name="Straight Arrow Connector 3778">
          <a:extLst>
            <a:ext uri="{FF2B5EF4-FFF2-40B4-BE49-F238E27FC236}">
              <a16:creationId xmlns:a16="http://schemas.microsoft.com/office/drawing/2014/main" id="{00000000-0008-0000-1200-0000C30E0000}"/>
            </a:ext>
          </a:extLst>
        </xdr:cNvPr>
        <xdr:cNvCxnSpPr/>
      </xdr:nvCxnSpPr>
      <xdr:spPr>
        <a:xfrm>
          <a:off x="11271250" y="146304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1674</xdr:row>
      <xdr:rowOff>0</xdr:rowOff>
    </xdr:from>
    <xdr:to>
      <xdr:col>15</xdr:col>
      <xdr:colOff>603250</xdr:colOff>
      <xdr:row>1676</xdr:row>
      <xdr:rowOff>1</xdr:rowOff>
    </xdr:to>
    <xdr:cxnSp macro="">
      <xdr:nvCxnSpPr>
        <xdr:cNvPr id="3780" name="Straight Arrow Connector 3779">
          <a:extLst>
            <a:ext uri="{FF2B5EF4-FFF2-40B4-BE49-F238E27FC236}">
              <a16:creationId xmlns:a16="http://schemas.microsoft.com/office/drawing/2014/main" id="{00000000-0008-0000-1200-0000C40E0000}"/>
            </a:ext>
          </a:extLst>
        </xdr:cNvPr>
        <xdr:cNvCxnSpPr/>
      </xdr:nvCxnSpPr>
      <xdr:spPr>
        <a:xfrm flipV="1">
          <a:off x="11271250" y="148590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1676</xdr:row>
      <xdr:rowOff>10584</xdr:rowOff>
    </xdr:from>
    <xdr:to>
      <xdr:col>15</xdr:col>
      <xdr:colOff>592666</xdr:colOff>
      <xdr:row>1677</xdr:row>
      <xdr:rowOff>95250</xdr:rowOff>
    </xdr:to>
    <xdr:cxnSp macro="">
      <xdr:nvCxnSpPr>
        <xdr:cNvPr id="3781" name="Straight Arrow Connector 3780">
          <a:extLst>
            <a:ext uri="{FF2B5EF4-FFF2-40B4-BE49-F238E27FC236}">
              <a16:creationId xmlns:a16="http://schemas.microsoft.com/office/drawing/2014/main" id="{00000000-0008-0000-1200-0000C50E0000}"/>
            </a:ext>
          </a:extLst>
        </xdr:cNvPr>
        <xdr:cNvCxnSpPr/>
      </xdr:nvCxnSpPr>
      <xdr:spPr>
        <a:xfrm>
          <a:off x="11313583" y="148981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1676</xdr:row>
      <xdr:rowOff>10584</xdr:rowOff>
    </xdr:from>
    <xdr:to>
      <xdr:col>15</xdr:col>
      <xdr:colOff>560916</xdr:colOff>
      <xdr:row>1680</xdr:row>
      <xdr:rowOff>52917</xdr:rowOff>
    </xdr:to>
    <xdr:cxnSp macro="">
      <xdr:nvCxnSpPr>
        <xdr:cNvPr id="3782" name="Straight Arrow Connector 3781">
          <a:extLst>
            <a:ext uri="{FF2B5EF4-FFF2-40B4-BE49-F238E27FC236}">
              <a16:creationId xmlns:a16="http://schemas.microsoft.com/office/drawing/2014/main" id="{00000000-0008-0000-1200-0000C60E0000}"/>
            </a:ext>
          </a:extLst>
        </xdr:cNvPr>
        <xdr:cNvCxnSpPr/>
      </xdr:nvCxnSpPr>
      <xdr:spPr>
        <a:xfrm>
          <a:off x="11292416" y="148981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783" name="Straight Arrow Connector 3782">
          <a:extLst>
            <a:ext uri="{FF2B5EF4-FFF2-40B4-BE49-F238E27FC236}">
              <a16:creationId xmlns:a16="http://schemas.microsoft.com/office/drawing/2014/main" id="{00000000-0008-0000-1200-0000C70E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1690</xdr:row>
      <xdr:rowOff>0</xdr:rowOff>
    </xdr:from>
    <xdr:to>
      <xdr:col>16</xdr:col>
      <xdr:colOff>0</xdr:colOff>
      <xdr:row>1690</xdr:row>
      <xdr:rowOff>42334</xdr:rowOff>
    </xdr:to>
    <xdr:cxnSp macro="">
      <xdr:nvCxnSpPr>
        <xdr:cNvPr id="3784" name="Straight Arrow Connector 3783">
          <a:extLst>
            <a:ext uri="{FF2B5EF4-FFF2-40B4-BE49-F238E27FC236}">
              <a16:creationId xmlns:a16="http://schemas.microsoft.com/office/drawing/2014/main" id="{00000000-0008-0000-1200-0000C80E0000}"/>
            </a:ext>
          </a:extLst>
        </xdr:cNvPr>
        <xdr:cNvCxnSpPr/>
      </xdr:nvCxnSpPr>
      <xdr:spPr>
        <a:xfrm>
          <a:off x="11302999" y="151638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1690</xdr:row>
      <xdr:rowOff>21166</xdr:rowOff>
    </xdr:from>
    <xdr:to>
      <xdr:col>15</xdr:col>
      <xdr:colOff>560916</xdr:colOff>
      <xdr:row>1693</xdr:row>
      <xdr:rowOff>84667</xdr:rowOff>
    </xdr:to>
    <xdr:cxnSp macro="">
      <xdr:nvCxnSpPr>
        <xdr:cNvPr id="3785" name="Straight Arrow Connector 3784">
          <a:extLst>
            <a:ext uri="{FF2B5EF4-FFF2-40B4-BE49-F238E27FC236}">
              <a16:creationId xmlns:a16="http://schemas.microsoft.com/office/drawing/2014/main" id="{00000000-0008-0000-1200-0000C90E0000}"/>
            </a:ext>
          </a:extLst>
        </xdr:cNvPr>
        <xdr:cNvCxnSpPr/>
      </xdr:nvCxnSpPr>
      <xdr:spPr>
        <a:xfrm>
          <a:off x="11355916" y="151659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1690</xdr:row>
      <xdr:rowOff>52916</xdr:rowOff>
    </xdr:from>
    <xdr:to>
      <xdr:col>15</xdr:col>
      <xdr:colOff>592666</xdr:colOff>
      <xdr:row>1696</xdr:row>
      <xdr:rowOff>63501</xdr:rowOff>
    </xdr:to>
    <xdr:cxnSp macro="">
      <xdr:nvCxnSpPr>
        <xdr:cNvPr id="3786" name="Straight Arrow Connector 3785">
          <a:extLst>
            <a:ext uri="{FF2B5EF4-FFF2-40B4-BE49-F238E27FC236}">
              <a16:creationId xmlns:a16="http://schemas.microsoft.com/office/drawing/2014/main" id="{00000000-0008-0000-1200-0000CA0E0000}"/>
            </a:ext>
          </a:extLst>
        </xdr:cNvPr>
        <xdr:cNvCxnSpPr/>
      </xdr:nvCxnSpPr>
      <xdr:spPr>
        <a:xfrm>
          <a:off x="11313583" y="151690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1687</xdr:row>
      <xdr:rowOff>52917</xdr:rowOff>
    </xdr:from>
    <xdr:to>
      <xdr:col>15</xdr:col>
      <xdr:colOff>603250</xdr:colOff>
      <xdr:row>1689</xdr:row>
      <xdr:rowOff>148167</xdr:rowOff>
    </xdr:to>
    <xdr:cxnSp macro="">
      <xdr:nvCxnSpPr>
        <xdr:cNvPr id="3787" name="Straight Arrow Connector 3786">
          <a:extLst>
            <a:ext uri="{FF2B5EF4-FFF2-40B4-BE49-F238E27FC236}">
              <a16:creationId xmlns:a16="http://schemas.microsoft.com/office/drawing/2014/main" id="{00000000-0008-0000-1200-0000CB0E0000}"/>
            </a:ext>
          </a:extLst>
        </xdr:cNvPr>
        <xdr:cNvCxnSpPr/>
      </xdr:nvCxnSpPr>
      <xdr:spPr>
        <a:xfrm flipV="1">
          <a:off x="11324166" y="151119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698500</xdr:colOff>
      <xdr:row>1731</xdr:row>
      <xdr:rowOff>95250</xdr:rowOff>
    </xdr:from>
    <xdr:to>
      <xdr:col>8</xdr:col>
      <xdr:colOff>21167</xdr:colOff>
      <xdr:row>1763</xdr:row>
      <xdr:rowOff>148166</xdr:rowOff>
    </xdr:to>
    <xdr:cxnSp macro="">
      <xdr:nvCxnSpPr>
        <xdr:cNvPr id="3788" name="Straight Arrow Connector 3787">
          <a:extLst>
            <a:ext uri="{FF2B5EF4-FFF2-40B4-BE49-F238E27FC236}">
              <a16:creationId xmlns:a16="http://schemas.microsoft.com/office/drawing/2014/main" id="{00000000-0008-0000-1200-0000CC0E0000}"/>
            </a:ext>
          </a:extLst>
        </xdr:cNvPr>
        <xdr:cNvCxnSpPr/>
      </xdr:nvCxnSpPr>
      <xdr:spPr>
        <a:xfrm>
          <a:off x="5185833" y="159734250"/>
          <a:ext cx="910167" cy="6148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1702</xdr:row>
      <xdr:rowOff>137583</xdr:rowOff>
    </xdr:from>
    <xdr:to>
      <xdr:col>9</xdr:col>
      <xdr:colOff>603250</xdr:colOff>
      <xdr:row>1708</xdr:row>
      <xdr:rowOff>21166</xdr:rowOff>
    </xdr:to>
    <xdr:cxnSp macro="">
      <xdr:nvCxnSpPr>
        <xdr:cNvPr id="3789" name="Straight Arrow Connector 3788">
          <a:extLst>
            <a:ext uri="{FF2B5EF4-FFF2-40B4-BE49-F238E27FC236}">
              <a16:creationId xmlns:a16="http://schemas.microsoft.com/office/drawing/2014/main" id="{00000000-0008-0000-1200-0000CD0E0000}"/>
            </a:ext>
          </a:extLst>
        </xdr:cNvPr>
        <xdr:cNvCxnSpPr/>
      </xdr:nvCxnSpPr>
      <xdr:spPr>
        <a:xfrm flipV="1">
          <a:off x="6688667" y="154061583"/>
          <a:ext cx="603250" cy="1026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1711</xdr:row>
      <xdr:rowOff>0</xdr:rowOff>
    </xdr:from>
    <xdr:to>
      <xdr:col>9</xdr:col>
      <xdr:colOff>582083</xdr:colOff>
      <xdr:row>1719</xdr:row>
      <xdr:rowOff>10583</xdr:rowOff>
    </xdr:to>
    <xdr:cxnSp macro="">
      <xdr:nvCxnSpPr>
        <xdr:cNvPr id="3790" name="Straight Arrow Connector 3789">
          <a:extLst>
            <a:ext uri="{FF2B5EF4-FFF2-40B4-BE49-F238E27FC236}">
              <a16:creationId xmlns:a16="http://schemas.microsoft.com/office/drawing/2014/main" id="{00000000-0008-0000-1200-0000CE0E0000}"/>
            </a:ext>
          </a:extLst>
        </xdr:cNvPr>
        <xdr:cNvCxnSpPr/>
      </xdr:nvCxnSpPr>
      <xdr:spPr>
        <a:xfrm>
          <a:off x="6720417" y="155638500"/>
          <a:ext cx="550333" cy="153458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3791" name="Straight Arrow Connector 3790">
          <a:extLst>
            <a:ext uri="{FF2B5EF4-FFF2-40B4-BE49-F238E27FC236}">
              <a16:creationId xmlns:a16="http://schemas.microsoft.com/office/drawing/2014/main" id="{00000000-0008-0000-1200-0000CF0E0000}"/>
            </a:ext>
          </a:extLst>
        </xdr:cNvPr>
        <xdr:cNvCxnSpPr/>
      </xdr:nvCxnSpPr>
      <xdr:spPr>
        <a:xfrm flipV="1">
          <a:off x="7937500"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3792" name="Straight Arrow Connector 3791">
          <a:extLst>
            <a:ext uri="{FF2B5EF4-FFF2-40B4-BE49-F238E27FC236}">
              <a16:creationId xmlns:a16="http://schemas.microsoft.com/office/drawing/2014/main" id="{00000000-0008-0000-1200-0000D00E0000}"/>
            </a:ext>
          </a:extLst>
        </xdr:cNvPr>
        <xdr:cNvCxnSpPr/>
      </xdr:nvCxnSpPr>
      <xdr:spPr>
        <a:xfrm>
          <a:off x="7926917"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3793" name="Straight Arrow Connector 3792">
          <a:extLst>
            <a:ext uri="{FF2B5EF4-FFF2-40B4-BE49-F238E27FC236}">
              <a16:creationId xmlns:a16="http://schemas.microsoft.com/office/drawing/2014/main" id="{00000000-0008-0000-1200-0000D10E0000}"/>
            </a:ext>
          </a:extLst>
        </xdr:cNvPr>
        <xdr:cNvCxnSpPr/>
      </xdr:nvCxnSpPr>
      <xdr:spPr>
        <a:xfrm flipV="1">
          <a:off x="9133417" y="155850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3794" name="Straight Arrow Connector 3793">
          <a:extLst>
            <a:ext uri="{FF2B5EF4-FFF2-40B4-BE49-F238E27FC236}">
              <a16:creationId xmlns:a16="http://schemas.microsoft.com/office/drawing/2014/main" id="{00000000-0008-0000-1200-0000D20E0000}"/>
            </a:ext>
          </a:extLst>
        </xdr:cNvPr>
        <xdr:cNvCxnSpPr/>
      </xdr:nvCxnSpPr>
      <xdr:spPr>
        <a:xfrm>
          <a:off x="9122833" y="156802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3795" name="Straight Arrow Connector 3794">
          <a:extLst>
            <a:ext uri="{FF2B5EF4-FFF2-40B4-BE49-F238E27FC236}">
              <a16:creationId xmlns:a16="http://schemas.microsoft.com/office/drawing/2014/main" id="{00000000-0008-0000-1200-0000D30E0000}"/>
            </a:ext>
          </a:extLst>
        </xdr:cNvPr>
        <xdr:cNvCxnSpPr/>
      </xdr:nvCxnSpPr>
      <xdr:spPr>
        <a:xfrm flipV="1">
          <a:off x="952500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3796" name="Straight Arrow Connector 3795">
          <a:extLst>
            <a:ext uri="{FF2B5EF4-FFF2-40B4-BE49-F238E27FC236}">
              <a16:creationId xmlns:a16="http://schemas.microsoft.com/office/drawing/2014/main" id="{00000000-0008-0000-1200-0000D40E0000}"/>
            </a:ext>
          </a:extLst>
        </xdr:cNvPr>
        <xdr:cNvCxnSpPr/>
      </xdr:nvCxnSpPr>
      <xdr:spPr>
        <a:xfrm>
          <a:off x="9535583" y="160782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1704</xdr:row>
      <xdr:rowOff>0</xdr:rowOff>
    </xdr:from>
    <xdr:to>
      <xdr:col>15</xdr:col>
      <xdr:colOff>603250</xdr:colOff>
      <xdr:row>1709</xdr:row>
      <xdr:rowOff>31750</xdr:rowOff>
    </xdr:to>
    <xdr:cxnSp macro="">
      <xdr:nvCxnSpPr>
        <xdr:cNvPr id="3797" name="Straight Arrow Connector 3796">
          <a:extLst>
            <a:ext uri="{FF2B5EF4-FFF2-40B4-BE49-F238E27FC236}">
              <a16:creationId xmlns:a16="http://schemas.microsoft.com/office/drawing/2014/main" id="{00000000-0008-0000-1200-0000D50E0000}"/>
            </a:ext>
          </a:extLst>
        </xdr:cNvPr>
        <xdr:cNvCxnSpPr/>
      </xdr:nvCxnSpPr>
      <xdr:spPr>
        <a:xfrm flipV="1">
          <a:off x="11281833"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3798" name="Straight Arrow Connector 3797">
          <a:extLst>
            <a:ext uri="{FF2B5EF4-FFF2-40B4-BE49-F238E27FC236}">
              <a16:creationId xmlns:a16="http://schemas.microsoft.com/office/drawing/2014/main" id="{00000000-0008-0000-1200-0000D60E0000}"/>
            </a:ext>
          </a:extLst>
        </xdr:cNvPr>
        <xdr:cNvCxnSpPr/>
      </xdr:nvCxnSpPr>
      <xdr:spPr>
        <a:xfrm flipV="1">
          <a:off x="11324166"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3799" name="Straight Arrow Connector 3798">
          <a:extLst>
            <a:ext uri="{FF2B5EF4-FFF2-40B4-BE49-F238E27FC236}">
              <a16:creationId xmlns:a16="http://schemas.microsoft.com/office/drawing/2014/main" id="{00000000-0008-0000-1200-0000D70E0000}"/>
            </a:ext>
          </a:extLst>
        </xdr:cNvPr>
        <xdr:cNvCxnSpPr/>
      </xdr:nvCxnSpPr>
      <xdr:spPr>
        <a:xfrm>
          <a:off x="11345333"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3800" name="Straight Arrow Connector 3799">
          <a:extLst>
            <a:ext uri="{FF2B5EF4-FFF2-40B4-BE49-F238E27FC236}">
              <a16:creationId xmlns:a16="http://schemas.microsoft.com/office/drawing/2014/main" id="{00000000-0008-0000-1200-0000D80E0000}"/>
            </a:ext>
          </a:extLst>
        </xdr:cNvPr>
        <xdr:cNvCxnSpPr/>
      </xdr:nvCxnSpPr>
      <xdr:spPr>
        <a:xfrm>
          <a:off x="11260667" y="155363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1717</xdr:row>
      <xdr:rowOff>52916</xdr:rowOff>
    </xdr:from>
    <xdr:to>
      <xdr:col>16</xdr:col>
      <xdr:colOff>0</xdr:colOff>
      <xdr:row>1719</xdr:row>
      <xdr:rowOff>0</xdr:rowOff>
    </xdr:to>
    <xdr:cxnSp macro="">
      <xdr:nvCxnSpPr>
        <xdr:cNvPr id="3801" name="Straight Arrow Connector 3800">
          <a:extLst>
            <a:ext uri="{FF2B5EF4-FFF2-40B4-BE49-F238E27FC236}">
              <a16:creationId xmlns:a16="http://schemas.microsoft.com/office/drawing/2014/main" id="{00000000-0008-0000-1200-0000D90E0000}"/>
            </a:ext>
          </a:extLst>
        </xdr:cNvPr>
        <xdr:cNvCxnSpPr/>
      </xdr:nvCxnSpPr>
      <xdr:spPr>
        <a:xfrm flipV="1">
          <a:off x="11281833" y="156834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3802" name="Straight Arrow Connector 3801">
          <a:extLst>
            <a:ext uri="{FF2B5EF4-FFF2-40B4-BE49-F238E27FC236}">
              <a16:creationId xmlns:a16="http://schemas.microsoft.com/office/drawing/2014/main" id="{00000000-0008-0000-1200-0000DA0E0000}"/>
            </a:ext>
          </a:extLst>
        </xdr:cNvPr>
        <xdr:cNvCxnSpPr/>
      </xdr:nvCxnSpPr>
      <xdr:spPr>
        <a:xfrm>
          <a:off x="11292416"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3803" name="Straight Arrow Connector 3802">
          <a:extLst>
            <a:ext uri="{FF2B5EF4-FFF2-40B4-BE49-F238E27FC236}">
              <a16:creationId xmlns:a16="http://schemas.microsoft.com/office/drawing/2014/main" id="{00000000-0008-0000-1200-0000DB0E0000}"/>
            </a:ext>
          </a:extLst>
        </xdr:cNvPr>
        <xdr:cNvCxnSpPr/>
      </xdr:nvCxnSpPr>
      <xdr:spPr>
        <a:xfrm>
          <a:off x="11271250" y="157183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3804" name="Straight Arrow Connector 3803">
          <a:extLst>
            <a:ext uri="{FF2B5EF4-FFF2-40B4-BE49-F238E27FC236}">
              <a16:creationId xmlns:a16="http://schemas.microsoft.com/office/drawing/2014/main" id="{00000000-0008-0000-1200-0000DC0E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10583</xdr:colOff>
      <xdr:row>1756</xdr:row>
      <xdr:rowOff>42333</xdr:rowOff>
    </xdr:from>
    <xdr:to>
      <xdr:col>9</xdr:col>
      <xdr:colOff>592666</xdr:colOff>
      <xdr:row>1764</xdr:row>
      <xdr:rowOff>42333</xdr:rowOff>
    </xdr:to>
    <xdr:cxnSp macro="">
      <xdr:nvCxnSpPr>
        <xdr:cNvPr id="3805" name="Straight Arrow Connector 3804">
          <a:extLst>
            <a:ext uri="{FF2B5EF4-FFF2-40B4-BE49-F238E27FC236}">
              <a16:creationId xmlns:a16="http://schemas.microsoft.com/office/drawing/2014/main" id="{00000000-0008-0000-1200-0000DD0E0000}"/>
            </a:ext>
          </a:extLst>
        </xdr:cNvPr>
        <xdr:cNvCxnSpPr/>
      </xdr:nvCxnSpPr>
      <xdr:spPr>
        <a:xfrm flipV="1">
          <a:off x="6699250" y="164443833"/>
          <a:ext cx="582083" cy="152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31750</xdr:colOff>
      <xdr:row>1766</xdr:row>
      <xdr:rowOff>169334</xdr:rowOff>
    </xdr:from>
    <xdr:to>
      <xdr:col>9</xdr:col>
      <xdr:colOff>603250</xdr:colOff>
      <xdr:row>1775</xdr:row>
      <xdr:rowOff>31750</xdr:rowOff>
    </xdr:to>
    <xdr:cxnSp macro="">
      <xdr:nvCxnSpPr>
        <xdr:cNvPr id="3806" name="Straight Arrow Connector 3805">
          <a:extLst>
            <a:ext uri="{FF2B5EF4-FFF2-40B4-BE49-F238E27FC236}">
              <a16:creationId xmlns:a16="http://schemas.microsoft.com/office/drawing/2014/main" id="{00000000-0008-0000-1200-0000DE0E0000}"/>
            </a:ext>
          </a:extLst>
        </xdr:cNvPr>
        <xdr:cNvCxnSpPr/>
      </xdr:nvCxnSpPr>
      <xdr:spPr>
        <a:xfrm>
          <a:off x="6720417" y="166475834"/>
          <a:ext cx="571500" cy="157691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3807" name="Straight Arrow Connector 3806">
          <a:extLst>
            <a:ext uri="{FF2B5EF4-FFF2-40B4-BE49-F238E27FC236}">
              <a16:creationId xmlns:a16="http://schemas.microsoft.com/office/drawing/2014/main" id="{00000000-0008-0000-1200-0000DF0E0000}"/>
            </a:ext>
          </a:extLst>
        </xdr:cNvPr>
        <xdr:cNvCxnSpPr/>
      </xdr:nvCxnSpPr>
      <xdr:spPr>
        <a:xfrm flipV="1">
          <a:off x="7874000" y="167608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3808" name="Straight Arrow Connector 3807">
          <a:extLst>
            <a:ext uri="{FF2B5EF4-FFF2-40B4-BE49-F238E27FC236}">
              <a16:creationId xmlns:a16="http://schemas.microsoft.com/office/drawing/2014/main" id="{00000000-0008-0000-1200-0000E00E0000}"/>
            </a:ext>
          </a:extLst>
        </xdr:cNvPr>
        <xdr:cNvCxnSpPr/>
      </xdr:nvCxnSpPr>
      <xdr:spPr>
        <a:xfrm flipV="1">
          <a:off x="11271250"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3809" name="Straight Arrow Connector 3808">
          <a:extLst>
            <a:ext uri="{FF2B5EF4-FFF2-40B4-BE49-F238E27FC236}">
              <a16:creationId xmlns:a16="http://schemas.microsoft.com/office/drawing/2014/main" id="{00000000-0008-0000-1200-0000E10E0000}"/>
            </a:ext>
          </a:extLst>
        </xdr:cNvPr>
        <xdr:cNvCxnSpPr/>
      </xdr:nvCxnSpPr>
      <xdr:spPr>
        <a:xfrm>
          <a:off x="11313583"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3810" name="Straight Arrow Connector 3809">
          <a:extLst>
            <a:ext uri="{FF2B5EF4-FFF2-40B4-BE49-F238E27FC236}">
              <a16:creationId xmlns:a16="http://schemas.microsoft.com/office/drawing/2014/main" id="{00000000-0008-0000-1200-0000E20E0000}"/>
            </a:ext>
          </a:extLst>
        </xdr:cNvPr>
        <xdr:cNvCxnSpPr/>
      </xdr:nvCxnSpPr>
      <xdr:spPr>
        <a:xfrm>
          <a:off x="11292416"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811" name="Straight Arrow Connector 3810">
          <a:extLst>
            <a:ext uri="{FF2B5EF4-FFF2-40B4-BE49-F238E27FC236}">
              <a16:creationId xmlns:a16="http://schemas.microsoft.com/office/drawing/2014/main" id="{00000000-0008-0000-1200-0000E30E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3812" name="Straight Arrow Connector 3811">
          <a:extLst>
            <a:ext uri="{FF2B5EF4-FFF2-40B4-BE49-F238E27FC236}">
              <a16:creationId xmlns:a16="http://schemas.microsoft.com/office/drawing/2014/main" id="{00000000-0008-0000-1200-0000E40E0000}"/>
            </a:ext>
          </a:extLst>
        </xdr:cNvPr>
        <xdr:cNvCxnSpPr/>
      </xdr:nvCxnSpPr>
      <xdr:spPr>
        <a:xfrm>
          <a:off x="11302999" y="162496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3813" name="Straight Arrow Connector 3812">
          <a:extLst>
            <a:ext uri="{FF2B5EF4-FFF2-40B4-BE49-F238E27FC236}">
              <a16:creationId xmlns:a16="http://schemas.microsoft.com/office/drawing/2014/main" id="{00000000-0008-0000-1200-0000E50E0000}"/>
            </a:ext>
          </a:extLst>
        </xdr:cNvPr>
        <xdr:cNvCxnSpPr/>
      </xdr:nvCxnSpPr>
      <xdr:spPr>
        <a:xfrm>
          <a:off x="11355916"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3814" name="Straight Arrow Connector 3813">
          <a:extLst>
            <a:ext uri="{FF2B5EF4-FFF2-40B4-BE49-F238E27FC236}">
              <a16:creationId xmlns:a16="http://schemas.microsoft.com/office/drawing/2014/main" id="{00000000-0008-0000-1200-0000E60E0000}"/>
            </a:ext>
          </a:extLst>
        </xdr:cNvPr>
        <xdr:cNvCxnSpPr/>
      </xdr:nvCxnSpPr>
      <xdr:spPr>
        <a:xfrm>
          <a:off x="11313583"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3815" name="Straight Arrow Connector 3814">
          <a:extLst>
            <a:ext uri="{FF2B5EF4-FFF2-40B4-BE49-F238E27FC236}">
              <a16:creationId xmlns:a16="http://schemas.microsoft.com/office/drawing/2014/main" id="{00000000-0008-0000-1200-0000E70E0000}"/>
            </a:ext>
          </a:extLst>
        </xdr:cNvPr>
        <xdr:cNvCxnSpPr/>
      </xdr:nvCxnSpPr>
      <xdr:spPr>
        <a:xfrm flipV="1">
          <a:off x="11302999"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3816" name="Straight Arrow Connector 3815">
          <a:extLst>
            <a:ext uri="{FF2B5EF4-FFF2-40B4-BE49-F238E27FC236}">
              <a16:creationId xmlns:a16="http://schemas.microsoft.com/office/drawing/2014/main" id="{00000000-0008-0000-1200-0000E80E0000}"/>
            </a:ext>
          </a:extLst>
        </xdr:cNvPr>
        <xdr:cNvCxnSpPr/>
      </xdr:nvCxnSpPr>
      <xdr:spPr>
        <a:xfrm flipV="1">
          <a:off x="11345333"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3817" name="Straight Arrow Connector 3816">
          <a:extLst>
            <a:ext uri="{FF2B5EF4-FFF2-40B4-BE49-F238E27FC236}">
              <a16:creationId xmlns:a16="http://schemas.microsoft.com/office/drawing/2014/main" id="{00000000-0008-0000-1200-0000E90E0000}"/>
            </a:ext>
          </a:extLst>
        </xdr:cNvPr>
        <xdr:cNvCxnSpPr/>
      </xdr:nvCxnSpPr>
      <xdr:spPr>
        <a:xfrm>
          <a:off x="11334749"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3818" name="Straight Arrow Connector 3817">
          <a:extLst>
            <a:ext uri="{FF2B5EF4-FFF2-40B4-BE49-F238E27FC236}">
              <a16:creationId xmlns:a16="http://schemas.microsoft.com/office/drawing/2014/main" id="{00000000-0008-0000-1200-0000EA0E0000}"/>
            </a:ext>
          </a:extLst>
        </xdr:cNvPr>
        <xdr:cNvCxnSpPr/>
      </xdr:nvCxnSpPr>
      <xdr:spPr>
        <a:xfrm>
          <a:off x="11313583" y="168137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3819" name="Straight Arrow Connector 3818">
          <a:extLst>
            <a:ext uri="{FF2B5EF4-FFF2-40B4-BE49-F238E27FC236}">
              <a16:creationId xmlns:a16="http://schemas.microsoft.com/office/drawing/2014/main" id="{00000000-0008-0000-1200-0000EB0E0000}"/>
            </a:ext>
          </a:extLst>
        </xdr:cNvPr>
        <xdr:cNvCxnSpPr/>
      </xdr:nvCxnSpPr>
      <xdr:spPr>
        <a:xfrm flipV="1">
          <a:off x="11324166"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3820" name="Straight Arrow Connector 3819">
          <a:extLst>
            <a:ext uri="{FF2B5EF4-FFF2-40B4-BE49-F238E27FC236}">
              <a16:creationId xmlns:a16="http://schemas.microsoft.com/office/drawing/2014/main" id="{00000000-0008-0000-1200-0000EC0E0000}"/>
            </a:ext>
          </a:extLst>
        </xdr:cNvPr>
        <xdr:cNvCxnSpPr/>
      </xdr:nvCxnSpPr>
      <xdr:spPr>
        <a:xfrm>
          <a:off x="7926917"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3821" name="Straight Arrow Connector 3820">
          <a:extLst>
            <a:ext uri="{FF2B5EF4-FFF2-40B4-BE49-F238E27FC236}">
              <a16:creationId xmlns:a16="http://schemas.microsoft.com/office/drawing/2014/main" id="{00000000-0008-0000-1200-0000ED0E0000}"/>
            </a:ext>
          </a:extLst>
        </xdr:cNvPr>
        <xdr:cNvCxnSpPr/>
      </xdr:nvCxnSpPr>
      <xdr:spPr>
        <a:xfrm flipV="1">
          <a:off x="9133417" y="166708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3822" name="Straight Arrow Connector 3821">
          <a:extLst>
            <a:ext uri="{FF2B5EF4-FFF2-40B4-BE49-F238E27FC236}">
              <a16:creationId xmlns:a16="http://schemas.microsoft.com/office/drawing/2014/main" id="{00000000-0008-0000-1200-0000EE0E0000}"/>
            </a:ext>
          </a:extLst>
        </xdr:cNvPr>
        <xdr:cNvCxnSpPr/>
      </xdr:nvCxnSpPr>
      <xdr:spPr>
        <a:xfrm>
          <a:off x="9122833" y="167661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3823" name="Straight Arrow Connector 3822">
          <a:extLst>
            <a:ext uri="{FF2B5EF4-FFF2-40B4-BE49-F238E27FC236}">
              <a16:creationId xmlns:a16="http://schemas.microsoft.com/office/drawing/2014/main" id="{00000000-0008-0000-1200-0000EF0E0000}"/>
            </a:ext>
          </a:extLst>
        </xdr:cNvPr>
        <xdr:cNvCxnSpPr/>
      </xdr:nvCxnSpPr>
      <xdr:spPr>
        <a:xfrm flipV="1">
          <a:off x="952500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3824" name="Straight Arrow Connector 3823">
          <a:extLst>
            <a:ext uri="{FF2B5EF4-FFF2-40B4-BE49-F238E27FC236}">
              <a16:creationId xmlns:a16="http://schemas.microsoft.com/office/drawing/2014/main" id="{00000000-0008-0000-1200-0000F00E0000}"/>
            </a:ext>
          </a:extLst>
        </xdr:cNvPr>
        <xdr:cNvCxnSpPr/>
      </xdr:nvCxnSpPr>
      <xdr:spPr>
        <a:xfrm>
          <a:off x="9535583" y="171640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3825" name="Straight Arrow Connector 3824">
          <a:extLst>
            <a:ext uri="{FF2B5EF4-FFF2-40B4-BE49-F238E27FC236}">
              <a16:creationId xmlns:a16="http://schemas.microsoft.com/office/drawing/2014/main" id="{00000000-0008-0000-1200-0000F10E0000}"/>
            </a:ext>
          </a:extLst>
        </xdr:cNvPr>
        <xdr:cNvCxnSpPr/>
      </xdr:nvCxnSpPr>
      <xdr:spPr>
        <a:xfrm>
          <a:off x="11334749"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1773</xdr:row>
      <xdr:rowOff>52916</xdr:rowOff>
    </xdr:from>
    <xdr:to>
      <xdr:col>16</xdr:col>
      <xdr:colOff>0</xdr:colOff>
      <xdr:row>1775</xdr:row>
      <xdr:rowOff>0</xdr:rowOff>
    </xdr:to>
    <xdr:cxnSp macro="">
      <xdr:nvCxnSpPr>
        <xdr:cNvPr id="3826" name="Straight Arrow Connector 3825">
          <a:extLst>
            <a:ext uri="{FF2B5EF4-FFF2-40B4-BE49-F238E27FC236}">
              <a16:creationId xmlns:a16="http://schemas.microsoft.com/office/drawing/2014/main" id="{00000000-0008-0000-1200-0000F20E0000}"/>
            </a:ext>
          </a:extLst>
        </xdr:cNvPr>
        <xdr:cNvCxnSpPr/>
      </xdr:nvCxnSpPr>
      <xdr:spPr>
        <a:xfrm flipV="1">
          <a:off x="11281833" y="167692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3827" name="Straight Arrow Connector 3826">
          <a:extLst>
            <a:ext uri="{FF2B5EF4-FFF2-40B4-BE49-F238E27FC236}">
              <a16:creationId xmlns:a16="http://schemas.microsoft.com/office/drawing/2014/main" id="{00000000-0008-0000-1200-0000F30E0000}"/>
            </a:ext>
          </a:extLst>
        </xdr:cNvPr>
        <xdr:cNvCxnSpPr/>
      </xdr:nvCxnSpPr>
      <xdr:spPr>
        <a:xfrm>
          <a:off x="11271250"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3828" name="Straight Arrow Connector 3827">
          <a:extLst>
            <a:ext uri="{FF2B5EF4-FFF2-40B4-BE49-F238E27FC236}">
              <a16:creationId xmlns:a16="http://schemas.microsoft.com/office/drawing/2014/main" id="{00000000-0008-0000-1200-0000F40E0000}"/>
            </a:ext>
          </a:extLst>
        </xdr:cNvPr>
        <xdr:cNvCxnSpPr/>
      </xdr:nvCxnSpPr>
      <xdr:spPr>
        <a:xfrm>
          <a:off x="11271250" y="168021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3829" name="Straight Arrow Connector 3828">
          <a:extLst>
            <a:ext uri="{FF2B5EF4-FFF2-40B4-BE49-F238E27FC236}">
              <a16:creationId xmlns:a16="http://schemas.microsoft.com/office/drawing/2014/main" id="{00000000-0008-0000-1200-0000F50E0000}"/>
            </a:ext>
          </a:extLst>
        </xdr:cNvPr>
        <xdr:cNvCxnSpPr/>
      </xdr:nvCxnSpPr>
      <xdr:spPr>
        <a:xfrm flipV="1">
          <a:off x="11271250"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3830" name="Straight Arrow Connector 3829">
          <a:extLst>
            <a:ext uri="{FF2B5EF4-FFF2-40B4-BE49-F238E27FC236}">
              <a16:creationId xmlns:a16="http://schemas.microsoft.com/office/drawing/2014/main" id="{00000000-0008-0000-1200-0000F60E0000}"/>
            </a:ext>
          </a:extLst>
        </xdr:cNvPr>
        <xdr:cNvCxnSpPr/>
      </xdr:nvCxnSpPr>
      <xdr:spPr>
        <a:xfrm>
          <a:off x="11313583"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3831" name="Straight Arrow Connector 3830">
          <a:extLst>
            <a:ext uri="{FF2B5EF4-FFF2-40B4-BE49-F238E27FC236}">
              <a16:creationId xmlns:a16="http://schemas.microsoft.com/office/drawing/2014/main" id="{00000000-0008-0000-1200-0000F70E0000}"/>
            </a:ext>
          </a:extLst>
        </xdr:cNvPr>
        <xdr:cNvCxnSpPr/>
      </xdr:nvCxnSpPr>
      <xdr:spPr>
        <a:xfrm>
          <a:off x="11292416"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832" name="Straight Arrow Connector 3831">
          <a:extLst>
            <a:ext uri="{FF2B5EF4-FFF2-40B4-BE49-F238E27FC236}">
              <a16:creationId xmlns:a16="http://schemas.microsoft.com/office/drawing/2014/main" id="{00000000-0008-0000-1200-0000F80E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3833" name="Straight Arrow Connector 3832">
          <a:extLst>
            <a:ext uri="{FF2B5EF4-FFF2-40B4-BE49-F238E27FC236}">
              <a16:creationId xmlns:a16="http://schemas.microsoft.com/office/drawing/2014/main" id="{00000000-0008-0000-1200-0000F90E0000}"/>
            </a:ext>
          </a:extLst>
        </xdr:cNvPr>
        <xdr:cNvCxnSpPr/>
      </xdr:nvCxnSpPr>
      <xdr:spPr>
        <a:xfrm>
          <a:off x="11302999" y="173355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3834" name="Straight Arrow Connector 3833">
          <a:extLst>
            <a:ext uri="{FF2B5EF4-FFF2-40B4-BE49-F238E27FC236}">
              <a16:creationId xmlns:a16="http://schemas.microsoft.com/office/drawing/2014/main" id="{00000000-0008-0000-1200-0000FA0E0000}"/>
            </a:ext>
          </a:extLst>
        </xdr:cNvPr>
        <xdr:cNvCxnSpPr/>
      </xdr:nvCxnSpPr>
      <xdr:spPr>
        <a:xfrm>
          <a:off x="11355916"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3835" name="Straight Arrow Connector 3834">
          <a:extLst>
            <a:ext uri="{FF2B5EF4-FFF2-40B4-BE49-F238E27FC236}">
              <a16:creationId xmlns:a16="http://schemas.microsoft.com/office/drawing/2014/main" id="{00000000-0008-0000-1200-0000FB0E0000}"/>
            </a:ext>
          </a:extLst>
        </xdr:cNvPr>
        <xdr:cNvCxnSpPr/>
      </xdr:nvCxnSpPr>
      <xdr:spPr>
        <a:xfrm>
          <a:off x="11313583"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3836" name="Straight Arrow Connector 3835">
          <a:extLst>
            <a:ext uri="{FF2B5EF4-FFF2-40B4-BE49-F238E27FC236}">
              <a16:creationId xmlns:a16="http://schemas.microsoft.com/office/drawing/2014/main" id="{00000000-0008-0000-1200-0000FC0E0000}"/>
            </a:ext>
          </a:extLst>
        </xdr:cNvPr>
        <xdr:cNvCxnSpPr/>
      </xdr:nvCxnSpPr>
      <xdr:spPr>
        <a:xfrm flipV="1">
          <a:off x="11324166"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31750</xdr:colOff>
      <xdr:row>1710</xdr:row>
      <xdr:rowOff>127000</xdr:rowOff>
    </xdr:from>
    <xdr:to>
      <xdr:col>8</xdr:col>
      <xdr:colOff>63500</xdr:colOff>
      <xdr:row>1729</xdr:row>
      <xdr:rowOff>0</xdr:rowOff>
    </xdr:to>
    <xdr:cxnSp macro="">
      <xdr:nvCxnSpPr>
        <xdr:cNvPr id="3837" name="Straight Arrow Connector 3836">
          <a:extLst>
            <a:ext uri="{FF2B5EF4-FFF2-40B4-BE49-F238E27FC236}">
              <a16:creationId xmlns:a16="http://schemas.microsoft.com/office/drawing/2014/main" id="{00000000-0008-0000-1200-0000FD0E0000}"/>
            </a:ext>
          </a:extLst>
        </xdr:cNvPr>
        <xdr:cNvCxnSpPr/>
      </xdr:nvCxnSpPr>
      <xdr:spPr>
        <a:xfrm flipV="1">
          <a:off x="5492750" y="155575000"/>
          <a:ext cx="645583" cy="3587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3838" name="Straight Arrow Connector 3837">
          <a:extLst>
            <a:ext uri="{FF2B5EF4-FFF2-40B4-BE49-F238E27FC236}">
              <a16:creationId xmlns:a16="http://schemas.microsoft.com/office/drawing/2014/main" id="{00000000-0008-0000-1200-0000FE0E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839" name="Straight Arrow Connector 3838">
          <a:extLst>
            <a:ext uri="{FF2B5EF4-FFF2-40B4-BE49-F238E27FC236}">
              <a16:creationId xmlns:a16="http://schemas.microsoft.com/office/drawing/2014/main" id="{00000000-0008-0000-1200-0000FF0E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1492</xdr:row>
      <xdr:rowOff>169333</xdr:rowOff>
    </xdr:from>
    <xdr:to>
      <xdr:col>11</xdr:col>
      <xdr:colOff>603250</xdr:colOff>
      <xdr:row>1495</xdr:row>
      <xdr:rowOff>21167</xdr:rowOff>
    </xdr:to>
    <xdr:cxnSp macro="">
      <xdr:nvCxnSpPr>
        <xdr:cNvPr id="3840" name="Straight Arrow Connector 3839">
          <a:extLst>
            <a:ext uri="{FF2B5EF4-FFF2-40B4-BE49-F238E27FC236}">
              <a16:creationId xmlns:a16="http://schemas.microsoft.com/office/drawing/2014/main" id="{00000000-0008-0000-1200-0000000F0000}"/>
            </a:ext>
          </a:extLst>
        </xdr:cNvPr>
        <xdr:cNvCxnSpPr/>
      </xdr:nvCxnSpPr>
      <xdr:spPr>
        <a:xfrm flipV="1">
          <a:off x="7937500" y="113326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1498</xdr:row>
      <xdr:rowOff>42333</xdr:rowOff>
    </xdr:from>
    <xdr:to>
      <xdr:col>11</xdr:col>
      <xdr:colOff>603250</xdr:colOff>
      <xdr:row>1510</xdr:row>
      <xdr:rowOff>10583</xdr:rowOff>
    </xdr:to>
    <xdr:cxnSp macro="">
      <xdr:nvCxnSpPr>
        <xdr:cNvPr id="3841" name="Straight Arrow Connector 3840">
          <a:extLst>
            <a:ext uri="{FF2B5EF4-FFF2-40B4-BE49-F238E27FC236}">
              <a16:creationId xmlns:a16="http://schemas.microsoft.com/office/drawing/2014/main" id="{00000000-0008-0000-1200-0000010F0000}"/>
            </a:ext>
          </a:extLst>
        </xdr:cNvPr>
        <xdr:cNvCxnSpPr/>
      </xdr:nvCxnSpPr>
      <xdr:spPr>
        <a:xfrm>
          <a:off x="7926917" y="114342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1488</xdr:row>
      <xdr:rowOff>21167</xdr:rowOff>
    </xdr:from>
    <xdr:to>
      <xdr:col>13</xdr:col>
      <xdr:colOff>592667</xdr:colOff>
      <xdr:row>1490</xdr:row>
      <xdr:rowOff>0</xdr:rowOff>
    </xdr:to>
    <xdr:cxnSp macro="">
      <xdr:nvCxnSpPr>
        <xdr:cNvPr id="3842" name="Straight Arrow Connector 3841">
          <a:extLst>
            <a:ext uri="{FF2B5EF4-FFF2-40B4-BE49-F238E27FC236}">
              <a16:creationId xmlns:a16="http://schemas.microsoft.com/office/drawing/2014/main" id="{00000000-0008-0000-1200-0000020F0000}"/>
            </a:ext>
          </a:extLst>
        </xdr:cNvPr>
        <xdr:cNvCxnSpPr/>
      </xdr:nvCxnSpPr>
      <xdr:spPr>
        <a:xfrm flipV="1">
          <a:off x="9133417" y="112416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1493</xdr:row>
      <xdr:rowOff>21166</xdr:rowOff>
    </xdr:from>
    <xdr:to>
      <xdr:col>13</xdr:col>
      <xdr:colOff>592667</xdr:colOff>
      <xdr:row>1494</xdr:row>
      <xdr:rowOff>169334</xdr:rowOff>
    </xdr:to>
    <xdr:cxnSp macro="">
      <xdr:nvCxnSpPr>
        <xdr:cNvPr id="3843" name="Straight Arrow Connector 3842">
          <a:extLst>
            <a:ext uri="{FF2B5EF4-FFF2-40B4-BE49-F238E27FC236}">
              <a16:creationId xmlns:a16="http://schemas.microsoft.com/office/drawing/2014/main" id="{00000000-0008-0000-1200-0000030F0000}"/>
            </a:ext>
          </a:extLst>
        </xdr:cNvPr>
        <xdr:cNvCxnSpPr/>
      </xdr:nvCxnSpPr>
      <xdr:spPr>
        <a:xfrm>
          <a:off x="9122833" y="113368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1508</xdr:row>
      <xdr:rowOff>21167</xdr:rowOff>
    </xdr:from>
    <xdr:to>
      <xdr:col>13</xdr:col>
      <xdr:colOff>592667</xdr:colOff>
      <xdr:row>1510</xdr:row>
      <xdr:rowOff>63500</xdr:rowOff>
    </xdr:to>
    <xdr:cxnSp macro="">
      <xdr:nvCxnSpPr>
        <xdr:cNvPr id="3844" name="Straight Arrow Connector 3843">
          <a:extLst>
            <a:ext uri="{FF2B5EF4-FFF2-40B4-BE49-F238E27FC236}">
              <a16:creationId xmlns:a16="http://schemas.microsoft.com/office/drawing/2014/main" id="{00000000-0008-0000-1200-0000040F0000}"/>
            </a:ext>
          </a:extLst>
        </xdr:cNvPr>
        <xdr:cNvCxnSpPr/>
      </xdr:nvCxnSpPr>
      <xdr:spPr>
        <a:xfrm flipV="1">
          <a:off x="9525000" y="116416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1513</xdr:row>
      <xdr:rowOff>0</xdr:rowOff>
    </xdr:from>
    <xdr:to>
      <xdr:col>14</xdr:col>
      <xdr:colOff>10584</xdr:colOff>
      <xdr:row>1521</xdr:row>
      <xdr:rowOff>148167</xdr:rowOff>
    </xdr:to>
    <xdr:cxnSp macro="">
      <xdr:nvCxnSpPr>
        <xdr:cNvPr id="3845" name="Straight Arrow Connector 3844">
          <a:extLst>
            <a:ext uri="{FF2B5EF4-FFF2-40B4-BE49-F238E27FC236}">
              <a16:creationId xmlns:a16="http://schemas.microsoft.com/office/drawing/2014/main" id="{00000000-0008-0000-1200-0000050F0000}"/>
            </a:ext>
          </a:extLst>
        </xdr:cNvPr>
        <xdr:cNvCxnSpPr/>
      </xdr:nvCxnSpPr>
      <xdr:spPr>
        <a:xfrm>
          <a:off x="9535583" y="117348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1480</xdr:row>
      <xdr:rowOff>0</xdr:rowOff>
    </xdr:from>
    <xdr:to>
      <xdr:col>15</xdr:col>
      <xdr:colOff>603250</xdr:colOff>
      <xdr:row>1485</xdr:row>
      <xdr:rowOff>31750</xdr:rowOff>
    </xdr:to>
    <xdr:cxnSp macro="">
      <xdr:nvCxnSpPr>
        <xdr:cNvPr id="3846" name="Straight Arrow Connector 3845">
          <a:extLst>
            <a:ext uri="{FF2B5EF4-FFF2-40B4-BE49-F238E27FC236}">
              <a16:creationId xmlns:a16="http://schemas.microsoft.com/office/drawing/2014/main" id="{00000000-0008-0000-1200-0000060F0000}"/>
            </a:ext>
          </a:extLst>
        </xdr:cNvPr>
        <xdr:cNvCxnSpPr/>
      </xdr:nvCxnSpPr>
      <xdr:spPr>
        <a:xfrm flipV="1">
          <a:off x="11281833" y="110871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1483</xdr:row>
      <xdr:rowOff>52917</xdr:rowOff>
    </xdr:from>
    <xdr:to>
      <xdr:col>15</xdr:col>
      <xdr:colOff>603250</xdr:colOff>
      <xdr:row>1485</xdr:row>
      <xdr:rowOff>95250</xdr:rowOff>
    </xdr:to>
    <xdr:cxnSp macro="">
      <xdr:nvCxnSpPr>
        <xdr:cNvPr id="3847" name="Straight Arrow Connector 3846">
          <a:extLst>
            <a:ext uri="{FF2B5EF4-FFF2-40B4-BE49-F238E27FC236}">
              <a16:creationId xmlns:a16="http://schemas.microsoft.com/office/drawing/2014/main" id="{00000000-0008-0000-1200-0000070F0000}"/>
            </a:ext>
          </a:extLst>
        </xdr:cNvPr>
        <xdr:cNvCxnSpPr/>
      </xdr:nvCxnSpPr>
      <xdr:spPr>
        <a:xfrm flipV="1">
          <a:off x="11324166" y="111495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1485</xdr:row>
      <xdr:rowOff>158750</xdr:rowOff>
    </xdr:from>
    <xdr:to>
      <xdr:col>15</xdr:col>
      <xdr:colOff>582083</xdr:colOff>
      <xdr:row>1486</xdr:row>
      <xdr:rowOff>137583</xdr:rowOff>
    </xdr:to>
    <xdr:cxnSp macro="">
      <xdr:nvCxnSpPr>
        <xdr:cNvPr id="3848" name="Straight Arrow Connector 3847">
          <a:extLst>
            <a:ext uri="{FF2B5EF4-FFF2-40B4-BE49-F238E27FC236}">
              <a16:creationId xmlns:a16="http://schemas.microsoft.com/office/drawing/2014/main" id="{00000000-0008-0000-1200-0000080F0000}"/>
            </a:ext>
          </a:extLst>
        </xdr:cNvPr>
        <xdr:cNvCxnSpPr/>
      </xdr:nvCxnSpPr>
      <xdr:spPr>
        <a:xfrm>
          <a:off x="11345333" y="111982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1485</xdr:row>
      <xdr:rowOff>105834</xdr:rowOff>
    </xdr:from>
    <xdr:to>
      <xdr:col>16</xdr:col>
      <xdr:colOff>0</xdr:colOff>
      <xdr:row>1489</xdr:row>
      <xdr:rowOff>84667</xdr:rowOff>
    </xdr:to>
    <xdr:cxnSp macro="">
      <xdr:nvCxnSpPr>
        <xdr:cNvPr id="3849" name="Straight Arrow Connector 3848">
          <a:extLst>
            <a:ext uri="{FF2B5EF4-FFF2-40B4-BE49-F238E27FC236}">
              <a16:creationId xmlns:a16="http://schemas.microsoft.com/office/drawing/2014/main" id="{00000000-0008-0000-1200-0000090F0000}"/>
            </a:ext>
          </a:extLst>
        </xdr:cNvPr>
        <xdr:cNvCxnSpPr/>
      </xdr:nvCxnSpPr>
      <xdr:spPr>
        <a:xfrm>
          <a:off x="11260667" y="111929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1493</xdr:row>
      <xdr:rowOff>52916</xdr:rowOff>
    </xdr:from>
    <xdr:to>
      <xdr:col>16</xdr:col>
      <xdr:colOff>0</xdr:colOff>
      <xdr:row>1495</xdr:row>
      <xdr:rowOff>0</xdr:rowOff>
    </xdr:to>
    <xdr:cxnSp macro="">
      <xdr:nvCxnSpPr>
        <xdr:cNvPr id="3850" name="Straight Arrow Connector 3849">
          <a:extLst>
            <a:ext uri="{FF2B5EF4-FFF2-40B4-BE49-F238E27FC236}">
              <a16:creationId xmlns:a16="http://schemas.microsoft.com/office/drawing/2014/main" id="{00000000-0008-0000-1200-00000A0F0000}"/>
            </a:ext>
          </a:extLst>
        </xdr:cNvPr>
        <xdr:cNvCxnSpPr/>
      </xdr:nvCxnSpPr>
      <xdr:spPr>
        <a:xfrm flipV="1">
          <a:off x="11281833" y="113400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1495</xdr:row>
      <xdr:rowOff>21167</xdr:rowOff>
    </xdr:from>
    <xdr:to>
      <xdr:col>15</xdr:col>
      <xdr:colOff>582083</xdr:colOff>
      <xdr:row>1496</xdr:row>
      <xdr:rowOff>42333</xdr:rowOff>
    </xdr:to>
    <xdr:cxnSp macro="">
      <xdr:nvCxnSpPr>
        <xdr:cNvPr id="3851" name="Straight Arrow Connector 3850">
          <a:extLst>
            <a:ext uri="{FF2B5EF4-FFF2-40B4-BE49-F238E27FC236}">
              <a16:creationId xmlns:a16="http://schemas.microsoft.com/office/drawing/2014/main" id="{00000000-0008-0000-1200-00000B0F0000}"/>
            </a:ext>
          </a:extLst>
        </xdr:cNvPr>
        <xdr:cNvCxnSpPr/>
      </xdr:nvCxnSpPr>
      <xdr:spPr>
        <a:xfrm>
          <a:off x="11292416" y="113749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1495</xdr:row>
      <xdr:rowOff>21167</xdr:rowOff>
    </xdr:from>
    <xdr:to>
      <xdr:col>16</xdr:col>
      <xdr:colOff>42333</xdr:colOff>
      <xdr:row>1500</xdr:row>
      <xdr:rowOff>21168</xdr:rowOff>
    </xdr:to>
    <xdr:cxnSp macro="">
      <xdr:nvCxnSpPr>
        <xdr:cNvPr id="3852" name="Straight Arrow Connector 3851">
          <a:extLst>
            <a:ext uri="{FF2B5EF4-FFF2-40B4-BE49-F238E27FC236}">
              <a16:creationId xmlns:a16="http://schemas.microsoft.com/office/drawing/2014/main" id="{00000000-0008-0000-1200-00000C0F0000}"/>
            </a:ext>
          </a:extLst>
        </xdr:cNvPr>
        <xdr:cNvCxnSpPr/>
      </xdr:nvCxnSpPr>
      <xdr:spPr>
        <a:xfrm>
          <a:off x="11271250" y="113749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853" name="Straight Arrow Connector 3852">
          <a:extLst>
            <a:ext uri="{FF2B5EF4-FFF2-40B4-BE49-F238E27FC236}">
              <a16:creationId xmlns:a16="http://schemas.microsoft.com/office/drawing/2014/main" id="{00000000-0008-0000-1200-00000D0F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1548</xdr:row>
      <xdr:rowOff>158750</xdr:rowOff>
    </xdr:from>
    <xdr:to>
      <xdr:col>11</xdr:col>
      <xdr:colOff>571500</xdr:colOff>
      <xdr:row>1551</xdr:row>
      <xdr:rowOff>0</xdr:rowOff>
    </xdr:to>
    <xdr:cxnSp macro="">
      <xdr:nvCxnSpPr>
        <xdr:cNvPr id="3854" name="Straight Arrow Connector 3853">
          <a:extLst>
            <a:ext uri="{FF2B5EF4-FFF2-40B4-BE49-F238E27FC236}">
              <a16:creationId xmlns:a16="http://schemas.microsoft.com/office/drawing/2014/main" id="{00000000-0008-0000-1200-00000E0F0000}"/>
            </a:ext>
          </a:extLst>
        </xdr:cNvPr>
        <xdr:cNvCxnSpPr/>
      </xdr:nvCxnSpPr>
      <xdr:spPr>
        <a:xfrm flipV="1">
          <a:off x="7874000" y="124174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1506</xdr:row>
      <xdr:rowOff>0</xdr:rowOff>
    </xdr:from>
    <xdr:to>
      <xdr:col>15</xdr:col>
      <xdr:colOff>603250</xdr:colOff>
      <xdr:row>1508</xdr:row>
      <xdr:rowOff>1</xdr:rowOff>
    </xdr:to>
    <xdr:cxnSp macro="">
      <xdr:nvCxnSpPr>
        <xdr:cNvPr id="3855" name="Straight Arrow Connector 3854">
          <a:extLst>
            <a:ext uri="{FF2B5EF4-FFF2-40B4-BE49-F238E27FC236}">
              <a16:creationId xmlns:a16="http://schemas.microsoft.com/office/drawing/2014/main" id="{00000000-0008-0000-1200-00000F0F0000}"/>
            </a:ext>
          </a:extLst>
        </xdr:cNvPr>
        <xdr:cNvCxnSpPr/>
      </xdr:nvCxnSpPr>
      <xdr:spPr>
        <a:xfrm flipV="1">
          <a:off x="11271250" y="116014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1508</xdr:row>
      <xdr:rowOff>10584</xdr:rowOff>
    </xdr:from>
    <xdr:to>
      <xdr:col>15</xdr:col>
      <xdr:colOff>592666</xdr:colOff>
      <xdr:row>1509</xdr:row>
      <xdr:rowOff>95250</xdr:rowOff>
    </xdr:to>
    <xdr:cxnSp macro="">
      <xdr:nvCxnSpPr>
        <xdr:cNvPr id="3856" name="Straight Arrow Connector 3855">
          <a:extLst>
            <a:ext uri="{FF2B5EF4-FFF2-40B4-BE49-F238E27FC236}">
              <a16:creationId xmlns:a16="http://schemas.microsoft.com/office/drawing/2014/main" id="{00000000-0008-0000-1200-0000100F0000}"/>
            </a:ext>
          </a:extLst>
        </xdr:cNvPr>
        <xdr:cNvCxnSpPr/>
      </xdr:nvCxnSpPr>
      <xdr:spPr>
        <a:xfrm>
          <a:off x="11313583" y="116406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1508</xdr:row>
      <xdr:rowOff>10584</xdr:rowOff>
    </xdr:from>
    <xdr:to>
      <xdr:col>15</xdr:col>
      <xdr:colOff>560916</xdr:colOff>
      <xdr:row>1512</xdr:row>
      <xdr:rowOff>52917</xdr:rowOff>
    </xdr:to>
    <xdr:cxnSp macro="">
      <xdr:nvCxnSpPr>
        <xdr:cNvPr id="3857" name="Straight Arrow Connector 3856">
          <a:extLst>
            <a:ext uri="{FF2B5EF4-FFF2-40B4-BE49-F238E27FC236}">
              <a16:creationId xmlns:a16="http://schemas.microsoft.com/office/drawing/2014/main" id="{00000000-0008-0000-1200-0000110F0000}"/>
            </a:ext>
          </a:extLst>
        </xdr:cNvPr>
        <xdr:cNvCxnSpPr/>
      </xdr:nvCxnSpPr>
      <xdr:spPr>
        <a:xfrm>
          <a:off x="11292416" y="116406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858" name="Straight Arrow Connector 3857">
          <a:extLst>
            <a:ext uri="{FF2B5EF4-FFF2-40B4-BE49-F238E27FC236}">
              <a16:creationId xmlns:a16="http://schemas.microsoft.com/office/drawing/2014/main" id="{00000000-0008-0000-1200-000012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1522</xdr:row>
      <xdr:rowOff>0</xdr:rowOff>
    </xdr:from>
    <xdr:to>
      <xdr:col>16</xdr:col>
      <xdr:colOff>0</xdr:colOff>
      <xdr:row>1522</xdr:row>
      <xdr:rowOff>42334</xdr:rowOff>
    </xdr:to>
    <xdr:cxnSp macro="">
      <xdr:nvCxnSpPr>
        <xdr:cNvPr id="3859" name="Straight Arrow Connector 3858">
          <a:extLst>
            <a:ext uri="{FF2B5EF4-FFF2-40B4-BE49-F238E27FC236}">
              <a16:creationId xmlns:a16="http://schemas.microsoft.com/office/drawing/2014/main" id="{00000000-0008-0000-1200-0000130F0000}"/>
            </a:ext>
          </a:extLst>
        </xdr:cNvPr>
        <xdr:cNvCxnSpPr/>
      </xdr:nvCxnSpPr>
      <xdr:spPr>
        <a:xfrm>
          <a:off x="11302999" y="119062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1522</xdr:row>
      <xdr:rowOff>21166</xdr:rowOff>
    </xdr:from>
    <xdr:to>
      <xdr:col>15</xdr:col>
      <xdr:colOff>560916</xdr:colOff>
      <xdr:row>1525</xdr:row>
      <xdr:rowOff>84667</xdr:rowOff>
    </xdr:to>
    <xdr:cxnSp macro="">
      <xdr:nvCxnSpPr>
        <xdr:cNvPr id="3860" name="Straight Arrow Connector 3859">
          <a:extLst>
            <a:ext uri="{FF2B5EF4-FFF2-40B4-BE49-F238E27FC236}">
              <a16:creationId xmlns:a16="http://schemas.microsoft.com/office/drawing/2014/main" id="{00000000-0008-0000-1200-0000140F0000}"/>
            </a:ext>
          </a:extLst>
        </xdr:cNvPr>
        <xdr:cNvCxnSpPr/>
      </xdr:nvCxnSpPr>
      <xdr:spPr>
        <a:xfrm>
          <a:off x="11355916" y="119083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1522</xdr:row>
      <xdr:rowOff>52916</xdr:rowOff>
    </xdr:from>
    <xdr:to>
      <xdr:col>15</xdr:col>
      <xdr:colOff>592666</xdr:colOff>
      <xdr:row>1528</xdr:row>
      <xdr:rowOff>63501</xdr:rowOff>
    </xdr:to>
    <xdr:cxnSp macro="">
      <xdr:nvCxnSpPr>
        <xdr:cNvPr id="3861" name="Straight Arrow Connector 3860">
          <a:extLst>
            <a:ext uri="{FF2B5EF4-FFF2-40B4-BE49-F238E27FC236}">
              <a16:creationId xmlns:a16="http://schemas.microsoft.com/office/drawing/2014/main" id="{00000000-0008-0000-1200-0000150F0000}"/>
            </a:ext>
          </a:extLst>
        </xdr:cNvPr>
        <xdr:cNvCxnSpPr/>
      </xdr:nvCxnSpPr>
      <xdr:spPr>
        <a:xfrm>
          <a:off x="11313583" y="119115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1536</xdr:row>
      <xdr:rowOff>116416</xdr:rowOff>
    </xdr:from>
    <xdr:to>
      <xdr:col>15</xdr:col>
      <xdr:colOff>592666</xdr:colOff>
      <xdr:row>1539</xdr:row>
      <xdr:rowOff>158750</xdr:rowOff>
    </xdr:to>
    <xdr:cxnSp macro="">
      <xdr:nvCxnSpPr>
        <xdr:cNvPr id="3862" name="Straight Arrow Connector 3861">
          <a:extLst>
            <a:ext uri="{FF2B5EF4-FFF2-40B4-BE49-F238E27FC236}">
              <a16:creationId xmlns:a16="http://schemas.microsoft.com/office/drawing/2014/main" id="{00000000-0008-0000-1200-0000160F0000}"/>
            </a:ext>
          </a:extLst>
        </xdr:cNvPr>
        <xdr:cNvCxnSpPr/>
      </xdr:nvCxnSpPr>
      <xdr:spPr>
        <a:xfrm flipV="1">
          <a:off x="11302999" y="121845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1538</xdr:row>
      <xdr:rowOff>95250</xdr:rowOff>
    </xdr:from>
    <xdr:to>
      <xdr:col>15</xdr:col>
      <xdr:colOff>582083</xdr:colOff>
      <xdr:row>1540</xdr:row>
      <xdr:rowOff>52917</xdr:rowOff>
    </xdr:to>
    <xdr:cxnSp macro="">
      <xdr:nvCxnSpPr>
        <xdr:cNvPr id="3863" name="Straight Arrow Connector 3862">
          <a:extLst>
            <a:ext uri="{FF2B5EF4-FFF2-40B4-BE49-F238E27FC236}">
              <a16:creationId xmlns:a16="http://schemas.microsoft.com/office/drawing/2014/main" id="{00000000-0008-0000-1200-0000170F0000}"/>
            </a:ext>
          </a:extLst>
        </xdr:cNvPr>
        <xdr:cNvCxnSpPr/>
      </xdr:nvCxnSpPr>
      <xdr:spPr>
        <a:xfrm flipV="1">
          <a:off x="11345333" y="122205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116417</xdr:rowOff>
    </xdr:from>
    <xdr:to>
      <xdr:col>15</xdr:col>
      <xdr:colOff>592666</xdr:colOff>
      <xdr:row>1544</xdr:row>
      <xdr:rowOff>95250</xdr:rowOff>
    </xdr:to>
    <xdr:cxnSp macro="">
      <xdr:nvCxnSpPr>
        <xdr:cNvPr id="3864" name="Straight Arrow Connector 3863">
          <a:extLst>
            <a:ext uri="{FF2B5EF4-FFF2-40B4-BE49-F238E27FC236}">
              <a16:creationId xmlns:a16="http://schemas.microsoft.com/office/drawing/2014/main" id="{00000000-0008-0000-1200-0000180F0000}"/>
            </a:ext>
          </a:extLst>
        </xdr:cNvPr>
        <xdr:cNvCxnSpPr/>
      </xdr:nvCxnSpPr>
      <xdr:spPr>
        <a:xfrm>
          <a:off x="11334749" y="122607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1551</xdr:row>
      <xdr:rowOff>116416</xdr:rowOff>
    </xdr:from>
    <xdr:to>
      <xdr:col>16</xdr:col>
      <xdr:colOff>0</xdr:colOff>
      <xdr:row>1558</xdr:row>
      <xdr:rowOff>74084</xdr:rowOff>
    </xdr:to>
    <xdr:cxnSp macro="">
      <xdr:nvCxnSpPr>
        <xdr:cNvPr id="3865" name="Straight Arrow Connector 3864">
          <a:extLst>
            <a:ext uri="{FF2B5EF4-FFF2-40B4-BE49-F238E27FC236}">
              <a16:creationId xmlns:a16="http://schemas.microsoft.com/office/drawing/2014/main" id="{00000000-0008-0000-1200-0000190F0000}"/>
            </a:ext>
          </a:extLst>
        </xdr:cNvPr>
        <xdr:cNvCxnSpPr/>
      </xdr:nvCxnSpPr>
      <xdr:spPr>
        <a:xfrm>
          <a:off x="11313583" y="124703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1519</xdr:row>
      <xdr:rowOff>52917</xdr:rowOff>
    </xdr:from>
    <xdr:to>
      <xdr:col>15</xdr:col>
      <xdr:colOff>603250</xdr:colOff>
      <xdr:row>1521</xdr:row>
      <xdr:rowOff>148167</xdr:rowOff>
    </xdr:to>
    <xdr:cxnSp macro="">
      <xdr:nvCxnSpPr>
        <xdr:cNvPr id="3866" name="Straight Arrow Connector 3865">
          <a:extLst>
            <a:ext uri="{FF2B5EF4-FFF2-40B4-BE49-F238E27FC236}">
              <a16:creationId xmlns:a16="http://schemas.microsoft.com/office/drawing/2014/main" id="{00000000-0008-0000-1200-00001A0F0000}"/>
            </a:ext>
          </a:extLst>
        </xdr:cNvPr>
        <xdr:cNvCxnSpPr/>
      </xdr:nvCxnSpPr>
      <xdr:spPr>
        <a:xfrm flipV="1">
          <a:off x="11324166" y="118543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1554</xdr:row>
      <xdr:rowOff>42333</xdr:rowOff>
    </xdr:from>
    <xdr:to>
      <xdr:col>11</xdr:col>
      <xdr:colOff>603250</xdr:colOff>
      <xdr:row>1566</xdr:row>
      <xdr:rowOff>10583</xdr:rowOff>
    </xdr:to>
    <xdr:cxnSp macro="">
      <xdr:nvCxnSpPr>
        <xdr:cNvPr id="3867" name="Straight Arrow Connector 3866">
          <a:extLst>
            <a:ext uri="{FF2B5EF4-FFF2-40B4-BE49-F238E27FC236}">
              <a16:creationId xmlns:a16="http://schemas.microsoft.com/office/drawing/2014/main" id="{00000000-0008-0000-1200-00001B0F0000}"/>
            </a:ext>
          </a:extLst>
        </xdr:cNvPr>
        <xdr:cNvCxnSpPr/>
      </xdr:nvCxnSpPr>
      <xdr:spPr>
        <a:xfrm>
          <a:off x="7926917" y="125200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1544</xdr:row>
      <xdr:rowOff>21167</xdr:rowOff>
    </xdr:from>
    <xdr:to>
      <xdr:col>13</xdr:col>
      <xdr:colOff>592667</xdr:colOff>
      <xdr:row>1546</xdr:row>
      <xdr:rowOff>0</xdr:rowOff>
    </xdr:to>
    <xdr:cxnSp macro="">
      <xdr:nvCxnSpPr>
        <xdr:cNvPr id="3868" name="Straight Arrow Connector 3867">
          <a:extLst>
            <a:ext uri="{FF2B5EF4-FFF2-40B4-BE49-F238E27FC236}">
              <a16:creationId xmlns:a16="http://schemas.microsoft.com/office/drawing/2014/main" id="{00000000-0008-0000-1200-00001C0F0000}"/>
            </a:ext>
          </a:extLst>
        </xdr:cNvPr>
        <xdr:cNvCxnSpPr/>
      </xdr:nvCxnSpPr>
      <xdr:spPr>
        <a:xfrm flipV="1">
          <a:off x="9133417" y="123274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1549</xdr:row>
      <xdr:rowOff>21166</xdr:rowOff>
    </xdr:from>
    <xdr:to>
      <xdr:col>13</xdr:col>
      <xdr:colOff>592667</xdr:colOff>
      <xdr:row>1550</xdr:row>
      <xdr:rowOff>169334</xdr:rowOff>
    </xdr:to>
    <xdr:cxnSp macro="">
      <xdr:nvCxnSpPr>
        <xdr:cNvPr id="3869" name="Straight Arrow Connector 3868">
          <a:extLst>
            <a:ext uri="{FF2B5EF4-FFF2-40B4-BE49-F238E27FC236}">
              <a16:creationId xmlns:a16="http://schemas.microsoft.com/office/drawing/2014/main" id="{00000000-0008-0000-1200-00001D0F0000}"/>
            </a:ext>
          </a:extLst>
        </xdr:cNvPr>
        <xdr:cNvCxnSpPr/>
      </xdr:nvCxnSpPr>
      <xdr:spPr>
        <a:xfrm>
          <a:off x="9122833" y="124227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1564</xdr:row>
      <xdr:rowOff>21167</xdr:rowOff>
    </xdr:from>
    <xdr:to>
      <xdr:col>13</xdr:col>
      <xdr:colOff>592667</xdr:colOff>
      <xdr:row>1566</xdr:row>
      <xdr:rowOff>63500</xdr:rowOff>
    </xdr:to>
    <xdr:cxnSp macro="">
      <xdr:nvCxnSpPr>
        <xdr:cNvPr id="3870" name="Straight Arrow Connector 3869">
          <a:extLst>
            <a:ext uri="{FF2B5EF4-FFF2-40B4-BE49-F238E27FC236}">
              <a16:creationId xmlns:a16="http://schemas.microsoft.com/office/drawing/2014/main" id="{00000000-0008-0000-1200-00001E0F0000}"/>
            </a:ext>
          </a:extLst>
        </xdr:cNvPr>
        <xdr:cNvCxnSpPr/>
      </xdr:nvCxnSpPr>
      <xdr:spPr>
        <a:xfrm flipV="1">
          <a:off x="9525000" y="127275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1569</xdr:row>
      <xdr:rowOff>0</xdr:rowOff>
    </xdr:from>
    <xdr:to>
      <xdr:col>14</xdr:col>
      <xdr:colOff>10584</xdr:colOff>
      <xdr:row>1577</xdr:row>
      <xdr:rowOff>148167</xdr:rowOff>
    </xdr:to>
    <xdr:cxnSp macro="">
      <xdr:nvCxnSpPr>
        <xdr:cNvPr id="3871" name="Straight Arrow Connector 3870">
          <a:extLst>
            <a:ext uri="{FF2B5EF4-FFF2-40B4-BE49-F238E27FC236}">
              <a16:creationId xmlns:a16="http://schemas.microsoft.com/office/drawing/2014/main" id="{00000000-0008-0000-1200-00001F0F0000}"/>
            </a:ext>
          </a:extLst>
        </xdr:cNvPr>
        <xdr:cNvCxnSpPr/>
      </xdr:nvCxnSpPr>
      <xdr:spPr>
        <a:xfrm>
          <a:off x="9535583" y="128206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1540</xdr:row>
      <xdr:rowOff>95250</xdr:rowOff>
    </xdr:from>
    <xdr:to>
      <xdr:col>15</xdr:col>
      <xdr:colOff>582083</xdr:colOff>
      <xdr:row>1542</xdr:row>
      <xdr:rowOff>137583</xdr:rowOff>
    </xdr:to>
    <xdr:cxnSp macro="">
      <xdr:nvCxnSpPr>
        <xdr:cNvPr id="3872" name="Straight Arrow Connector 3871">
          <a:extLst>
            <a:ext uri="{FF2B5EF4-FFF2-40B4-BE49-F238E27FC236}">
              <a16:creationId xmlns:a16="http://schemas.microsoft.com/office/drawing/2014/main" id="{00000000-0008-0000-1200-0000200F0000}"/>
            </a:ext>
          </a:extLst>
        </xdr:cNvPr>
        <xdr:cNvCxnSpPr/>
      </xdr:nvCxnSpPr>
      <xdr:spPr>
        <a:xfrm>
          <a:off x="11334749" y="122586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1549</xdr:row>
      <xdr:rowOff>52916</xdr:rowOff>
    </xdr:from>
    <xdr:to>
      <xdr:col>16</xdr:col>
      <xdr:colOff>0</xdr:colOff>
      <xdr:row>1551</xdr:row>
      <xdr:rowOff>0</xdr:rowOff>
    </xdr:to>
    <xdr:cxnSp macro="">
      <xdr:nvCxnSpPr>
        <xdr:cNvPr id="3873" name="Straight Arrow Connector 3872">
          <a:extLst>
            <a:ext uri="{FF2B5EF4-FFF2-40B4-BE49-F238E27FC236}">
              <a16:creationId xmlns:a16="http://schemas.microsoft.com/office/drawing/2014/main" id="{00000000-0008-0000-1200-0000210F0000}"/>
            </a:ext>
          </a:extLst>
        </xdr:cNvPr>
        <xdr:cNvCxnSpPr/>
      </xdr:nvCxnSpPr>
      <xdr:spPr>
        <a:xfrm flipV="1">
          <a:off x="11281833" y="124258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21167</xdr:rowOff>
    </xdr:from>
    <xdr:to>
      <xdr:col>15</xdr:col>
      <xdr:colOff>592666</xdr:colOff>
      <xdr:row>1552</xdr:row>
      <xdr:rowOff>84667</xdr:rowOff>
    </xdr:to>
    <xdr:cxnSp macro="">
      <xdr:nvCxnSpPr>
        <xdr:cNvPr id="3874" name="Straight Arrow Connector 3873">
          <a:extLst>
            <a:ext uri="{FF2B5EF4-FFF2-40B4-BE49-F238E27FC236}">
              <a16:creationId xmlns:a16="http://schemas.microsoft.com/office/drawing/2014/main" id="{00000000-0008-0000-1200-0000220F0000}"/>
            </a:ext>
          </a:extLst>
        </xdr:cNvPr>
        <xdr:cNvCxnSpPr/>
      </xdr:nvCxnSpPr>
      <xdr:spPr>
        <a:xfrm>
          <a:off x="11271250" y="124608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1551</xdr:row>
      <xdr:rowOff>0</xdr:rowOff>
    </xdr:from>
    <xdr:to>
      <xdr:col>16</xdr:col>
      <xdr:colOff>0</xdr:colOff>
      <xdr:row>1555</xdr:row>
      <xdr:rowOff>42334</xdr:rowOff>
    </xdr:to>
    <xdr:cxnSp macro="">
      <xdr:nvCxnSpPr>
        <xdr:cNvPr id="3875" name="Straight Arrow Connector 3874">
          <a:extLst>
            <a:ext uri="{FF2B5EF4-FFF2-40B4-BE49-F238E27FC236}">
              <a16:creationId xmlns:a16="http://schemas.microsoft.com/office/drawing/2014/main" id="{00000000-0008-0000-1200-0000230F0000}"/>
            </a:ext>
          </a:extLst>
        </xdr:cNvPr>
        <xdr:cNvCxnSpPr/>
      </xdr:nvCxnSpPr>
      <xdr:spPr>
        <a:xfrm>
          <a:off x="11271250" y="124587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1562</xdr:row>
      <xdr:rowOff>0</xdr:rowOff>
    </xdr:from>
    <xdr:to>
      <xdr:col>15</xdr:col>
      <xdr:colOff>603250</xdr:colOff>
      <xdr:row>1564</xdr:row>
      <xdr:rowOff>1</xdr:rowOff>
    </xdr:to>
    <xdr:cxnSp macro="">
      <xdr:nvCxnSpPr>
        <xdr:cNvPr id="3876" name="Straight Arrow Connector 3875">
          <a:extLst>
            <a:ext uri="{FF2B5EF4-FFF2-40B4-BE49-F238E27FC236}">
              <a16:creationId xmlns:a16="http://schemas.microsoft.com/office/drawing/2014/main" id="{00000000-0008-0000-1200-0000240F0000}"/>
            </a:ext>
          </a:extLst>
        </xdr:cNvPr>
        <xdr:cNvCxnSpPr/>
      </xdr:nvCxnSpPr>
      <xdr:spPr>
        <a:xfrm flipV="1">
          <a:off x="11271250" y="126873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1564</xdr:row>
      <xdr:rowOff>10584</xdr:rowOff>
    </xdr:from>
    <xdr:to>
      <xdr:col>15</xdr:col>
      <xdr:colOff>592666</xdr:colOff>
      <xdr:row>1565</xdr:row>
      <xdr:rowOff>95250</xdr:rowOff>
    </xdr:to>
    <xdr:cxnSp macro="">
      <xdr:nvCxnSpPr>
        <xdr:cNvPr id="3877" name="Straight Arrow Connector 3876">
          <a:extLst>
            <a:ext uri="{FF2B5EF4-FFF2-40B4-BE49-F238E27FC236}">
              <a16:creationId xmlns:a16="http://schemas.microsoft.com/office/drawing/2014/main" id="{00000000-0008-0000-1200-0000250F0000}"/>
            </a:ext>
          </a:extLst>
        </xdr:cNvPr>
        <xdr:cNvCxnSpPr/>
      </xdr:nvCxnSpPr>
      <xdr:spPr>
        <a:xfrm>
          <a:off x="11313583" y="127264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1564</xdr:row>
      <xdr:rowOff>10584</xdr:rowOff>
    </xdr:from>
    <xdr:to>
      <xdr:col>15</xdr:col>
      <xdr:colOff>560916</xdr:colOff>
      <xdr:row>1568</xdr:row>
      <xdr:rowOff>52917</xdr:rowOff>
    </xdr:to>
    <xdr:cxnSp macro="">
      <xdr:nvCxnSpPr>
        <xdr:cNvPr id="3878" name="Straight Arrow Connector 3877">
          <a:extLst>
            <a:ext uri="{FF2B5EF4-FFF2-40B4-BE49-F238E27FC236}">
              <a16:creationId xmlns:a16="http://schemas.microsoft.com/office/drawing/2014/main" id="{00000000-0008-0000-1200-0000260F0000}"/>
            </a:ext>
          </a:extLst>
        </xdr:cNvPr>
        <xdr:cNvCxnSpPr/>
      </xdr:nvCxnSpPr>
      <xdr:spPr>
        <a:xfrm>
          <a:off x="11292416" y="127264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879" name="Straight Arrow Connector 3878">
          <a:extLst>
            <a:ext uri="{FF2B5EF4-FFF2-40B4-BE49-F238E27FC236}">
              <a16:creationId xmlns:a16="http://schemas.microsoft.com/office/drawing/2014/main" id="{00000000-0008-0000-1200-000027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1578</xdr:row>
      <xdr:rowOff>0</xdr:rowOff>
    </xdr:from>
    <xdr:to>
      <xdr:col>16</xdr:col>
      <xdr:colOff>0</xdr:colOff>
      <xdr:row>1578</xdr:row>
      <xdr:rowOff>42334</xdr:rowOff>
    </xdr:to>
    <xdr:cxnSp macro="">
      <xdr:nvCxnSpPr>
        <xdr:cNvPr id="3880" name="Straight Arrow Connector 3879">
          <a:extLst>
            <a:ext uri="{FF2B5EF4-FFF2-40B4-BE49-F238E27FC236}">
              <a16:creationId xmlns:a16="http://schemas.microsoft.com/office/drawing/2014/main" id="{00000000-0008-0000-1200-0000280F0000}"/>
            </a:ext>
          </a:extLst>
        </xdr:cNvPr>
        <xdr:cNvCxnSpPr/>
      </xdr:nvCxnSpPr>
      <xdr:spPr>
        <a:xfrm>
          <a:off x="11302999" y="129921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1578</xdr:row>
      <xdr:rowOff>21166</xdr:rowOff>
    </xdr:from>
    <xdr:to>
      <xdr:col>15</xdr:col>
      <xdr:colOff>560916</xdr:colOff>
      <xdr:row>1581</xdr:row>
      <xdr:rowOff>84667</xdr:rowOff>
    </xdr:to>
    <xdr:cxnSp macro="">
      <xdr:nvCxnSpPr>
        <xdr:cNvPr id="3881" name="Straight Arrow Connector 3880">
          <a:extLst>
            <a:ext uri="{FF2B5EF4-FFF2-40B4-BE49-F238E27FC236}">
              <a16:creationId xmlns:a16="http://schemas.microsoft.com/office/drawing/2014/main" id="{00000000-0008-0000-1200-0000290F0000}"/>
            </a:ext>
          </a:extLst>
        </xdr:cNvPr>
        <xdr:cNvCxnSpPr/>
      </xdr:nvCxnSpPr>
      <xdr:spPr>
        <a:xfrm>
          <a:off x="11355916" y="129942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1578</xdr:row>
      <xdr:rowOff>52916</xdr:rowOff>
    </xdr:from>
    <xdr:to>
      <xdr:col>15</xdr:col>
      <xdr:colOff>592666</xdr:colOff>
      <xdr:row>1584</xdr:row>
      <xdr:rowOff>63501</xdr:rowOff>
    </xdr:to>
    <xdr:cxnSp macro="">
      <xdr:nvCxnSpPr>
        <xdr:cNvPr id="3882" name="Straight Arrow Connector 3881">
          <a:extLst>
            <a:ext uri="{FF2B5EF4-FFF2-40B4-BE49-F238E27FC236}">
              <a16:creationId xmlns:a16="http://schemas.microsoft.com/office/drawing/2014/main" id="{00000000-0008-0000-1200-00002A0F0000}"/>
            </a:ext>
          </a:extLst>
        </xdr:cNvPr>
        <xdr:cNvCxnSpPr/>
      </xdr:nvCxnSpPr>
      <xdr:spPr>
        <a:xfrm>
          <a:off x="11313583" y="129973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1575</xdr:row>
      <xdr:rowOff>52917</xdr:rowOff>
    </xdr:from>
    <xdr:to>
      <xdr:col>15</xdr:col>
      <xdr:colOff>603250</xdr:colOff>
      <xdr:row>1577</xdr:row>
      <xdr:rowOff>148167</xdr:rowOff>
    </xdr:to>
    <xdr:cxnSp macro="">
      <xdr:nvCxnSpPr>
        <xdr:cNvPr id="3883" name="Straight Arrow Connector 3882">
          <a:extLst>
            <a:ext uri="{FF2B5EF4-FFF2-40B4-BE49-F238E27FC236}">
              <a16:creationId xmlns:a16="http://schemas.microsoft.com/office/drawing/2014/main" id="{00000000-0008-0000-1200-00002B0F0000}"/>
            </a:ext>
          </a:extLst>
        </xdr:cNvPr>
        <xdr:cNvCxnSpPr/>
      </xdr:nvCxnSpPr>
      <xdr:spPr>
        <a:xfrm flipV="1">
          <a:off x="11324166" y="129402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884" name="Straight Arrow Connector 3883">
          <a:extLst>
            <a:ext uri="{FF2B5EF4-FFF2-40B4-BE49-F238E27FC236}">
              <a16:creationId xmlns:a16="http://schemas.microsoft.com/office/drawing/2014/main" id="{00000000-0008-0000-1200-00002C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885" name="Straight Arrow Connector 3884">
          <a:extLst>
            <a:ext uri="{FF2B5EF4-FFF2-40B4-BE49-F238E27FC236}">
              <a16:creationId xmlns:a16="http://schemas.microsoft.com/office/drawing/2014/main" id="{00000000-0008-0000-1200-00002D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886" name="Straight Arrow Connector 3885">
          <a:extLst>
            <a:ext uri="{FF2B5EF4-FFF2-40B4-BE49-F238E27FC236}">
              <a16:creationId xmlns:a16="http://schemas.microsoft.com/office/drawing/2014/main" id="{00000000-0008-0000-1200-00002E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887" name="Straight Arrow Connector 3886">
          <a:extLst>
            <a:ext uri="{FF2B5EF4-FFF2-40B4-BE49-F238E27FC236}">
              <a16:creationId xmlns:a16="http://schemas.microsoft.com/office/drawing/2014/main" id="{00000000-0008-0000-1200-00002F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888" name="Straight Arrow Connector 3887">
          <a:extLst>
            <a:ext uri="{FF2B5EF4-FFF2-40B4-BE49-F238E27FC236}">
              <a16:creationId xmlns:a16="http://schemas.microsoft.com/office/drawing/2014/main" id="{00000000-0008-0000-1200-000030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889" name="Straight Arrow Connector 3888">
          <a:extLst>
            <a:ext uri="{FF2B5EF4-FFF2-40B4-BE49-F238E27FC236}">
              <a16:creationId xmlns:a16="http://schemas.microsoft.com/office/drawing/2014/main" id="{00000000-0008-0000-1200-000031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1690</xdr:row>
      <xdr:rowOff>21167</xdr:rowOff>
    </xdr:from>
    <xdr:to>
      <xdr:col>15</xdr:col>
      <xdr:colOff>592666</xdr:colOff>
      <xdr:row>1691</xdr:row>
      <xdr:rowOff>84667</xdr:rowOff>
    </xdr:to>
    <xdr:cxnSp macro="">
      <xdr:nvCxnSpPr>
        <xdr:cNvPr id="3890" name="Straight Arrow Connector 3889">
          <a:extLst>
            <a:ext uri="{FF2B5EF4-FFF2-40B4-BE49-F238E27FC236}">
              <a16:creationId xmlns:a16="http://schemas.microsoft.com/office/drawing/2014/main" id="{00000000-0008-0000-1200-0000320F0000}"/>
            </a:ext>
          </a:extLst>
        </xdr:cNvPr>
        <xdr:cNvCxnSpPr/>
      </xdr:nvCxnSpPr>
      <xdr:spPr>
        <a:xfrm>
          <a:off x="11271250" y="151659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3891" name="Straight Arrow Connector 3890">
          <a:extLst>
            <a:ext uri="{FF2B5EF4-FFF2-40B4-BE49-F238E27FC236}">
              <a16:creationId xmlns:a16="http://schemas.microsoft.com/office/drawing/2014/main" id="{00000000-0008-0000-1200-000033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892" name="Straight Arrow Connector 3891">
          <a:extLst>
            <a:ext uri="{FF2B5EF4-FFF2-40B4-BE49-F238E27FC236}">
              <a16:creationId xmlns:a16="http://schemas.microsoft.com/office/drawing/2014/main" id="{00000000-0008-0000-1200-000034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893" name="Straight Arrow Connector 3892">
          <a:extLst>
            <a:ext uri="{FF2B5EF4-FFF2-40B4-BE49-F238E27FC236}">
              <a16:creationId xmlns:a16="http://schemas.microsoft.com/office/drawing/2014/main" id="{00000000-0008-0000-1200-000035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894" name="Straight Arrow Connector 3893">
          <a:extLst>
            <a:ext uri="{FF2B5EF4-FFF2-40B4-BE49-F238E27FC236}">
              <a16:creationId xmlns:a16="http://schemas.microsoft.com/office/drawing/2014/main" id="{00000000-0008-0000-1200-000036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3895" name="Straight Arrow Connector 3894">
          <a:extLst>
            <a:ext uri="{FF2B5EF4-FFF2-40B4-BE49-F238E27FC236}">
              <a16:creationId xmlns:a16="http://schemas.microsoft.com/office/drawing/2014/main" id="{00000000-0008-0000-1200-000037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3896" name="Straight Arrow Connector 3895">
          <a:extLst>
            <a:ext uri="{FF2B5EF4-FFF2-40B4-BE49-F238E27FC236}">
              <a16:creationId xmlns:a16="http://schemas.microsoft.com/office/drawing/2014/main" id="{00000000-0008-0000-1200-000038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21167</xdr:colOff>
      <xdr:row>1716</xdr:row>
      <xdr:rowOff>169333</xdr:rowOff>
    </xdr:from>
    <xdr:to>
      <xdr:col>11</xdr:col>
      <xdr:colOff>603250</xdr:colOff>
      <xdr:row>1719</xdr:row>
      <xdr:rowOff>21167</xdr:rowOff>
    </xdr:to>
    <xdr:cxnSp macro="">
      <xdr:nvCxnSpPr>
        <xdr:cNvPr id="3897" name="Straight Arrow Connector 3896">
          <a:extLst>
            <a:ext uri="{FF2B5EF4-FFF2-40B4-BE49-F238E27FC236}">
              <a16:creationId xmlns:a16="http://schemas.microsoft.com/office/drawing/2014/main" id="{00000000-0008-0000-1200-0000390F0000}"/>
            </a:ext>
          </a:extLst>
        </xdr:cNvPr>
        <xdr:cNvCxnSpPr/>
      </xdr:nvCxnSpPr>
      <xdr:spPr>
        <a:xfrm flipV="1">
          <a:off x="7937500" y="156760333"/>
          <a:ext cx="582083" cy="423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1722</xdr:row>
      <xdr:rowOff>42333</xdr:rowOff>
    </xdr:from>
    <xdr:to>
      <xdr:col>11</xdr:col>
      <xdr:colOff>603250</xdr:colOff>
      <xdr:row>1734</xdr:row>
      <xdr:rowOff>10583</xdr:rowOff>
    </xdr:to>
    <xdr:cxnSp macro="">
      <xdr:nvCxnSpPr>
        <xdr:cNvPr id="3898" name="Straight Arrow Connector 3897">
          <a:extLst>
            <a:ext uri="{FF2B5EF4-FFF2-40B4-BE49-F238E27FC236}">
              <a16:creationId xmlns:a16="http://schemas.microsoft.com/office/drawing/2014/main" id="{00000000-0008-0000-1200-00003A0F0000}"/>
            </a:ext>
          </a:extLst>
        </xdr:cNvPr>
        <xdr:cNvCxnSpPr/>
      </xdr:nvCxnSpPr>
      <xdr:spPr>
        <a:xfrm>
          <a:off x="7926917" y="1577763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1712</xdr:row>
      <xdr:rowOff>21167</xdr:rowOff>
    </xdr:from>
    <xdr:to>
      <xdr:col>13</xdr:col>
      <xdr:colOff>592667</xdr:colOff>
      <xdr:row>1714</xdr:row>
      <xdr:rowOff>0</xdr:rowOff>
    </xdr:to>
    <xdr:cxnSp macro="">
      <xdr:nvCxnSpPr>
        <xdr:cNvPr id="3899" name="Straight Arrow Connector 3898">
          <a:extLst>
            <a:ext uri="{FF2B5EF4-FFF2-40B4-BE49-F238E27FC236}">
              <a16:creationId xmlns:a16="http://schemas.microsoft.com/office/drawing/2014/main" id="{00000000-0008-0000-1200-00003B0F0000}"/>
            </a:ext>
          </a:extLst>
        </xdr:cNvPr>
        <xdr:cNvCxnSpPr/>
      </xdr:nvCxnSpPr>
      <xdr:spPr>
        <a:xfrm flipV="1">
          <a:off x="9133417" y="1558501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1717</xdr:row>
      <xdr:rowOff>21166</xdr:rowOff>
    </xdr:from>
    <xdr:to>
      <xdr:col>13</xdr:col>
      <xdr:colOff>592667</xdr:colOff>
      <xdr:row>1718</xdr:row>
      <xdr:rowOff>169334</xdr:rowOff>
    </xdr:to>
    <xdr:cxnSp macro="">
      <xdr:nvCxnSpPr>
        <xdr:cNvPr id="3900" name="Straight Arrow Connector 3899">
          <a:extLst>
            <a:ext uri="{FF2B5EF4-FFF2-40B4-BE49-F238E27FC236}">
              <a16:creationId xmlns:a16="http://schemas.microsoft.com/office/drawing/2014/main" id="{00000000-0008-0000-1200-00003C0F0000}"/>
            </a:ext>
          </a:extLst>
        </xdr:cNvPr>
        <xdr:cNvCxnSpPr/>
      </xdr:nvCxnSpPr>
      <xdr:spPr>
        <a:xfrm>
          <a:off x="9122833" y="1568026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1732</xdr:row>
      <xdr:rowOff>21167</xdr:rowOff>
    </xdr:from>
    <xdr:to>
      <xdr:col>13</xdr:col>
      <xdr:colOff>592667</xdr:colOff>
      <xdr:row>1734</xdr:row>
      <xdr:rowOff>63500</xdr:rowOff>
    </xdr:to>
    <xdr:cxnSp macro="">
      <xdr:nvCxnSpPr>
        <xdr:cNvPr id="3901" name="Straight Arrow Connector 3900">
          <a:extLst>
            <a:ext uri="{FF2B5EF4-FFF2-40B4-BE49-F238E27FC236}">
              <a16:creationId xmlns:a16="http://schemas.microsoft.com/office/drawing/2014/main" id="{00000000-0008-0000-1200-00003D0F0000}"/>
            </a:ext>
          </a:extLst>
        </xdr:cNvPr>
        <xdr:cNvCxnSpPr/>
      </xdr:nvCxnSpPr>
      <xdr:spPr>
        <a:xfrm flipV="1">
          <a:off x="9525000" y="1598506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1737</xdr:row>
      <xdr:rowOff>0</xdr:rowOff>
    </xdr:from>
    <xdr:to>
      <xdr:col>14</xdr:col>
      <xdr:colOff>10584</xdr:colOff>
      <xdr:row>1745</xdr:row>
      <xdr:rowOff>148167</xdr:rowOff>
    </xdr:to>
    <xdr:cxnSp macro="">
      <xdr:nvCxnSpPr>
        <xdr:cNvPr id="3902" name="Straight Arrow Connector 3901">
          <a:extLst>
            <a:ext uri="{FF2B5EF4-FFF2-40B4-BE49-F238E27FC236}">
              <a16:creationId xmlns:a16="http://schemas.microsoft.com/office/drawing/2014/main" id="{00000000-0008-0000-1200-00003E0F0000}"/>
            </a:ext>
          </a:extLst>
        </xdr:cNvPr>
        <xdr:cNvCxnSpPr/>
      </xdr:nvCxnSpPr>
      <xdr:spPr>
        <a:xfrm>
          <a:off x="9535583" y="1607820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1704</xdr:row>
      <xdr:rowOff>0</xdr:rowOff>
    </xdr:from>
    <xdr:to>
      <xdr:col>15</xdr:col>
      <xdr:colOff>603250</xdr:colOff>
      <xdr:row>1709</xdr:row>
      <xdr:rowOff>31750</xdr:rowOff>
    </xdr:to>
    <xdr:cxnSp macro="">
      <xdr:nvCxnSpPr>
        <xdr:cNvPr id="3903" name="Straight Arrow Connector 3902">
          <a:extLst>
            <a:ext uri="{FF2B5EF4-FFF2-40B4-BE49-F238E27FC236}">
              <a16:creationId xmlns:a16="http://schemas.microsoft.com/office/drawing/2014/main" id="{00000000-0008-0000-1200-00003F0F0000}"/>
            </a:ext>
          </a:extLst>
        </xdr:cNvPr>
        <xdr:cNvCxnSpPr/>
      </xdr:nvCxnSpPr>
      <xdr:spPr>
        <a:xfrm flipV="1">
          <a:off x="11281833" y="154305000"/>
          <a:ext cx="603250" cy="984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1707</xdr:row>
      <xdr:rowOff>52917</xdr:rowOff>
    </xdr:from>
    <xdr:to>
      <xdr:col>15</xdr:col>
      <xdr:colOff>603250</xdr:colOff>
      <xdr:row>1709</xdr:row>
      <xdr:rowOff>95250</xdr:rowOff>
    </xdr:to>
    <xdr:cxnSp macro="">
      <xdr:nvCxnSpPr>
        <xdr:cNvPr id="3904" name="Straight Arrow Connector 3903">
          <a:extLst>
            <a:ext uri="{FF2B5EF4-FFF2-40B4-BE49-F238E27FC236}">
              <a16:creationId xmlns:a16="http://schemas.microsoft.com/office/drawing/2014/main" id="{00000000-0008-0000-1200-0000400F0000}"/>
            </a:ext>
          </a:extLst>
        </xdr:cNvPr>
        <xdr:cNvCxnSpPr/>
      </xdr:nvCxnSpPr>
      <xdr:spPr>
        <a:xfrm flipV="1">
          <a:off x="11324166" y="154929417"/>
          <a:ext cx="56091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1709</xdr:row>
      <xdr:rowOff>158750</xdr:rowOff>
    </xdr:from>
    <xdr:to>
      <xdr:col>15</xdr:col>
      <xdr:colOff>582083</xdr:colOff>
      <xdr:row>1710</xdr:row>
      <xdr:rowOff>137583</xdr:rowOff>
    </xdr:to>
    <xdr:cxnSp macro="">
      <xdr:nvCxnSpPr>
        <xdr:cNvPr id="3905" name="Straight Arrow Connector 3904">
          <a:extLst>
            <a:ext uri="{FF2B5EF4-FFF2-40B4-BE49-F238E27FC236}">
              <a16:creationId xmlns:a16="http://schemas.microsoft.com/office/drawing/2014/main" id="{00000000-0008-0000-1200-0000410F0000}"/>
            </a:ext>
          </a:extLst>
        </xdr:cNvPr>
        <xdr:cNvCxnSpPr/>
      </xdr:nvCxnSpPr>
      <xdr:spPr>
        <a:xfrm>
          <a:off x="11345333" y="155416250"/>
          <a:ext cx="518583" cy="169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1121834</xdr:colOff>
      <xdr:row>1709</xdr:row>
      <xdr:rowOff>105834</xdr:rowOff>
    </xdr:from>
    <xdr:to>
      <xdr:col>16</xdr:col>
      <xdr:colOff>0</xdr:colOff>
      <xdr:row>1713</xdr:row>
      <xdr:rowOff>84667</xdr:rowOff>
    </xdr:to>
    <xdr:cxnSp macro="">
      <xdr:nvCxnSpPr>
        <xdr:cNvPr id="3906" name="Straight Arrow Connector 3905">
          <a:extLst>
            <a:ext uri="{FF2B5EF4-FFF2-40B4-BE49-F238E27FC236}">
              <a16:creationId xmlns:a16="http://schemas.microsoft.com/office/drawing/2014/main" id="{00000000-0008-0000-1200-0000420F0000}"/>
            </a:ext>
          </a:extLst>
        </xdr:cNvPr>
        <xdr:cNvCxnSpPr/>
      </xdr:nvCxnSpPr>
      <xdr:spPr>
        <a:xfrm>
          <a:off x="11260667" y="155363334"/>
          <a:ext cx="63500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1717</xdr:row>
      <xdr:rowOff>52916</xdr:rowOff>
    </xdr:from>
    <xdr:to>
      <xdr:col>16</xdr:col>
      <xdr:colOff>0</xdr:colOff>
      <xdr:row>1719</xdr:row>
      <xdr:rowOff>0</xdr:rowOff>
    </xdr:to>
    <xdr:cxnSp macro="">
      <xdr:nvCxnSpPr>
        <xdr:cNvPr id="3907" name="Straight Arrow Connector 3906">
          <a:extLst>
            <a:ext uri="{FF2B5EF4-FFF2-40B4-BE49-F238E27FC236}">
              <a16:creationId xmlns:a16="http://schemas.microsoft.com/office/drawing/2014/main" id="{00000000-0008-0000-1200-0000430F0000}"/>
            </a:ext>
          </a:extLst>
        </xdr:cNvPr>
        <xdr:cNvCxnSpPr/>
      </xdr:nvCxnSpPr>
      <xdr:spPr>
        <a:xfrm flipV="1">
          <a:off x="11281833" y="1568344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1719</xdr:row>
      <xdr:rowOff>21167</xdr:rowOff>
    </xdr:from>
    <xdr:to>
      <xdr:col>15</xdr:col>
      <xdr:colOff>582083</xdr:colOff>
      <xdr:row>1720</xdr:row>
      <xdr:rowOff>42333</xdr:rowOff>
    </xdr:to>
    <xdr:cxnSp macro="">
      <xdr:nvCxnSpPr>
        <xdr:cNvPr id="3908" name="Straight Arrow Connector 3907">
          <a:extLst>
            <a:ext uri="{FF2B5EF4-FFF2-40B4-BE49-F238E27FC236}">
              <a16:creationId xmlns:a16="http://schemas.microsoft.com/office/drawing/2014/main" id="{00000000-0008-0000-1200-0000440F0000}"/>
            </a:ext>
          </a:extLst>
        </xdr:cNvPr>
        <xdr:cNvCxnSpPr/>
      </xdr:nvCxnSpPr>
      <xdr:spPr>
        <a:xfrm>
          <a:off x="11292416" y="157183667"/>
          <a:ext cx="571500" cy="2116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1719</xdr:row>
      <xdr:rowOff>21167</xdr:rowOff>
    </xdr:from>
    <xdr:to>
      <xdr:col>16</xdr:col>
      <xdr:colOff>42333</xdr:colOff>
      <xdr:row>1724</xdr:row>
      <xdr:rowOff>21168</xdr:rowOff>
    </xdr:to>
    <xdr:cxnSp macro="">
      <xdr:nvCxnSpPr>
        <xdr:cNvPr id="3909" name="Straight Arrow Connector 3908">
          <a:extLst>
            <a:ext uri="{FF2B5EF4-FFF2-40B4-BE49-F238E27FC236}">
              <a16:creationId xmlns:a16="http://schemas.microsoft.com/office/drawing/2014/main" id="{00000000-0008-0000-1200-0000450F0000}"/>
            </a:ext>
          </a:extLst>
        </xdr:cNvPr>
        <xdr:cNvCxnSpPr/>
      </xdr:nvCxnSpPr>
      <xdr:spPr>
        <a:xfrm>
          <a:off x="11271250" y="157183667"/>
          <a:ext cx="666750" cy="9525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3910" name="Straight Arrow Connector 3909">
          <a:extLst>
            <a:ext uri="{FF2B5EF4-FFF2-40B4-BE49-F238E27FC236}">
              <a16:creationId xmlns:a16="http://schemas.microsoft.com/office/drawing/2014/main" id="{00000000-0008-0000-1200-000046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571500</xdr:colOff>
      <xdr:row>1772</xdr:row>
      <xdr:rowOff>158750</xdr:rowOff>
    </xdr:from>
    <xdr:to>
      <xdr:col>11</xdr:col>
      <xdr:colOff>571500</xdr:colOff>
      <xdr:row>1775</xdr:row>
      <xdr:rowOff>0</xdr:rowOff>
    </xdr:to>
    <xdr:cxnSp macro="">
      <xdr:nvCxnSpPr>
        <xdr:cNvPr id="3911" name="Straight Arrow Connector 3910">
          <a:extLst>
            <a:ext uri="{FF2B5EF4-FFF2-40B4-BE49-F238E27FC236}">
              <a16:creationId xmlns:a16="http://schemas.microsoft.com/office/drawing/2014/main" id="{00000000-0008-0000-1200-0000470F0000}"/>
            </a:ext>
          </a:extLst>
        </xdr:cNvPr>
        <xdr:cNvCxnSpPr/>
      </xdr:nvCxnSpPr>
      <xdr:spPr>
        <a:xfrm flipV="1">
          <a:off x="7874000" y="167608250"/>
          <a:ext cx="613833" cy="412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1730</xdr:row>
      <xdr:rowOff>0</xdr:rowOff>
    </xdr:from>
    <xdr:to>
      <xdr:col>15</xdr:col>
      <xdr:colOff>603250</xdr:colOff>
      <xdr:row>1732</xdr:row>
      <xdr:rowOff>1</xdr:rowOff>
    </xdr:to>
    <xdr:cxnSp macro="">
      <xdr:nvCxnSpPr>
        <xdr:cNvPr id="3912" name="Straight Arrow Connector 3911">
          <a:extLst>
            <a:ext uri="{FF2B5EF4-FFF2-40B4-BE49-F238E27FC236}">
              <a16:creationId xmlns:a16="http://schemas.microsoft.com/office/drawing/2014/main" id="{00000000-0008-0000-1200-0000480F0000}"/>
            </a:ext>
          </a:extLst>
        </xdr:cNvPr>
        <xdr:cNvCxnSpPr/>
      </xdr:nvCxnSpPr>
      <xdr:spPr>
        <a:xfrm flipV="1">
          <a:off x="11271250" y="1594485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1732</xdr:row>
      <xdr:rowOff>10584</xdr:rowOff>
    </xdr:from>
    <xdr:to>
      <xdr:col>15</xdr:col>
      <xdr:colOff>592666</xdr:colOff>
      <xdr:row>1733</xdr:row>
      <xdr:rowOff>95250</xdr:rowOff>
    </xdr:to>
    <xdr:cxnSp macro="">
      <xdr:nvCxnSpPr>
        <xdr:cNvPr id="3913" name="Straight Arrow Connector 3912">
          <a:extLst>
            <a:ext uri="{FF2B5EF4-FFF2-40B4-BE49-F238E27FC236}">
              <a16:creationId xmlns:a16="http://schemas.microsoft.com/office/drawing/2014/main" id="{00000000-0008-0000-1200-0000490F0000}"/>
            </a:ext>
          </a:extLst>
        </xdr:cNvPr>
        <xdr:cNvCxnSpPr/>
      </xdr:nvCxnSpPr>
      <xdr:spPr>
        <a:xfrm>
          <a:off x="11313583" y="1598400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1732</xdr:row>
      <xdr:rowOff>10584</xdr:rowOff>
    </xdr:from>
    <xdr:to>
      <xdr:col>15</xdr:col>
      <xdr:colOff>560916</xdr:colOff>
      <xdr:row>1736</xdr:row>
      <xdr:rowOff>52917</xdr:rowOff>
    </xdr:to>
    <xdr:cxnSp macro="">
      <xdr:nvCxnSpPr>
        <xdr:cNvPr id="3914" name="Straight Arrow Connector 3913">
          <a:extLst>
            <a:ext uri="{FF2B5EF4-FFF2-40B4-BE49-F238E27FC236}">
              <a16:creationId xmlns:a16="http://schemas.microsoft.com/office/drawing/2014/main" id="{00000000-0008-0000-1200-00004A0F0000}"/>
            </a:ext>
          </a:extLst>
        </xdr:cNvPr>
        <xdr:cNvCxnSpPr/>
      </xdr:nvCxnSpPr>
      <xdr:spPr>
        <a:xfrm>
          <a:off x="11292416" y="1598400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915" name="Straight Arrow Connector 3914">
          <a:extLst>
            <a:ext uri="{FF2B5EF4-FFF2-40B4-BE49-F238E27FC236}">
              <a16:creationId xmlns:a16="http://schemas.microsoft.com/office/drawing/2014/main" id="{00000000-0008-0000-1200-00004B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1746</xdr:row>
      <xdr:rowOff>0</xdr:rowOff>
    </xdr:from>
    <xdr:to>
      <xdr:col>16</xdr:col>
      <xdr:colOff>0</xdr:colOff>
      <xdr:row>1746</xdr:row>
      <xdr:rowOff>42334</xdr:rowOff>
    </xdr:to>
    <xdr:cxnSp macro="">
      <xdr:nvCxnSpPr>
        <xdr:cNvPr id="3916" name="Straight Arrow Connector 3915">
          <a:extLst>
            <a:ext uri="{FF2B5EF4-FFF2-40B4-BE49-F238E27FC236}">
              <a16:creationId xmlns:a16="http://schemas.microsoft.com/office/drawing/2014/main" id="{00000000-0008-0000-1200-00004C0F0000}"/>
            </a:ext>
          </a:extLst>
        </xdr:cNvPr>
        <xdr:cNvCxnSpPr/>
      </xdr:nvCxnSpPr>
      <xdr:spPr>
        <a:xfrm>
          <a:off x="11302999" y="1624965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1746</xdr:row>
      <xdr:rowOff>21166</xdr:rowOff>
    </xdr:from>
    <xdr:to>
      <xdr:col>15</xdr:col>
      <xdr:colOff>560916</xdr:colOff>
      <xdr:row>1749</xdr:row>
      <xdr:rowOff>84667</xdr:rowOff>
    </xdr:to>
    <xdr:cxnSp macro="">
      <xdr:nvCxnSpPr>
        <xdr:cNvPr id="3917" name="Straight Arrow Connector 3916">
          <a:extLst>
            <a:ext uri="{FF2B5EF4-FFF2-40B4-BE49-F238E27FC236}">
              <a16:creationId xmlns:a16="http://schemas.microsoft.com/office/drawing/2014/main" id="{00000000-0008-0000-1200-00004D0F0000}"/>
            </a:ext>
          </a:extLst>
        </xdr:cNvPr>
        <xdr:cNvCxnSpPr/>
      </xdr:nvCxnSpPr>
      <xdr:spPr>
        <a:xfrm>
          <a:off x="11355916" y="1625176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1746</xdr:row>
      <xdr:rowOff>52916</xdr:rowOff>
    </xdr:from>
    <xdr:to>
      <xdr:col>15</xdr:col>
      <xdr:colOff>592666</xdr:colOff>
      <xdr:row>1752</xdr:row>
      <xdr:rowOff>63501</xdr:rowOff>
    </xdr:to>
    <xdr:cxnSp macro="">
      <xdr:nvCxnSpPr>
        <xdr:cNvPr id="3918" name="Straight Arrow Connector 3917">
          <a:extLst>
            <a:ext uri="{FF2B5EF4-FFF2-40B4-BE49-F238E27FC236}">
              <a16:creationId xmlns:a16="http://schemas.microsoft.com/office/drawing/2014/main" id="{00000000-0008-0000-1200-00004E0F0000}"/>
            </a:ext>
          </a:extLst>
        </xdr:cNvPr>
        <xdr:cNvCxnSpPr/>
      </xdr:nvCxnSpPr>
      <xdr:spPr>
        <a:xfrm>
          <a:off x="11313583" y="1625494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1760</xdr:row>
      <xdr:rowOff>116416</xdr:rowOff>
    </xdr:from>
    <xdr:to>
      <xdr:col>15</xdr:col>
      <xdr:colOff>592666</xdr:colOff>
      <xdr:row>1763</xdr:row>
      <xdr:rowOff>158750</xdr:rowOff>
    </xdr:to>
    <xdr:cxnSp macro="">
      <xdr:nvCxnSpPr>
        <xdr:cNvPr id="3919" name="Straight Arrow Connector 3918">
          <a:extLst>
            <a:ext uri="{FF2B5EF4-FFF2-40B4-BE49-F238E27FC236}">
              <a16:creationId xmlns:a16="http://schemas.microsoft.com/office/drawing/2014/main" id="{00000000-0008-0000-1200-00004F0F0000}"/>
            </a:ext>
          </a:extLst>
        </xdr:cNvPr>
        <xdr:cNvCxnSpPr/>
      </xdr:nvCxnSpPr>
      <xdr:spPr>
        <a:xfrm flipV="1">
          <a:off x="11302999" y="165279916"/>
          <a:ext cx="571500" cy="6138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63500</xdr:colOff>
      <xdr:row>1762</xdr:row>
      <xdr:rowOff>95250</xdr:rowOff>
    </xdr:from>
    <xdr:to>
      <xdr:col>15</xdr:col>
      <xdr:colOff>582083</xdr:colOff>
      <xdr:row>1764</xdr:row>
      <xdr:rowOff>52917</xdr:rowOff>
    </xdr:to>
    <xdr:cxnSp macro="">
      <xdr:nvCxnSpPr>
        <xdr:cNvPr id="3920" name="Straight Arrow Connector 3919">
          <a:extLst>
            <a:ext uri="{FF2B5EF4-FFF2-40B4-BE49-F238E27FC236}">
              <a16:creationId xmlns:a16="http://schemas.microsoft.com/office/drawing/2014/main" id="{00000000-0008-0000-1200-0000500F0000}"/>
            </a:ext>
          </a:extLst>
        </xdr:cNvPr>
        <xdr:cNvCxnSpPr/>
      </xdr:nvCxnSpPr>
      <xdr:spPr>
        <a:xfrm flipV="1">
          <a:off x="11345333" y="165639750"/>
          <a:ext cx="518583" cy="3386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116417</xdr:rowOff>
    </xdr:from>
    <xdr:to>
      <xdr:col>15</xdr:col>
      <xdr:colOff>592666</xdr:colOff>
      <xdr:row>1768</xdr:row>
      <xdr:rowOff>95250</xdr:rowOff>
    </xdr:to>
    <xdr:cxnSp macro="">
      <xdr:nvCxnSpPr>
        <xdr:cNvPr id="3921" name="Straight Arrow Connector 3920">
          <a:extLst>
            <a:ext uri="{FF2B5EF4-FFF2-40B4-BE49-F238E27FC236}">
              <a16:creationId xmlns:a16="http://schemas.microsoft.com/office/drawing/2014/main" id="{00000000-0008-0000-1200-0000510F0000}"/>
            </a:ext>
          </a:extLst>
        </xdr:cNvPr>
        <xdr:cNvCxnSpPr/>
      </xdr:nvCxnSpPr>
      <xdr:spPr>
        <a:xfrm>
          <a:off x="11334749" y="166041917"/>
          <a:ext cx="539750" cy="740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1775</xdr:row>
      <xdr:rowOff>116416</xdr:rowOff>
    </xdr:from>
    <xdr:to>
      <xdr:col>16</xdr:col>
      <xdr:colOff>0</xdr:colOff>
      <xdr:row>1782</xdr:row>
      <xdr:rowOff>74084</xdr:rowOff>
    </xdr:to>
    <xdr:cxnSp macro="">
      <xdr:nvCxnSpPr>
        <xdr:cNvPr id="3922" name="Straight Arrow Connector 3921">
          <a:extLst>
            <a:ext uri="{FF2B5EF4-FFF2-40B4-BE49-F238E27FC236}">
              <a16:creationId xmlns:a16="http://schemas.microsoft.com/office/drawing/2014/main" id="{00000000-0008-0000-1200-0000520F0000}"/>
            </a:ext>
          </a:extLst>
        </xdr:cNvPr>
        <xdr:cNvCxnSpPr/>
      </xdr:nvCxnSpPr>
      <xdr:spPr>
        <a:xfrm>
          <a:off x="11313583" y="168137416"/>
          <a:ext cx="582084" cy="12911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1743</xdr:row>
      <xdr:rowOff>52917</xdr:rowOff>
    </xdr:from>
    <xdr:to>
      <xdr:col>15</xdr:col>
      <xdr:colOff>603250</xdr:colOff>
      <xdr:row>1745</xdr:row>
      <xdr:rowOff>148167</xdr:rowOff>
    </xdr:to>
    <xdr:cxnSp macro="">
      <xdr:nvCxnSpPr>
        <xdr:cNvPr id="3923" name="Straight Arrow Connector 3922">
          <a:extLst>
            <a:ext uri="{FF2B5EF4-FFF2-40B4-BE49-F238E27FC236}">
              <a16:creationId xmlns:a16="http://schemas.microsoft.com/office/drawing/2014/main" id="{00000000-0008-0000-1200-0000530F0000}"/>
            </a:ext>
          </a:extLst>
        </xdr:cNvPr>
        <xdr:cNvCxnSpPr/>
      </xdr:nvCxnSpPr>
      <xdr:spPr>
        <a:xfrm flipV="1">
          <a:off x="11324166" y="1619779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10584</xdr:colOff>
      <xdr:row>1778</xdr:row>
      <xdr:rowOff>42333</xdr:rowOff>
    </xdr:from>
    <xdr:to>
      <xdr:col>11</xdr:col>
      <xdr:colOff>603250</xdr:colOff>
      <xdr:row>1790</xdr:row>
      <xdr:rowOff>10583</xdr:rowOff>
    </xdr:to>
    <xdr:cxnSp macro="">
      <xdr:nvCxnSpPr>
        <xdr:cNvPr id="3924" name="Straight Arrow Connector 3923">
          <a:extLst>
            <a:ext uri="{FF2B5EF4-FFF2-40B4-BE49-F238E27FC236}">
              <a16:creationId xmlns:a16="http://schemas.microsoft.com/office/drawing/2014/main" id="{00000000-0008-0000-1200-0000540F0000}"/>
            </a:ext>
          </a:extLst>
        </xdr:cNvPr>
        <xdr:cNvCxnSpPr/>
      </xdr:nvCxnSpPr>
      <xdr:spPr>
        <a:xfrm>
          <a:off x="7926917" y="168634833"/>
          <a:ext cx="592666" cy="2444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603250</xdr:colOff>
      <xdr:row>1768</xdr:row>
      <xdr:rowOff>21167</xdr:rowOff>
    </xdr:from>
    <xdr:to>
      <xdr:col>13</xdr:col>
      <xdr:colOff>592667</xdr:colOff>
      <xdr:row>1770</xdr:row>
      <xdr:rowOff>0</xdr:rowOff>
    </xdr:to>
    <xdr:cxnSp macro="">
      <xdr:nvCxnSpPr>
        <xdr:cNvPr id="3925" name="Straight Arrow Connector 3924">
          <a:extLst>
            <a:ext uri="{FF2B5EF4-FFF2-40B4-BE49-F238E27FC236}">
              <a16:creationId xmlns:a16="http://schemas.microsoft.com/office/drawing/2014/main" id="{00000000-0008-0000-1200-0000550F0000}"/>
            </a:ext>
          </a:extLst>
        </xdr:cNvPr>
        <xdr:cNvCxnSpPr/>
      </xdr:nvCxnSpPr>
      <xdr:spPr>
        <a:xfrm flipV="1">
          <a:off x="9133417" y="166708667"/>
          <a:ext cx="984250" cy="3598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592666</xdr:colOff>
      <xdr:row>1773</xdr:row>
      <xdr:rowOff>21166</xdr:rowOff>
    </xdr:from>
    <xdr:to>
      <xdr:col>13</xdr:col>
      <xdr:colOff>592667</xdr:colOff>
      <xdr:row>1774</xdr:row>
      <xdr:rowOff>169334</xdr:rowOff>
    </xdr:to>
    <xdr:cxnSp macro="">
      <xdr:nvCxnSpPr>
        <xdr:cNvPr id="3926" name="Straight Arrow Connector 3925">
          <a:extLst>
            <a:ext uri="{FF2B5EF4-FFF2-40B4-BE49-F238E27FC236}">
              <a16:creationId xmlns:a16="http://schemas.microsoft.com/office/drawing/2014/main" id="{00000000-0008-0000-1200-0000560F0000}"/>
            </a:ext>
          </a:extLst>
        </xdr:cNvPr>
        <xdr:cNvCxnSpPr/>
      </xdr:nvCxnSpPr>
      <xdr:spPr>
        <a:xfrm>
          <a:off x="9122833" y="167661166"/>
          <a:ext cx="994834" cy="33866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0</xdr:colOff>
      <xdr:row>1788</xdr:row>
      <xdr:rowOff>21167</xdr:rowOff>
    </xdr:from>
    <xdr:to>
      <xdr:col>13</xdr:col>
      <xdr:colOff>592667</xdr:colOff>
      <xdr:row>1790</xdr:row>
      <xdr:rowOff>63500</xdr:rowOff>
    </xdr:to>
    <xdr:cxnSp macro="">
      <xdr:nvCxnSpPr>
        <xdr:cNvPr id="3927" name="Straight Arrow Connector 3926">
          <a:extLst>
            <a:ext uri="{FF2B5EF4-FFF2-40B4-BE49-F238E27FC236}">
              <a16:creationId xmlns:a16="http://schemas.microsoft.com/office/drawing/2014/main" id="{00000000-0008-0000-1200-0000570F0000}"/>
            </a:ext>
          </a:extLst>
        </xdr:cNvPr>
        <xdr:cNvCxnSpPr/>
      </xdr:nvCxnSpPr>
      <xdr:spPr>
        <a:xfrm flipV="1">
          <a:off x="9525000" y="170709167"/>
          <a:ext cx="5926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10583</xdr:colOff>
      <xdr:row>1793</xdr:row>
      <xdr:rowOff>0</xdr:rowOff>
    </xdr:from>
    <xdr:to>
      <xdr:col>14</xdr:col>
      <xdr:colOff>10584</xdr:colOff>
      <xdr:row>1801</xdr:row>
      <xdr:rowOff>148167</xdr:rowOff>
    </xdr:to>
    <xdr:cxnSp macro="">
      <xdr:nvCxnSpPr>
        <xdr:cNvPr id="3928" name="Straight Arrow Connector 3927">
          <a:extLst>
            <a:ext uri="{FF2B5EF4-FFF2-40B4-BE49-F238E27FC236}">
              <a16:creationId xmlns:a16="http://schemas.microsoft.com/office/drawing/2014/main" id="{00000000-0008-0000-1200-0000580F0000}"/>
            </a:ext>
          </a:extLst>
        </xdr:cNvPr>
        <xdr:cNvCxnSpPr/>
      </xdr:nvCxnSpPr>
      <xdr:spPr>
        <a:xfrm>
          <a:off x="9535583" y="171640500"/>
          <a:ext cx="613834" cy="1672167"/>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52916</xdr:colOff>
      <xdr:row>1764</xdr:row>
      <xdr:rowOff>95250</xdr:rowOff>
    </xdr:from>
    <xdr:to>
      <xdr:col>15</xdr:col>
      <xdr:colOff>582083</xdr:colOff>
      <xdr:row>1766</xdr:row>
      <xdr:rowOff>137583</xdr:rowOff>
    </xdr:to>
    <xdr:cxnSp macro="">
      <xdr:nvCxnSpPr>
        <xdr:cNvPr id="3929" name="Straight Arrow Connector 3928">
          <a:extLst>
            <a:ext uri="{FF2B5EF4-FFF2-40B4-BE49-F238E27FC236}">
              <a16:creationId xmlns:a16="http://schemas.microsoft.com/office/drawing/2014/main" id="{00000000-0008-0000-1200-0000590F0000}"/>
            </a:ext>
          </a:extLst>
        </xdr:cNvPr>
        <xdr:cNvCxnSpPr/>
      </xdr:nvCxnSpPr>
      <xdr:spPr>
        <a:xfrm>
          <a:off x="11334749" y="166020750"/>
          <a:ext cx="529167" cy="423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1773</xdr:row>
      <xdr:rowOff>52916</xdr:rowOff>
    </xdr:from>
    <xdr:to>
      <xdr:col>16</xdr:col>
      <xdr:colOff>0</xdr:colOff>
      <xdr:row>1775</xdr:row>
      <xdr:rowOff>0</xdr:rowOff>
    </xdr:to>
    <xdr:cxnSp macro="">
      <xdr:nvCxnSpPr>
        <xdr:cNvPr id="3930" name="Straight Arrow Connector 3929">
          <a:extLst>
            <a:ext uri="{FF2B5EF4-FFF2-40B4-BE49-F238E27FC236}">
              <a16:creationId xmlns:a16="http://schemas.microsoft.com/office/drawing/2014/main" id="{00000000-0008-0000-1200-00005A0F0000}"/>
            </a:ext>
          </a:extLst>
        </xdr:cNvPr>
        <xdr:cNvCxnSpPr/>
      </xdr:nvCxnSpPr>
      <xdr:spPr>
        <a:xfrm flipV="1">
          <a:off x="11281833" y="167692916"/>
          <a:ext cx="613834" cy="32808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21167</xdr:rowOff>
    </xdr:from>
    <xdr:to>
      <xdr:col>15</xdr:col>
      <xdr:colOff>592666</xdr:colOff>
      <xdr:row>1776</xdr:row>
      <xdr:rowOff>84667</xdr:rowOff>
    </xdr:to>
    <xdr:cxnSp macro="">
      <xdr:nvCxnSpPr>
        <xdr:cNvPr id="3931" name="Straight Arrow Connector 3930">
          <a:extLst>
            <a:ext uri="{FF2B5EF4-FFF2-40B4-BE49-F238E27FC236}">
              <a16:creationId xmlns:a16="http://schemas.microsoft.com/office/drawing/2014/main" id="{00000000-0008-0000-1200-00005B0F0000}"/>
            </a:ext>
          </a:extLst>
        </xdr:cNvPr>
        <xdr:cNvCxnSpPr/>
      </xdr:nvCxnSpPr>
      <xdr:spPr>
        <a:xfrm>
          <a:off x="11271250" y="168042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1775</xdr:row>
      <xdr:rowOff>0</xdr:rowOff>
    </xdr:from>
    <xdr:to>
      <xdr:col>16</xdr:col>
      <xdr:colOff>0</xdr:colOff>
      <xdr:row>1779</xdr:row>
      <xdr:rowOff>42334</xdr:rowOff>
    </xdr:to>
    <xdr:cxnSp macro="">
      <xdr:nvCxnSpPr>
        <xdr:cNvPr id="3932" name="Straight Arrow Connector 3931">
          <a:extLst>
            <a:ext uri="{FF2B5EF4-FFF2-40B4-BE49-F238E27FC236}">
              <a16:creationId xmlns:a16="http://schemas.microsoft.com/office/drawing/2014/main" id="{00000000-0008-0000-1200-00005C0F0000}"/>
            </a:ext>
          </a:extLst>
        </xdr:cNvPr>
        <xdr:cNvCxnSpPr/>
      </xdr:nvCxnSpPr>
      <xdr:spPr>
        <a:xfrm>
          <a:off x="11271250" y="168021000"/>
          <a:ext cx="624417" cy="804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1786</xdr:row>
      <xdr:rowOff>0</xdr:rowOff>
    </xdr:from>
    <xdr:to>
      <xdr:col>15</xdr:col>
      <xdr:colOff>603250</xdr:colOff>
      <xdr:row>1788</xdr:row>
      <xdr:rowOff>1</xdr:rowOff>
    </xdr:to>
    <xdr:cxnSp macro="">
      <xdr:nvCxnSpPr>
        <xdr:cNvPr id="3933" name="Straight Arrow Connector 3932">
          <a:extLst>
            <a:ext uri="{FF2B5EF4-FFF2-40B4-BE49-F238E27FC236}">
              <a16:creationId xmlns:a16="http://schemas.microsoft.com/office/drawing/2014/main" id="{00000000-0008-0000-1200-00005D0F0000}"/>
            </a:ext>
          </a:extLst>
        </xdr:cNvPr>
        <xdr:cNvCxnSpPr/>
      </xdr:nvCxnSpPr>
      <xdr:spPr>
        <a:xfrm flipV="1">
          <a:off x="11271250" y="170307000"/>
          <a:ext cx="613833" cy="381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1788</xdr:row>
      <xdr:rowOff>10584</xdr:rowOff>
    </xdr:from>
    <xdr:to>
      <xdr:col>15</xdr:col>
      <xdr:colOff>592666</xdr:colOff>
      <xdr:row>1789</xdr:row>
      <xdr:rowOff>95250</xdr:rowOff>
    </xdr:to>
    <xdr:cxnSp macro="">
      <xdr:nvCxnSpPr>
        <xdr:cNvPr id="3934" name="Straight Arrow Connector 3933">
          <a:extLst>
            <a:ext uri="{FF2B5EF4-FFF2-40B4-BE49-F238E27FC236}">
              <a16:creationId xmlns:a16="http://schemas.microsoft.com/office/drawing/2014/main" id="{00000000-0008-0000-1200-00005E0F0000}"/>
            </a:ext>
          </a:extLst>
        </xdr:cNvPr>
        <xdr:cNvCxnSpPr/>
      </xdr:nvCxnSpPr>
      <xdr:spPr>
        <a:xfrm>
          <a:off x="11313583" y="170698584"/>
          <a:ext cx="560916" cy="27516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10583</xdr:colOff>
      <xdr:row>1788</xdr:row>
      <xdr:rowOff>10584</xdr:rowOff>
    </xdr:from>
    <xdr:to>
      <xdr:col>15</xdr:col>
      <xdr:colOff>560916</xdr:colOff>
      <xdr:row>1792</xdr:row>
      <xdr:rowOff>52917</xdr:rowOff>
    </xdr:to>
    <xdr:cxnSp macro="">
      <xdr:nvCxnSpPr>
        <xdr:cNvPr id="3935" name="Straight Arrow Connector 3934">
          <a:extLst>
            <a:ext uri="{FF2B5EF4-FFF2-40B4-BE49-F238E27FC236}">
              <a16:creationId xmlns:a16="http://schemas.microsoft.com/office/drawing/2014/main" id="{00000000-0008-0000-1200-00005F0F0000}"/>
            </a:ext>
          </a:extLst>
        </xdr:cNvPr>
        <xdr:cNvCxnSpPr/>
      </xdr:nvCxnSpPr>
      <xdr:spPr>
        <a:xfrm>
          <a:off x="11292416" y="170698584"/>
          <a:ext cx="550333" cy="80433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36" name="Straight Arrow Connector 3935">
          <a:extLst>
            <a:ext uri="{FF2B5EF4-FFF2-40B4-BE49-F238E27FC236}">
              <a16:creationId xmlns:a16="http://schemas.microsoft.com/office/drawing/2014/main" id="{00000000-0008-0000-1200-000060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21166</xdr:colOff>
      <xdr:row>1802</xdr:row>
      <xdr:rowOff>0</xdr:rowOff>
    </xdr:from>
    <xdr:to>
      <xdr:col>16</xdr:col>
      <xdr:colOff>0</xdr:colOff>
      <xdr:row>1802</xdr:row>
      <xdr:rowOff>42334</xdr:rowOff>
    </xdr:to>
    <xdr:cxnSp macro="">
      <xdr:nvCxnSpPr>
        <xdr:cNvPr id="3937" name="Straight Arrow Connector 3936">
          <a:extLst>
            <a:ext uri="{FF2B5EF4-FFF2-40B4-BE49-F238E27FC236}">
              <a16:creationId xmlns:a16="http://schemas.microsoft.com/office/drawing/2014/main" id="{00000000-0008-0000-1200-0000610F0000}"/>
            </a:ext>
          </a:extLst>
        </xdr:cNvPr>
        <xdr:cNvCxnSpPr/>
      </xdr:nvCxnSpPr>
      <xdr:spPr>
        <a:xfrm>
          <a:off x="11302999" y="173355000"/>
          <a:ext cx="592668" cy="42334"/>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74083</xdr:colOff>
      <xdr:row>1802</xdr:row>
      <xdr:rowOff>21166</xdr:rowOff>
    </xdr:from>
    <xdr:to>
      <xdr:col>15</xdr:col>
      <xdr:colOff>560916</xdr:colOff>
      <xdr:row>1805</xdr:row>
      <xdr:rowOff>84667</xdr:rowOff>
    </xdr:to>
    <xdr:cxnSp macro="">
      <xdr:nvCxnSpPr>
        <xdr:cNvPr id="3938" name="Straight Arrow Connector 3937">
          <a:extLst>
            <a:ext uri="{FF2B5EF4-FFF2-40B4-BE49-F238E27FC236}">
              <a16:creationId xmlns:a16="http://schemas.microsoft.com/office/drawing/2014/main" id="{00000000-0008-0000-1200-0000620F0000}"/>
            </a:ext>
          </a:extLst>
        </xdr:cNvPr>
        <xdr:cNvCxnSpPr/>
      </xdr:nvCxnSpPr>
      <xdr:spPr>
        <a:xfrm>
          <a:off x="11355916" y="173376166"/>
          <a:ext cx="486833" cy="63500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31750</xdr:colOff>
      <xdr:row>1802</xdr:row>
      <xdr:rowOff>52916</xdr:rowOff>
    </xdr:from>
    <xdr:to>
      <xdr:col>15</xdr:col>
      <xdr:colOff>592666</xdr:colOff>
      <xdr:row>1808</xdr:row>
      <xdr:rowOff>63501</xdr:rowOff>
    </xdr:to>
    <xdr:cxnSp macro="">
      <xdr:nvCxnSpPr>
        <xdr:cNvPr id="3939" name="Straight Arrow Connector 3938">
          <a:extLst>
            <a:ext uri="{FF2B5EF4-FFF2-40B4-BE49-F238E27FC236}">
              <a16:creationId xmlns:a16="http://schemas.microsoft.com/office/drawing/2014/main" id="{00000000-0008-0000-1200-0000630F0000}"/>
            </a:ext>
          </a:extLst>
        </xdr:cNvPr>
        <xdr:cNvCxnSpPr/>
      </xdr:nvCxnSpPr>
      <xdr:spPr>
        <a:xfrm>
          <a:off x="11313583" y="173407916"/>
          <a:ext cx="560916" cy="115358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1799</xdr:row>
      <xdr:rowOff>52917</xdr:rowOff>
    </xdr:from>
    <xdr:to>
      <xdr:col>15</xdr:col>
      <xdr:colOff>603250</xdr:colOff>
      <xdr:row>1801</xdr:row>
      <xdr:rowOff>148167</xdr:rowOff>
    </xdr:to>
    <xdr:cxnSp macro="">
      <xdr:nvCxnSpPr>
        <xdr:cNvPr id="3940" name="Straight Arrow Connector 3939">
          <a:extLst>
            <a:ext uri="{FF2B5EF4-FFF2-40B4-BE49-F238E27FC236}">
              <a16:creationId xmlns:a16="http://schemas.microsoft.com/office/drawing/2014/main" id="{00000000-0008-0000-1200-0000640F0000}"/>
            </a:ext>
          </a:extLst>
        </xdr:cNvPr>
        <xdr:cNvCxnSpPr/>
      </xdr:nvCxnSpPr>
      <xdr:spPr>
        <a:xfrm flipV="1">
          <a:off x="11324166" y="172836417"/>
          <a:ext cx="560917" cy="4762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941" name="Straight Arrow Connector 3940">
          <a:extLst>
            <a:ext uri="{FF2B5EF4-FFF2-40B4-BE49-F238E27FC236}">
              <a16:creationId xmlns:a16="http://schemas.microsoft.com/office/drawing/2014/main" id="{00000000-0008-0000-1200-000065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942" name="Straight Arrow Connector 3941">
          <a:extLst>
            <a:ext uri="{FF2B5EF4-FFF2-40B4-BE49-F238E27FC236}">
              <a16:creationId xmlns:a16="http://schemas.microsoft.com/office/drawing/2014/main" id="{00000000-0008-0000-1200-000066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3943" name="Straight Arrow Connector 3942">
          <a:extLst>
            <a:ext uri="{FF2B5EF4-FFF2-40B4-BE49-F238E27FC236}">
              <a16:creationId xmlns:a16="http://schemas.microsoft.com/office/drawing/2014/main" id="{00000000-0008-0000-1200-000067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3944" name="Straight Arrow Connector 3943">
          <a:extLst>
            <a:ext uri="{FF2B5EF4-FFF2-40B4-BE49-F238E27FC236}">
              <a16:creationId xmlns:a16="http://schemas.microsoft.com/office/drawing/2014/main" id="{00000000-0008-0000-1200-000068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1132417</xdr:colOff>
      <xdr:row>1802</xdr:row>
      <xdr:rowOff>21167</xdr:rowOff>
    </xdr:from>
    <xdr:to>
      <xdr:col>15</xdr:col>
      <xdr:colOff>592666</xdr:colOff>
      <xdr:row>1803</xdr:row>
      <xdr:rowOff>84667</xdr:rowOff>
    </xdr:to>
    <xdr:cxnSp macro="">
      <xdr:nvCxnSpPr>
        <xdr:cNvPr id="3945" name="Straight Arrow Connector 3944">
          <a:extLst>
            <a:ext uri="{FF2B5EF4-FFF2-40B4-BE49-F238E27FC236}">
              <a16:creationId xmlns:a16="http://schemas.microsoft.com/office/drawing/2014/main" id="{00000000-0008-0000-1200-0000690F0000}"/>
            </a:ext>
          </a:extLst>
        </xdr:cNvPr>
        <xdr:cNvCxnSpPr/>
      </xdr:nvCxnSpPr>
      <xdr:spPr>
        <a:xfrm>
          <a:off x="11271250" y="173376167"/>
          <a:ext cx="603249" cy="254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3946" name="Straight Arrow Connector 3945">
          <a:extLst>
            <a:ext uri="{FF2B5EF4-FFF2-40B4-BE49-F238E27FC236}">
              <a16:creationId xmlns:a16="http://schemas.microsoft.com/office/drawing/2014/main" id="{00000000-0008-0000-1200-00006A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47" name="Straight Arrow Connector 3946">
          <a:extLst>
            <a:ext uri="{FF2B5EF4-FFF2-40B4-BE49-F238E27FC236}">
              <a16:creationId xmlns:a16="http://schemas.microsoft.com/office/drawing/2014/main" id="{00000000-0008-0000-1200-00006B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48" name="Straight Arrow Connector 3947">
          <a:extLst>
            <a:ext uri="{FF2B5EF4-FFF2-40B4-BE49-F238E27FC236}">
              <a16:creationId xmlns:a16="http://schemas.microsoft.com/office/drawing/2014/main" id="{00000000-0008-0000-1200-00006C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49" name="Straight Arrow Connector 3948">
          <a:extLst>
            <a:ext uri="{FF2B5EF4-FFF2-40B4-BE49-F238E27FC236}">
              <a16:creationId xmlns:a16="http://schemas.microsoft.com/office/drawing/2014/main" id="{00000000-0008-0000-1200-00006D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3950" name="Straight Arrow Connector 3949">
          <a:extLst>
            <a:ext uri="{FF2B5EF4-FFF2-40B4-BE49-F238E27FC236}">
              <a16:creationId xmlns:a16="http://schemas.microsoft.com/office/drawing/2014/main" id="{00000000-0008-0000-1200-00006E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3951" name="Straight Arrow Connector 3950">
          <a:extLst>
            <a:ext uri="{FF2B5EF4-FFF2-40B4-BE49-F238E27FC236}">
              <a16:creationId xmlns:a16="http://schemas.microsoft.com/office/drawing/2014/main" id="{00000000-0008-0000-1200-00006F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1409</xdr:row>
      <xdr:rowOff>31750</xdr:rowOff>
    </xdr:from>
    <xdr:to>
      <xdr:col>16</xdr:col>
      <xdr:colOff>42334</xdr:colOff>
      <xdr:row>1416</xdr:row>
      <xdr:rowOff>63501</xdr:rowOff>
    </xdr:to>
    <xdr:cxnSp macro="">
      <xdr:nvCxnSpPr>
        <xdr:cNvPr id="3952" name="Straight Arrow Connector 3951">
          <a:extLst>
            <a:ext uri="{FF2B5EF4-FFF2-40B4-BE49-F238E27FC236}">
              <a16:creationId xmlns:a16="http://schemas.microsoft.com/office/drawing/2014/main" id="{00000000-0008-0000-1200-0000700F0000}"/>
            </a:ext>
          </a:extLst>
        </xdr:cNvPr>
        <xdr:cNvCxnSpPr/>
      </xdr:nvCxnSpPr>
      <xdr:spPr>
        <a:xfrm>
          <a:off x="11281833" y="9718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1409</xdr:row>
      <xdr:rowOff>31750</xdr:rowOff>
    </xdr:from>
    <xdr:to>
      <xdr:col>16</xdr:col>
      <xdr:colOff>42334</xdr:colOff>
      <xdr:row>1416</xdr:row>
      <xdr:rowOff>63501</xdr:rowOff>
    </xdr:to>
    <xdr:cxnSp macro="">
      <xdr:nvCxnSpPr>
        <xdr:cNvPr id="3953" name="Straight Arrow Connector 3952">
          <a:extLst>
            <a:ext uri="{FF2B5EF4-FFF2-40B4-BE49-F238E27FC236}">
              <a16:creationId xmlns:a16="http://schemas.microsoft.com/office/drawing/2014/main" id="{00000000-0008-0000-1200-0000710F0000}"/>
            </a:ext>
          </a:extLst>
        </xdr:cNvPr>
        <xdr:cNvCxnSpPr/>
      </xdr:nvCxnSpPr>
      <xdr:spPr>
        <a:xfrm>
          <a:off x="11281833" y="9718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3954" name="Straight Arrow Connector 3953">
          <a:extLst>
            <a:ext uri="{FF2B5EF4-FFF2-40B4-BE49-F238E27FC236}">
              <a16:creationId xmlns:a16="http://schemas.microsoft.com/office/drawing/2014/main" id="{00000000-0008-0000-1200-0000720F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955" name="Straight Arrow Connector 3954">
          <a:extLst>
            <a:ext uri="{FF2B5EF4-FFF2-40B4-BE49-F238E27FC236}">
              <a16:creationId xmlns:a16="http://schemas.microsoft.com/office/drawing/2014/main" id="{00000000-0008-0000-1200-0000730F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3956" name="Straight Arrow Connector 3955">
          <a:extLst>
            <a:ext uri="{FF2B5EF4-FFF2-40B4-BE49-F238E27FC236}">
              <a16:creationId xmlns:a16="http://schemas.microsoft.com/office/drawing/2014/main" id="{00000000-0008-0000-1200-0000740F0000}"/>
            </a:ext>
          </a:extLst>
        </xdr:cNvPr>
        <xdr:cNvCxnSpPr/>
      </xdr:nvCxnSpPr>
      <xdr:spPr>
        <a:xfrm>
          <a:off x="11281833" y="10290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3957" name="Straight Arrow Connector 3956">
          <a:extLst>
            <a:ext uri="{FF2B5EF4-FFF2-40B4-BE49-F238E27FC236}">
              <a16:creationId xmlns:a16="http://schemas.microsoft.com/office/drawing/2014/main" id="{00000000-0008-0000-1200-0000750F0000}"/>
            </a:ext>
          </a:extLst>
        </xdr:cNvPr>
        <xdr:cNvCxnSpPr/>
      </xdr:nvCxnSpPr>
      <xdr:spPr>
        <a:xfrm>
          <a:off x="11324166" y="10556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0" name="Straight Arrow Connector 3959">
          <a:extLst>
            <a:ext uri="{FF2B5EF4-FFF2-40B4-BE49-F238E27FC236}">
              <a16:creationId xmlns:a16="http://schemas.microsoft.com/office/drawing/2014/main" id="{00000000-0008-0000-1200-000078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1" name="Straight Arrow Connector 3960">
          <a:extLst>
            <a:ext uri="{FF2B5EF4-FFF2-40B4-BE49-F238E27FC236}">
              <a16:creationId xmlns:a16="http://schemas.microsoft.com/office/drawing/2014/main" id="{00000000-0008-0000-1200-000079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962" name="Straight Arrow Connector 3961">
          <a:extLst>
            <a:ext uri="{FF2B5EF4-FFF2-40B4-BE49-F238E27FC236}">
              <a16:creationId xmlns:a16="http://schemas.microsoft.com/office/drawing/2014/main" id="{00000000-0008-0000-1200-00007A0F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3" name="Straight Arrow Connector 3962">
          <a:extLst>
            <a:ext uri="{FF2B5EF4-FFF2-40B4-BE49-F238E27FC236}">
              <a16:creationId xmlns:a16="http://schemas.microsoft.com/office/drawing/2014/main" id="{00000000-0008-0000-1200-00007B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964" name="Straight Arrow Connector 3963">
          <a:extLst>
            <a:ext uri="{FF2B5EF4-FFF2-40B4-BE49-F238E27FC236}">
              <a16:creationId xmlns:a16="http://schemas.microsoft.com/office/drawing/2014/main" id="{00000000-0008-0000-1200-00007C0F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5" name="Straight Arrow Connector 3964">
          <a:extLst>
            <a:ext uri="{FF2B5EF4-FFF2-40B4-BE49-F238E27FC236}">
              <a16:creationId xmlns:a16="http://schemas.microsoft.com/office/drawing/2014/main" id="{00000000-0008-0000-1200-00007D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3966" name="Straight Arrow Connector 3965">
          <a:extLst>
            <a:ext uri="{FF2B5EF4-FFF2-40B4-BE49-F238E27FC236}">
              <a16:creationId xmlns:a16="http://schemas.microsoft.com/office/drawing/2014/main" id="{00000000-0008-0000-1200-00007E0F0000}"/>
            </a:ext>
          </a:extLst>
        </xdr:cNvPr>
        <xdr:cNvCxnSpPr/>
      </xdr:nvCxnSpPr>
      <xdr:spPr>
        <a:xfrm>
          <a:off x="11281833" y="11376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3967" name="Straight Arrow Connector 3966">
          <a:extLst>
            <a:ext uri="{FF2B5EF4-FFF2-40B4-BE49-F238E27FC236}">
              <a16:creationId xmlns:a16="http://schemas.microsoft.com/office/drawing/2014/main" id="{00000000-0008-0000-1200-00007F0F0000}"/>
            </a:ext>
          </a:extLst>
        </xdr:cNvPr>
        <xdr:cNvCxnSpPr/>
      </xdr:nvCxnSpPr>
      <xdr:spPr>
        <a:xfrm>
          <a:off x="11324166" y="11642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3968" name="Straight Arrow Connector 3967">
          <a:extLst>
            <a:ext uri="{FF2B5EF4-FFF2-40B4-BE49-F238E27FC236}">
              <a16:creationId xmlns:a16="http://schemas.microsoft.com/office/drawing/2014/main" id="{00000000-0008-0000-1200-0000800F0000}"/>
            </a:ext>
          </a:extLst>
        </xdr:cNvPr>
        <xdr:cNvCxnSpPr/>
      </xdr:nvCxnSpPr>
      <xdr:spPr>
        <a:xfrm>
          <a:off x="11281833" y="1189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3969" name="Straight Arrow Connector 3968">
          <a:extLst>
            <a:ext uri="{FF2B5EF4-FFF2-40B4-BE49-F238E27FC236}">
              <a16:creationId xmlns:a16="http://schemas.microsoft.com/office/drawing/2014/main" id="{00000000-0008-0000-1200-0000810F0000}"/>
            </a:ext>
          </a:extLst>
        </xdr:cNvPr>
        <xdr:cNvCxnSpPr/>
      </xdr:nvCxnSpPr>
      <xdr:spPr>
        <a:xfrm>
          <a:off x="11281833" y="11890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70" name="Straight Arrow Connector 3969">
          <a:extLst>
            <a:ext uri="{FF2B5EF4-FFF2-40B4-BE49-F238E27FC236}">
              <a16:creationId xmlns:a16="http://schemas.microsoft.com/office/drawing/2014/main" id="{00000000-0008-0000-1200-000082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1" name="Straight Arrow Connector 3970">
          <a:extLst>
            <a:ext uri="{FF2B5EF4-FFF2-40B4-BE49-F238E27FC236}">
              <a16:creationId xmlns:a16="http://schemas.microsoft.com/office/drawing/2014/main" id="{00000000-0008-0000-1200-000083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72" name="Straight Arrow Connector 3971">
          <a:extLst>
            <a:ext uri="{FF2B5EF4-FFF2-40B4-BE49-F238E27FC236}">
              <a16:creationId xmlns:a16="http://schemas.microsoft.com/office/drawing/2014/main" id="{00000000-0008-0000-1200-000084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3" name="Straight Arrow Connector 3972">
          <a:extLst>
            <a:ext uri="{FF2B5EF4-FFF2-40B4-BE49-F238E27FC236}">
              <a16:creationId xmlns:a16="http://schemas.microsoft.com/office/drawing/2014/main" id="{00000000-0008-0000-1200-000085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74" name="Straight Arrow Connector 3973">
          <a:extLst>
            <a:ext uri="{FF2B5EF4-FFF2-40B4-BE49-F238E27FC236}">
              <a16:creationId xmlns:a16="http://schemas.microsoft.com/office/drawing/2014/main" id="{00000000-0008-0000-1200-000086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5" name="Straight Arrow Connector 3974">
          <a:extLst>
            <a:ext uri="{FF2B5EF4-FFF2-40B4-BE49-F238E27FC236}">
              <a16:creationId xmlns:a16="http://schemas.microsoft.com/office/drawing/2014/main" id="{00000000-0008-0000-1200-000087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6" name="Straight Arrow Connector 3975">
          <a:extLst>
            <a:ext uri="{FF2B5EF4-FFF2-40B4-BE49-F238E27FC236}">
              <a16:creationId xmlns:a16="http://schemas.microsoft.com/office/drawing/2014/main" id="{00000000-0008-0000-1200-000088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7" name="Straight Arrow Connector 3976">
          <a:extLst>
            <a:ext uri="{FF2B5EF4-FFF2-40B4-BE49-F238E27FC236}">
              <a16:creationId xmlns:a16="http://schemas.microsoft.com/office/drawing/2014/main" id="{00000000-0008-0000-1200-000089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78" name="Straight Arrow Connector 3977">
          <a:extLst>
            <a:ext uri="{FF2B5EF4-FFF2-40B4-BE49-F238E27FC236}">
              <a16:creationId xmlns:a16="http://schemas.microsoft.com/office/drawing/2014/main" id="{00000000-0008-0000-1200-00008A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79" name="Straight Arrow Connector 3978">
          <a:extLst>
            <a:ext uri="{FF2B5EF4-FFF2-40B4-BE49-F238E27FC236}">
              <a16:creationId xmlns:a16="http://schemas.microsoft.com/office/drawing/2014/main" id="{00000000-0008-0000-1200-00008B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80" name="Straight Arrow Connector 3979">
          <a:extLst>
            <a:ext uri="{FF2B5EF4-FFF2-40B4-BE49-F238E27FC236}">
              <a16:creationId xmlns:a16="http://schemas.microsoft.com/office/drawing/2014/main" id="{00000000-0008-0000-1200-00008C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81" name="Straight Arrow Connector 3980">
          <a:extLst>
            <a:ext uri="{FF2B5EF4-FFF2-40B4-BE49-F238E27FC236}">
              <a16:creationId xmlns:a16="http://schemas.microsoft.com/office/drawing/2014/main" id="{00000000-0008-0000-1200-00008D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3982" name="Straight Arrow Connector 3981">
          <a:extLst>
            <a:ext uri="{FF2B5EF4-FFF2-40B4-BE49-F238E27FC236}">
              <a16:creationId xmlns:a16="http://schemas.microsoft.com/office/drawing/2014/main" id="{00000000-0008-0000-1200-00008E0F0000}"/>
            </a:ext>
          </a:extLst>
        </xdr:cNvPr>
        <xdr:cNvCxnSpPr/>
      </xdr:nvCxnSpPr>
      <xdr:spPr>
        <a:xfrm>
          <a:off x="11281833" y="12461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3983" name="Straight Arrow Connector 3982">
          <a:extLst>
            <a:ext uri="{FF2B5EF4-FFF2-40B4-BE49-F238E27FC236}">
              <a16:creationId xmlns:a16="http://schemas.microsoft.com/office/drawing/2014/main" id="{00000000-0008-0000-1200-00008F0F0000}"/>
            </a:ext>
          </a:extLst>
        </xdr:cNvPr>
        <xdr:cNvCxnSpPr/>
      </xdr:nvCxnSpPr>
      <xdr:spPr>
        <a:xfrm>
          <a:off x="11324166" y="12728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3984" name="Straight Arrow Connector 3983">
          <a:extLst>
            <a:ext uri="{FF2B5EF4-FFF2-40B4-BE49-F238E27FC236}">
              <a16:creationId xmlns:a16="http://schemas.microsoft.com/office/drawing/2014/main" id="{00000000-0008-0000-1200-0000900F0000}"/>
            </a:ext>
          </a:extLst>
        </xdr:cNvPr>
        <xdr:cNvCxnSpPr/>
      </xdr:nvCxnSpPr>
      <xdr:spPr>
        <a:xfrm>
          <a:off x="11281833" y="129762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3985" name="Straight Arrow Connector 3984">
          <a:extLst>
            <a:ext uri="{FF2B5EF4-FFF2-40B4-BE49-F238E27FC236}">
              <a16:creationId xmlns:a16="http://schemas.microsoft.com/office/drawing/2014/main" id="{00000000-0008-0000-1200-0000910F0000}"/>
            </a:ext>
          </a:extLst>
        </xdr:cNvPr>
        <xdr:cNvCxnSpPr/>
      </xdr:nvCxnSpPr>
      <xdr:spPr>
        <a:xfrm>
          <a:off x="11281833" y="129762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86" name="Straight Arrow Connector 3985">
          <a:extLst>
            <a:ext uri="{FF2B5EF4-FFF2-40B4-BE49-F238E27FC236}">
              <a16:creationId xmlns:a16="http://schemas.microsoft.com/office/drawing/2014/main" id="{00000000-0008-0000-1200-000092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87" name="Straight Arrow Connector 3986">
          <a:extLst>
            <a:ext uri="{FF2B5EF4-FFF2-40B4-BE49-F238E27FC236}">
              <a16:creationId xmlns:a16="http://schemas.microsoft.com/office/drawing/2014/main" id="{00000000-0008-0000-1200-000093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88" name="Straight Arrow Connector 3987">
          <a:extLst>
            <a:ext uri="{FF2B5EF4-FFF2-40B4-BE49-F238E27FC236}">
              <a16:creationId xmlns:a16="http://schemas.microsoft.com/office/drawing/2014/main" id="{00000000-0008-0000-1200-000094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89" name="Straight Arrow Connector 3988">
          <a:extLst>
            <a:ext uri="{FF2B5EF4-FFF2-40B4-BE49-F238E27FC236}">
              <a16:creationId xmlns:a16="http://schemas.microsoft.com/office/drawing/2014/main" id="{00000000-0008-0000-1200-000095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0" name="Straight Arrow Connector 3989">
          <a:extLst>
            <a:ext uri="{FF2B5EF4-FFF2-40B4-BE49-F238E27FC236}">
              <a16:creationId xmlns:a16="http://schemas.microsoft.com/office/drawing/2014/main" id="{00000000-0008-0000-1200-000096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91" name="Straight Arrow Connector 3990">
          <a:extLst>
            <a:ext uri="{FF2B5EF4-FFF2-40B4-BE49-F238E27FC236}">
              <a16:creationId xmlns:a16="http://schemas.microsoft.com/office/drawing/2014/main" id="{00000000-0008-0000-1200-000097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2" name="Straight Arrow Connector 3991">
          <a:extLst>
            <a:ext uri="{FF2B5EF4-FFF2-40B4-BE49-F238E27FC236}">
              <a16:creationId xmlns:a16="http://schemas.microsoft.com/office/drawing/2014/main" id="{00000000-0008-0000-1200-000098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93" name="Straight Arrow Connector 3992">
          <a:extLst>
            <a:ext uri="{FF2B5EF4-FFF2-40B4-BE49-F238E27FC236}">
              <a16:creationId xmlns:a16="http://schemas.microsoft.com/office/drawing/2014/main" id="{00000000-0008-0000-1200-000099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4" name="Straight Arrow Connector 3993">
          <a:extLst>
            <a:ext uri="{FF2B5EF4-FFF2-40B4-BE49-F238E27FC236}">
              <a16:creationId xmlns:a16="http://schemas.microsoft.com/office/drawing/2014/main" id="{00000000-0008-0000-1200-00009A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95" name="Straight Arrow Connector 3994">
          <a:extLst>
            <a:ext uri="{FF2B5EF4-FFF2-40B4-BE49-F238E27FC236}">
              <a16:creationId xmlns:a16="http://schemas.microsoft.com/office/drawing/2014/main" id="{00000000-0008-0000-1200-00009B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6" name="Straight Arrow Connector 3995">
          <a:extLst>
            <a:ext uri="{FF2B5EF4-FFF2-40B4-BE49-F238E27FC236}">
              <a16:creationId xmlns:a16="http://schemas.microsoft.com/office/drawing/2014/main" id="{00000000-0008-0000-1200-00009C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7" name="Straight Arrow Connector 3996">
          <a:extLst>
            <a:ext uri="{FF2B5EF4-FFF2-40B4-BE49-F238E27FC236}">
              <a16:creationId xmlns:a16="http://schemas.microsoft.com/office/drawing/2014/main" id="{00000000-0008-0000-1200-00009D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3998" name="Straight Arrow Connector 3997">
          <a:extLst>
            <a:ext uri="{FF2B5EF4-FFF2-40B4-BE49-F238E27FC236}">
              <a16:creationId xmlns:a16="http://schemas.microsoft.com/office/drawing/2014/main" id="{00000000-0008-0000-1200-00009E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3999" name="Straight Arrow Connector 3998">
          <a:extLst>
            <a:ext uri="{FF2B5EF4-FFF2-40B4-BE49-F238E27FC236}">
              <a16:creationId xmlns:a16="http://schemas.microsoft.com/office/drawing/2014/main" id="{00000000-0008-0000-1200-00009F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000" name="Straight Arrow Connector 3999">
          <a:extLst>
            <a:ext uri="{FF2B5EF4-FFF2-40B4-BE49-F238E27FC236}">
              <a16:creationId xmlns:a16="http://schemas.microsoft.com/office/drawing/2014/main" id="{00000000-0008-0000-1200-0000A0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001" name="Straight Arrow Connector 4000">
          <a:extLst>
            <a:ext uri="{FF2B5EF4-FFF2-40B4-BE49-F238E27FC236}">
              <a16:creationId xmlns:a16="http://schemas.microsoft.com/office/drawing/2014/main" id="{00000000-0008-0000-1200-0000A1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002" name="Straight Arrow Connector 4001">
          <a:extLst>
            <a:ext uri="{FF2B5EF4-FFF2-40B4-BE49-F238E27FC236}">
              <a16:creationId xmlns:a16="http://schemas.microsoft.com/office/drawing/2014/main" id="{00000000-0008-0000-1200-0000A2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003" name="Straight Arrow Connector 4002">
          <a:extLst>
            <a:ext uri="{FF2B5EF4-FFF2-40B4-BE49-F238E27FC236}">
              <a16:creationId xmlns:a16="http://schemas.microsoft.com/office/drawing/2014/main" id="{00000000-0008-0000-1200-0000A30F0000}"/>
            </a:ext>
          </a:extLst>
        </xdr:cNvPr>
        <xdr:cNvCxnSpPr/>
      </xdr:nvCxnSpPr>
      <xdr:spPr>
        <a:xfrm>
          <a:off x="11281833" y="13547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004" name="Straight Arrow Connector 4003">
          <a:extLst>
            <a:ext uri="{FF2B5EF4-FFF2-40B4-BE49-F238E27FC236}">
              <a16:creationId xmlns:a16="http://schemas.microsoft.com/office/drawing/2014/main" id="{00000000-0008-0000-1200-0000A40F0000}"/>
            </a:ext>
          </a:extLst>
        </xdr:cNvPr>
        <xdr:cNvCxnSpPr/>
      </xdr:nvCxnSpPr>
      <xdr:spPr>
        <a:xfrm>
          <a:off x="11324166" y="13814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005" name="Straight Arrow Connector 4004">
          <a:extLst>
            <a:ext uri="{FF2B5EF4-FFF2-40B4-BE49-F238E27FC236}">
              <a16:creationId xmlns:a16="http://schemas.microsoft.com/office/drawing/2014/main" id="{00000000-0008-0000-1200-0000A50F0000}"/>
            </a:ext>
          </a:extLst>
        </xdr:cNvPr>
        <xdr:cNvCxnSpPr/>
      </xdr:nvCxnSpPr>
      <xdr:spPr>
        <a:xfrm>
          <a:off x="11281833" y="1406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006" name="Straight Arrow Connector 4005">
          <a:extLst>
            <a:ext uri="{FF2B5EF4-FFF2-40B4-BE49-F238E27FC236}">
              <a16:creationId xmlns:a16="http://schemas.microsoft.com/office/drawing/2014/main" id="{00000000-0008-0000-1200-0000A60F0000}"/>
            </a:ext>
          </a:extLst>
        </xdr:cNvPr>
        <xdr:cNvCxnSpPr/>
      </xdr:nvCxnSpPr>
      <xdr:spPr>
        <a:xfrm>
          <a:off x="11281833" y="140620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07" name="Straight Arrow Connector 4006">
          <a:extLst>
            <a:ext uri="{FF2B5EF4-FFF2-40B4-BE49-F238E27FC236}">
              <a16:creationId xmlns:a16="http://schemas.microsoft.com/office/drawing/2014/main" id="{00000000-0008-0000-1200-0000A7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08" name="Straight Arrow Connector 4007">
          <a:extLst>
            <a:ext uri="{FF2B5EF4-FFF2-40B4-BE49-F238E27FC236}">
              <a16:creationId xmlns:a16="http://schemas.microsoft.com/office/drawing/2014/main" id="{00000000-0008-0000-1200-0000A8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09" name="Straight Arrow Connector 4008">
          <a:extLst>
            <a:ext uri="{FF2B5EF4-FFF2-40B4-BE49-F238E27FC236}">
              <a16:creationId xmlns:a16="http://schemas.microsoft.com/office/drawing/2014/main" id="{00000000-0008-0000-1200-0000A9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0" name="Straight Arrow Connector 4009">
          <a:extLst>
            <a:ext uri="{FF2B5EF4-FFF2-40B4-BE49-F238E27FC236}">
              <a16:creationId xmlns:a16="http://schemas.microsoft.com/office/drawing/2014/main" id="{00000000-0008-0000-1200-0000AA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1" name="Straight Arrow Connector 4010">
          <a:extLst>
            <a:ext uri="{FF2B5EF4-FFF2-40B4-BE49-F238E27FC236}">
              <a16:creationId xmlns:a16="http://schemas.microsoft.com/office/drawing/2014/main" id="{00000000-0008-0000-1200-0000AB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2" name="Straight Arrow Connector 4011">
          <a:extLst>
            <a:ext uri="{FF2B5EF4-FFF2-40B4-BE49-F238E27FC236}">
              <a16:creationId xmlns:a16="http://schemas.microsoft.com/office/drawing/2014/main" id="{00000000-0008-0000-1200-0000AC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13" name="Straight Arrow Connector 4012">
          <a:extLst>
            <a:ext uri="{FF2B5EF4-FFF2-40B4-BE49-F238E27FC236}">
              <a16:creationId xmlns:a16="http://schemas.microsoft.com/office/drawing/2014/main" id="{00000000-0008-0000-1200-0000AD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4" name="Straight Arrow Connector 4013">
          <a:extLst>
            <a:ext uri="{FF2B5EF4-FFF2-40B4-BE49-F238E27FC236}">
              <a16:creationId xmlns:a16="http://schemas.microsoft.com/office/drawing/2014/main" id="{00000000-0008-0000-1200-0000AE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5" name="Straight Arrow Connector 4014">
          <a:extLst>
            <a:ext uri="{FF2B5EF4-FFF2-40B4-BE49-F238E27FC236}">
              <a16:creationId xmlns:a16="http://schemas.microsoft.com/office/drawing/2014/main" id="{00000000-0008-0000-1200-0000AF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6" name="Straight Arrow Connector 4015">
          <a:extLst>
            <a:ext uri="{FF2B5EF4-FFF2-40B4-BE49-F238E27FC236}">
              <a16:creationId xmlns:a16="http://schemas.microsoft.com/office/drawing/2014/main" id="{00000000-0008-0000-1200-0000B0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7" name="Straight Arrow Connector 4016">
          <a:extLst>
            <a:ext uri="{FF2B5EF4-FFF2-40B4-BE49-F238E27FC236}">
              <a16:creationId xmlns:a16="http://schemas.microsoft.com/office/drawing/2014/main" id="{00000000-0008-0000-1200-0000B1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18" name="Straight Arrow Connector 4017">
          <a:extLst>
            <a:ext uri="{FF2B5EF4-FFF2-40B4-BE49-F238E27FC236}">
              <a16:creationId xmlns:a16="http://schemas.microsoft.com/office/drawing/2014/main" id="{00000000-0008-0000-1200-0000B2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19" name="Straight Arrow Connector 4018">
          <a:extLst>
            <a:ext uri="{FF2B5EF4-FFF2-40B4-BE49-F238E27FC236}">
              <a16:creationId xmlns:a16="http://schemas.microsoft.com/office/drawing/2014/main" id="{00000000-0008-0000-1200-0000B3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20" name="Straight Arrow Connector 4019">
          <a:extLst>
            <a:ext uri="{FF2B5EF4-FFF2-40B4-BE49-F238E27FC236}">
              <a16:creationId xmlns:a16="http://schemas.microsoft.com/office/drawing/2014/main" id="{00000000-0008-0000-1200-0000B4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1" name="Straight Arrow Connector 4020">
          <a:extLst>
            <a:ext uri="{FF2B5EF4-FFF2-40B4-BE49-F238E27FC236}">
              <a16:creationId xmlns:a16="http://schemas.microsoft.com/office/drawing/2014/main" id="{00000000-0008-0000-1200-0000B5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22" name="Straight Arrow Connector 4021">
          <a:extLst>
            <a:ext uri="{FF2B5EF4-FFF2-40B4-BE49-F238E27FC236}">
              <a16:creationId xmlns:a16="http://schemas.microsoft.com/office/drawing/2014/main" id="{00000000-0008-0000-1200-0000B6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3" name="Straight Arrow Connector 4022">
          <a:extLst>
            <a:ext uri="{FF2B5EF4-FFF2-40B4-BE49-F238E27FC236}">
              <a16:creationId xmlns:a16="http://schemas.microsoft.com/office/drawing/2014/main" id="{00000000-0008-0000-1200-0000B7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24" name="Straight Arrow Connector 4023">
          <a:extLst>
            <a:ext uri="{FF2B5EF4-FFF2-40B4-BE49-F238E27FC236}">
              <a16:creationId xmlns:a16="http://schemas.microsoft.com/office/drawing/2014/main" id="{00000000-0008-0000-1200-0000B8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5" name="Straight Arrow Connector 4024">
          <a:extLst>
            <a:ext uri="{FF2B5EF4-FFF2-40B4-BE49-F238E27FC236}">
              <a16:creationId xmlns:a16="http://schemas.microsoft.com/office/drawing/2014/main" id="{00000000-0008-0000-1200-0000B9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6" name="Straight Arrow Connector 4025">
          <a:extLst>
            <a:ext uri="{FF2B5EF4-FFF2-40B4-BE49-F238E27FC236}">
              <a16:creationId xmlns:a16="http://schemas.microsoft.com/office/drawing/2014/main" id="{00000000-0008-0000-1200-0000BA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7" name="Straight Arrow Connector 4026">
          <a:extLst>
            <a:ext uri="{FF2B5EF4-FFF2-40B4-BE49-F238E27FC236}">
              <a16:creationId xmlns:a16="http://schemas.microsoft.com/office/drawing/2014/main" id="{00000000-0008-0000-1200-0000BB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28" name="Straight Arrow Connector 4027">
          <a:extLst>
            <a:ext uri="{FF2B5EF4-FFF2-40B4-BE49-F238E27FC236}">
              <a16:creationId xmlns:a16="http://schemas.microsoft.com/office/drawing/2014/main" id="{00000000-0008-0000-1200-0000BC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29" name="Straight Arrow Connector 4028">
          <a:extLst>
            <a:ext uri="{FF2B5EF4-FFF2-40B4-BE49-F238E27FC236}">
              <a16:creationId xmlns:a16="http://schemas.microsoft.com/office/drawing/2014/main" id="{00000000-0008-0000-1200-0000BD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30" name="Straight Arrow Connector 4029">
          <a:extLst>
            <a:ext uri="{FF2B5EF4-FFF2-40B4-BE49-F238E27FC236}">
              <a16:creationId xmlns:a16="http://schemas.microsoft.com/office/drawing/2014/main" id="{00000000-0008-0000-1200-0000BE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31" name="Straight Arrow Connector 4030">
          <a:extLst>
            <a:ext uri="{FF2B5EF4-FFF2-40B4-BE49-F238E27FC236}">
              <a16:creationId xmlns:a16="http://schemas.microsoft.com/office/drawing/2014/main" id="{00000000-0008-0000-1200-0000BF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032" name="Straight Arrow Connector 4031">
          <a:extLst>
            <a:ext uri="{FF2B5EF4-FFF2-40B4-BE49-F238E27FC236}">
              <a16:creationId xmlns:a16="http://schemas.microsoft.com/office/drawing/2014/main" id="{00000000-0008-0000-1200-0000C00F0000}"/>
            </a:ext>
          </a:extLst>
        </xdr:cNvPr>
        <xdr:cNvCxnSpPr/>
      </xdr:nvCxnSpPr>
      <xdr:spPr>
        <a:xfrm>
          <a:off x="11281833" y="14633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033" name="Straight Arrow Connector 4032">
          <a:extLst>
            <a:ext uri="{FF2B5EF4-FFF2-40B4-BE49-F238E27FC236}">
              <a16:creationId xmlns:a16="http://schemas.microsoft.com/office/drawing/2014/main" id="{00000000-0008-0000-1200-0000C10F0000}"/>
            </a:ext>
          </a:extLst>
        </xdr:cNvPr>
        <xdr:cNvCxnSpPr/>
      </xdr:nvCxnSpPr>
      <xdr:spPr>
        <a:xfrm>
          <a:off x="11324166" y="14900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034" name="Straight Arrow Connector 4033">
          <a:extLst>
            <a:ext uri="{FF2B5EF4-FFF2-40B4-BE49-F238E27FC236}">
              <a16:creationId xmlns:a16="http://schemas.microsoft.com/office/drawing/2014/main" id="{00000000-0008-0000-1200-0000C20F0000}"/>
            </a:ext>
          </a:extLst>
        </xdr:cNvPr>
        <xdr:cNvCxnSpPr/>
      </xdr:nvCxnSpPr>
      <xdr:spPr>
        <a:xfrm>
          <a:off x="11281833" y="151479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035" name="Straight Arrow Connector 4034">
          <a:extLst>
            <a:ext uri="{FF2B5EF4-FFF2-40B4-BE49-F238E27FC236}">
              <a16:creationId xmlns:a16="http://schemas.microsoft.com/office/drawing/2014/main" id="{00000000-0008-0000-1200-0000C30F0000}"/>
            </a:ext>
          </a:extLst>
        </xdr:cNvPr>
        <xdr:cNvCxnSpPr/>
      </xdr:nvCxnSpPr>
      <xdr:spPr>
        <a:xfrm>
          <a:off x="11281833" y="151479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36" name="Straight Arrow Connector 4035">
          <a:extLst>
            <a:ext uri="{FF2B5EF4-FFF2-40B4-BE49-F238E27FC236}">
              <a16:creationId xmlns:a16="http://schemas.microsoft.com/office/drawing/2014/main" id="{00000000-0008-0000-1200-0000C4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37" name="Straight Arrow Connector 4036">
          <a:extLst>
            <a:ext uri="{FF2B5EF4-FFF2-40B4-BE49-F238E27FC236}">
              <a16:creationId xmlns:a16="http://schemas.microsoft.com/office/drawing/2014/main" id="{00000000-0008-0000-1200-0000C5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38" name="Straight Arrow Connector 4037">
          <a:extLst>
            <a:ext uri="{FF2B5EF4-FFF2-40B4-BE49-F238E27FC236}">
              <a16:creationId xmlns:a16="http://schemas.microsoft.com/office/drawing/2014/main" id="{00000000-0008-0000-1200-0000C6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39" name="Straight Arrow Connector 4038">
          <a:extLst>
            <a:ext uri="{FF2B5EF4-FFF2-40B4-BE49-F238E27FC236}">
              <a16:creationId xmlns:a16="http://schemas.microsoft.com/office/drawing/2014/main" id="{00000000-0008-0000-1200-0000C7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0" name="Straight Arrow Connector 4039">
          <a:extLst>
            <a:ext uri="{FF2B5EF4-FFF2-40B4-BE49-F238E27FC236}">
              <a16:creationId xmlns:a16="http://schemas.microsoft.com/office/drawing/2014/main" id="{00000000-0008-0000-1200-0000C8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1" name="Straight Arrow Connector 4040">
          <a:extLst>
            <a:ext uri="{FF2B5EF4-FFF2-40B4-BE49-F238E27FC236}">
              <a16:creationId xmlns:a16="http://schemas.microsoft.com/office/drawing/2014/main" id="{00000000-0008-0000-1200-0000C9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42" name="Straight Arrow Connector 4041">
          <a:extLst>
            <a:ext uri="{FF2B5EF4-FFF2-40B4-BE49-F238E27FC236}">
              <a16:creationId xmlns:a16="http://schemas.microsoft.com/office/drawing/2014/main" id="{00000000-0008-0000-1200-0000CA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3" name="Straight Arrow Connector 4042">
          <a:extLst>
            <a:ext uri="{FF2B5EF4-FFF2-40B4-BE49-F238E27FC236}">
              <a16:creationId xmlns:a16="http://schemas.microsoft.com/office/drawing/2014/main" id="{00000000-0008-0000-1200-0000CB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44" name="Straight Arrow Connector 4043">
          <a:extLst>
            <a:ext uri="{FF2B5EF4-FFF2-40B4-BE49-F238E27FC236}">
              <a16:creationId xmlns:a16="http://schemas.microsoft.com/office/drawing/2014/main" id="{00000000-0008-0000-1200-0000CC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5" name="Straight Arrow Connector 4044">
          <a:extLst>
            <a:ext uri="{FF2B5EF4-FFF2-40B4-BE49-F238E27FC236}">
              <a16:creationId xmlns:a16="http://schemas.microsoft.com/office/drawing/2014/main" id="{00000000-0008-0000-1200-0000CD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46" name="Straight Arrow Connector 4045">
          <a:extLst>
            <a:ext uri="{FF2B5EF4-FFF2-40B4-BE49-F238E27FC236}">
              <a16:creationId xmlns:a16="http://schemas.microsoft.com/office/drawing/2014/main" id="{00000000-0008-0000-1200-0000CE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7" name="Straight Arrow Connector 4046">
          <a:extLst>
            <a:ext uri="{FF2B5EF4-FFF2-40B4-BE49-F238E27FC236}">
              <a16:creationId xmlns:a16="http://schemas.microsoft.com/office/drawing/2014/main" id="{00000000-0008-0000-1200-0000CF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8" name="Straight Arrow Connector 4047">
          <a:extLst>
            <a:ext uri="{FF2B5EF4-FFF2-40B4-BE49-F238E27FC236}">
              <a16:creationId xmlns:a16="http://schemas.microsoft.com/office/drawing/2014/main" id="{00000000-0008-0000-1200-0000D0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49" name="Straight Arrow Connector 4048">
          <a:extLst>
            <a:ext uri="{FF2B5EF4-FFF2-40B4-BE49-F238E27FC236}">
              <a16:creationId xmlns:a16="http://schemas.microsoft.com/office/drawing/2014/main" id="{00000000-0008-0000-1200-0000D1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50" name="Straight Arrow Connector 4049">
          <a:extLst>
            <a:ext uri="{FF2B5EF4-FFF2-40B4-BE49-F238E27FC236}">
              <a16:creationId xmlns:a16="http://schemas.microsoft.com/office/drawing/2014/main" id="{00000000-0008-0000-1200-0000D2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1" name="Straight Arrow Connector 4050">
          <a:extLst>
            <a:ext uri="{FF2B5EF4-FFF2-40B4-BE49-F238E27FC236}">
              <a16:creationId xmlns:a16="http://schemas.microsoft.com/office/drawing/2014/main" id="{00000000-0008-0000-1200-0000D3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2" name="Straight Arrow Connector 4051">
          <a:extLst>
            <a:ext uri="{FF2B5EF4-FFF2-40B4-BE49-F238E27FC236}">
              <a16:creationId xmlns:a16="http://schemas.microsoft.com/office/drawing/2014/main" id="{00000000-0008-0000-1200-0000D4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3" name="Straight Arrow Connector 4052">
          <a:extLst>
            <a:ext uri="{FF2B5EF4-FFF2-40B4-BE49-F238E27FC236}">
              <a16:creationId xmlns:a16="http://schemas.microsoft.com/office/drawing/2014/main" id="{00000000-0008-0000-1200-0000D5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4" name="Straight Arrow Connector 4053">
          <a:extLst>
            <a:ext uri="{FF2B5EF4-FFF2-40B4-BE49-F238E27FC236}">
              <a16:creationId xmlns:a16="http://schemas.microsoft.com/office/drawing/2014/main" id="{00000000-0008-0000-1200-0000D6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55" name="Straight Arrow Connector 4054">
          <a:extLst>
            <a:ext uri="{FF2B5EF4-FFF2-40B4-BE49-F238E27FC236}">
              <a16:creationId xmlns:a16="http://schemas.microsoft.com/office/drawing/2014/main" id="{00000000-0008-0000-1200-0000D7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6" name="Straight Arrow Connector 4055">
          <a:extLst>
            <a:ext uri="{FF2B5EF4-FFF2-40B4-BE49-F238E27FC236}">
              <a16:creationId xmlns:a16="http://schemas.microsoft.com/office/drawing/2014/main" id="{00000000-0008-0000-1200-0000D8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57" name="Straight Arrow Connector 4056">
          <a:extLst>
            <a:ext uri="{FF2B5EF4-FFF2-40B4-BE49-F238E27FC236}">
              <a16:creationId xmlns:a16="http://schemas.microsoft.com/office/drawing/2014/main" id="{00000000-0008-0000-1200-0000D9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58" name="Straight Arrow Connector 4057">
          <a:extLst>
            <a:ext uri="{FF2B5EF4-FFF2-40B4-BE49-F238E27FC236}">
              <a16:creationId xmlns:a16="http://schemas.microsoft.com/office/drawing/2014/main" id="{00000000-0008-0000-1200-0000DA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59" name="Straight Arrow Connector 4058">
          <a:extLst>
            <a:ext uri="{FF2B5EF4-FFF2-40B4-BE49-F238E27FC236}">
              <a16:creationId xmlns:a16="http://schemas.microsoft.com/office/drawing/2014/main" id="{00000000-0008-0000-1200-0000DB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0" name="Straight Arrow Connector 4059">
          <a:extLst>
            <a:ext uri="{FF2B5EF4-FFF2-40B4-BE49-F238E27FC236}">
              <a16:creationId xmlns:a16="http://schemas.microsoft.com/office/drawing/2014/main" id="{00000000-0008-0000-1200-0000DC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61" name="Straight Arrow Connector 4060">
          <a:extLst>
            <a:ext uri="{FF2B5EF4-FFF2-40B4-BE49-F238E27FC236}">
              <a16:creationId xmlns:a16="http://schemas.microsoft.com/office/drawing/2014/main" id="{00000000-0008-0000-1200-0000DD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2" name="Straight Arrow Connector 4061">
          <a:extLst>
            <a:ext uri="{FF2B5EF4-FFF2-40B4-BE49-F238E27FC236}">
              <a16:creationId xmlns:a16="http://schemas.microsoft.com/office/drawing/2014/main" id="{00000000-0008-0000-1200-0000DE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3" name="Straight Arrow Connector 4062">
          <a:extLst>
            <a:ext uri="{FF2B5EF4-FFF2-40B4-BE49-F238E27FC236}">
              <a16:creationId xmlns:a16="http://schemas.microsoft.com/office/drawing/2014/main" id="{00000000-0008-0000-1200-0000DF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4" name="Straight Arrow Connector 4063">
          <a:extLst>
            <a:ext uri="{FF2B5EF4-FFF2-40B4-BE49-F238E27FC236}">
              <a16:creationId xmlns:a16="http://schemas.microsoft.com/office/drawing/2014/main" id="{00000000-0008-0000-1200-0000E0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65" name="Straight Arrow Connector 4064">
          <a:extLst>
            <a:ext uri="{FF2B5EF4-FFF2-40B4-BE49-F238E27FC236}">
              <a16:creationId xmlns:a16="http://schemas.microsoft.com/office/drawing/2014/main" id="{00000000-0008-0000-1200-0000E1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6" name="Straight Arrow Connector 4065">
          <a:extLst>
            <a:ext uri="{FF2B5EF4-FFF2-40B4-BE49-F238E27FC236}">
              <a16:creationId xmlns:a16="http://schemas.microsoft.com/office/drawing/2014/main" id="{00000000-0008-0000-1200-0000E2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67" name="Straight Arrow Connector 4066">
          <a:extLst>
            <a:ext uri="{FF2B5EF4-FFF2-40B4-BE49-F238E27FC236}">
              <a16:creationId xmlns:a16="http://schemas.microsoft.com/office/drawing/2014/main" id="{00000000-0008-0000-1200-0000E3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68" name="Straight Arrow Connector 4067">
          <a:extLst>
            <a:ext uri="{FF2B5EF4-FFF2-40B4-BE49-F238E27FC236}">
              <a16:creationId xmlns:a16="http://schemas.microsoft.com/office/drawing/2014/main" id="{00000000-0008-0000-1200-0000E4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069" name="Straight Arrow Connector 4068">
          <a:extLst>
            <a:ext uri="{FF2B5EF4-FFF2-40B4-BE49-F238E27FC236}">
              <a16:creationId xmlns:a16="http://schemas.microsoft.com/office/drawing/2014/main" id="{00000000-0008-0000-1200-0000E50F0000}"/>
            </a:ext>
          </a:extLst>
        </xdr:cNvPr>
        <xdr:cNvCxnSpPr/>
      </xdr:nvCxnSpPr>
      <xdr:spPr>
        <a:xfrm>
          <a:off x="11281833" y="15719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070" name="Straight Arrow Connector 4069">
          <a:extLst>
            <a:ext uri="{FF2B5EF4-FFF2-40B4-BE49-F238E27FC236}">
              <a16:creationId xmlns:a16="http://schemas.microsoft.com/office/drawing/2014/main" id="{00000000-0008-0000-1200-0000E60F0000}"/>
            </a:ext>
          </a:extLst>
        </xdr:cNvPr>
        <xdr:cNvCxnSpPr/>
      </xdr:nvCxnSpPr>
      <xdr:spPr>
        <a:xfrm>
          <a:off x="11324166" y="15986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071" name="Straight Arrow Connector 4070">
          <a:extLst>
            <a:ext uri="{FF2B5EF4-FFF2-40B4-BE49-F238E27FC236}">
              <a16:creationId xmlns:a16="http://schemas.microsoft.com/office/drawing/2014/main" id="{00000000-0008-0000-1200-0000E70F0000}"/>
            </a:ext>
          </a:extLst>
        </xdr:cNvPr>
        <xdr:cNvCxnSpPr/>
      </xdr:nvCxnSpPr>
      <xdr:spPr>
        <a:xfrm>
          <a:off x="11281833" y="1623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072" name="Straight Arrow Connector 4071">
          <a:extLst>
            <a:ext uri="{FF2B5EF4-FFF2-40B4-BE49-F238E27FC236}">
              <a16:creationId xmlns:a16="http://schemas.microsoft.com/office/drawing/2014/main" id="{00000000-0008-0000-1200-0000E80F0000}"/>
            </a:ext>
          </a:extLst>
        </xdr:cNvPr>
        <xdr:cNvCxnSpPr/>
      </xdr:nvCxnSpPr>
      <xdr:spPr>
        <a:xfrm>
          <a:off x="11281833" y="162337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73" name="Straight Arrow Connector 4072">
          <a:extLst>
            <a:ext uri="{FF2B5EF4-FFF2-40B4-BE49-F238E27FC236}">
              <a16:creationId xmlns:a16="http://schemas.microsoft.com/office/drawing/2014/main" id="{00000000-0008-0000-1200-0000E9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74" name="Straight Arrow Connector 4073">
          <a:extLst>
            <a:ext uri="{FF2B5EF4-FFF2-40B4-BE49-F238E27FC236}">
              <a16:creationId xmlns:a16="http://schemas.microsoft.com/office/drawing/2014/main" id="{00000000-0008-0000-1200-0000EA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75" name="Straight Arrow Connector 4074">
          <a:extLst>
            <a:ext uri="{FF2B5EF4-FFF2-40B4-BE49-F238E27FC236}">
              <a16:creationId xmlns:a16="http://schemas.microsoft.com/office/drawing/2014/main" id="{00000000-0008-0000-1200-0000EB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76" name="Straight Arrow Connector 4075">
          <a:extLst>
            <a:ext uri="{FF2B5EF4-FFF2-40B4-BE49-F238E27FC236}">
              <a16:creationId xmlns:a16="http://schemas.microsoft.com/office/drawing/2014/main" id="{00000000-0008-0000-1200-0000EC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77" name="Straight Arrow Connector 4076">
          <a:extLst>
            <a:ext uri="{FF2B5EF4-FFF2-40B4-BE49-F238E27FC236}">
              <a16:creationId xmlns:a16="http://schemas.microsoft.com/office/drawing/2014/main" id="{00000000-0008-0000-1200-0000ED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78" name="Straight Arrow Connector 4077">
          <a:extLst>
            <a:ext uri="{FF2B5EF4-FFF2-40B4-BE49-F238E27FC236}">
              <a16:creationId xmlns:a16="http://schemas.microsoft.com/office/drawing/2014/main" id="{00000000-0008-0000-1200-0000EE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79" name="Straight Arrow Connector 4078">
          <a:extLst>
            <a:ext uri="{FF2B5EF4-FFF2-40B4-BE49-F238E27FC236}">
              <a16:creationId xmlns:a16="http://schemas.microsoft.com/office/drawing/2014/main" id="{00000000-0008-0000-1200-0000EF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0" name="Straight Arrow Connector 4079">
          <a:extLst>
            <a:ext uri="{FF2B5EF4-FFF2-40B4-BE49-F238E27FC236}">
              <a16:creationId xmlns:a16="http://schemas.microsoft.com/office/drawing/2014/main" id="{00000000-0008-0000-1200-0000F0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81" name="Straight Arrow Connector 4080">
          <a:extLst>
            <a:ext uri="{FF2B5EF4-FFF2-40B4-BE49-F238E27FC236}">
              <a16:creationId xmlns:a16="http://schemas.microsoft.com/office/drawing/2014/main" id="{00000000-0008-0000-1200-0000F1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2" name="Straight Arrow Connector 4081">
          <a:extLst>
            <a:ext uri="{FF2B5EF4-FFF2-40B4-BE49-F238E27FC236}">
              <a16:creationId xmlns:a16="http://schemas.microsoft.com/office/drawing/2014/main" id="{00000000-0008-0000-1200-0000F2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3" name="Straight Arrow Connector 4082">
          <a:extLst>
            <a:ext uri="{FF2B5EF4-FFF2-40B4-BE49-F238E27FC236}">
              <a16:creationId xmlns:a16="http://schemas.microsoft.com/office/drawing/2014/main" id="{00000000-0008-0000-1200-0000F3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4" name="Straight Arrow Connector 4083">
          <a:extLst>
            <a:ext uri="{FF2B5EF4-FFF2-40B4-BE49-F238E27FC236}">
              <a16:creationId xmlns:a16="http://schemas.microsoft.com/office/drawing/2014/main" id="{00000000-0008-0000-1200-0000F4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85" name="Straight Arrow Connector 4084">
          <a:extLst>
            <a:ext uri="{FF2B5EF4-FFF2-40B4-BE49-F238E27FC236}">
              <a16:creationId xmlns:a16="http://schemas.microsoft.com/office/drawing/2014/main" id="{00000000-0008-0000-1200-0000F5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6" name="Straight Arrow Connector 4085">
          <a:extLst>
            <a:ext uri="{FF2B5EF4-FFF2-40B4-BE49-F238E27FC236}">
              <a16:creationId xmlns:a16="http://schemas.microsoft.com/office/drawing/2014/main" id="{00000000-0008-0000-1200-0000F6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7" name="Straight Arrow Connector 4086">
          <a:extLst>
            <a:ext uri="{FF2B5EF4-FFF2-40B4-BE49-F238E27FC236}">
              <a16:creationId xmlns:a16="http://schemas.microsoft.com/office/drawing/2014/main" id="{00000000-0008-0000-1200-0000F7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88" name="Straight Arrow Connector 4087">
          <a:extLst>
            <a:ext uri="{FF2B5EF4-FFF2-40B4-BE49-F238E27FC236}">
              <a16:creationId xmlns:a16="http://schemas.microsoft.com/office/drawing/2014/main" id="{00000000-0008-0000-1200-0000F8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89" name="Straight Arrow Connector 4088">
          <a:extLst>
            <a:ext uri="{FF2B5EF4-FFF2-40B4-BE49-F238E27FC236}">
              <a16:creationId xmlns:a16="http://schemas.microsoft.com/office/drawing/2014/main" id="{00000000-0008-0000-1200-0000F9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0" name="Straight Arrow Connector 4089">
          <a:extLst>
            <a:ext uri="{FF2B5EF4-FFF2-40B4-BE49-F238E27FC236}">
              <a16:creationId xmlns:a16="http://schemas.microsoft.com/office/drawing/2014/main" id="{00000000-0008-0000-1200-0000FA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91" name="Straight Arrow Connector 4090">
          <a:extLst>
            <a:ext uri="{FF2B5EF4-FFF2-40B4-BE49-F238E27FC236}">
              <a16:creationId xmlns:a16="http://schemas.microsoft.com/office/drawing/2014/main" id="{00000000-0008-0000-1200-0000FB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2" name="Straight Arrow Connector 4091">
          <a:extLst>
            <a:ext uri="{FF2B5EF4-FFF2-40B4-BE49-F238E27FC236}">
              <a16:creationId xmlns:a16="http://schemas.microsoft.com/office/drawing/2014/main" id="{00000000-0008-0000-1200-0000FC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93" name="Straight Arrow Connector 4092">
          <a:extLst>
            <a:ext uri="{FF2B5EF4-FFF2-40B4-BE49-F238E27FC236}">
              <a16:creationId xmlns:a16="http://schemas.microsoft.com/office/drawing/2014/main" id="{00000000-0008-0000-1200-0000FD0F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4" name="Straight Arrow Connector 4093">
          <a:extLst>
            <a:ext uri="{FF2B5EF4-FFF2-40B4-BE49-F238E27FC236}">
              <a16:creationId xmlns:a16="http://schemas.microsoft.com/office/drawing/2014/main" id="{00000000-0008-0000-1200-0000FE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5" name="Straight Arrow Connector 4094">
          <a:extLst>
            <a:ext uri="{FF2B5EF4-FFF2-40B4-BE49-F238E27FC236}">
              <a16:creationId xmlns:a16="http://schemas.microsoft.com/office/drawing/2014/main" id="{00000000-0008-0000-1200-0000FF0F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6" name="Straight Arrow Connector 4095">
          <a:extLst>
            <a:ext uri="{FF2B5EF4-FFF2-40B4-BE49-F238E27FC236}">
              <a16:creationId xmlns:a16="http://schemas.microsoft.com/office/drawing/2014/main" id="{00000000-0008-0000-1200-000000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097" name="Straight Arrow Connector 4096">
          <a:extLst>
            <a:ext uri="{FF2B5EF4-FFF2-40B4-BE49-F238E27FC236}">
              <a16:creationId xmlns:a16="http://schemas.microsoft.com/office/drawing/2014/main" id="{00000000-0008-0000-1200-000001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8" name="Straight Arrow Connector 4097">
          <a:extLst>
            <a:ext uri="{FF2B5EF4-FFF2-40B4-BE49-F238E27FC236}">
              <a16:creationId xmlns:a16="http://schemas.microsoft.com/office/drawing/2014/main" id="{00000000-0008-0000-1200-000002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099" name="Straight Arrow Connector 4098">
          <a:extLst>
            <a:ext uri="{FF2B5EF4-FFF2-40B4-BE49-F238E27FC236}">
              <a16:creationId xmlns:a16="http://schemas.microsoft.com/office/drawing/2014/main" id="{00000000-0008-0000-1200-000003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0" name="Straight Arrow Connector 4099">
          <a:extLst>
            <a:ext uri="{FF2B5EF4-FFF2-40B4-BE49-F238E27FC236}">
              <a16:creationId xmlns:a16="http://schemas.microsoft.com/office/drawing/2014/main" id="{00000000-0008-0000-1200-000004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1" name="Straight Arrow Connector 4100">
          <a:extLst>
            <a:ext uri="{FF2B5EF4-FFF2-40B4-BE49-F238E27FC236}">
              <a16:creationId xmlns:a16="http://schemas.microsoft.com/office/drawing/2014/main" id="{00000000-0008-0000-1200-000005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02" name="Straight Arrow Connector 4101">
          <a:extLst>
            <a:ext uri="{FF2B5EF4-FFF2-40B4-BE49-F238E27FC236}">
              <a16:creationId xmlns:a16="http://schemas.microsoft.com/office/drawing/2014/main" id="{00000000-0008-0000-1200-000006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3" name="Straight Arrow Connector 4102">
          <a:extLst>
            <a:ext uri="{FF2B5EF4-FFF2-40B4-BE49-F238E27FC236}">
              <a16:creationId xmlns:a16="http://schemas.microsoft.com/office/drawing/2014/main" id="{00000000-0008-0000-1200-000007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04" name="Straight Arrow Connector 4103">
          <a:extLst>
            <a:ext uri="{FF2B5EF4-FFF2-40B4-BE49-F238E27FC236}">
              <a16:creationId xmlns:a16="http://schemas.microsoft.com/office/drawing/2014/main" id="{00000000-0008-0000-1200-000008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5" name="Straight Arrow Connector 4104">
          <a:extLst>
            <a:ext uri="{FF2B5EF4-FFF2-40B4-BE49-F238E27FC236}">
              <a16:creationId xmlns:a16="http://schemas.microsoft.com/office/drawing/2014/main" id="{00000000-0008-0000-1200-000009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06" name="Straight Arrow Connector 4105">
          <a:extLst>
            <a:ext uri="{FF2B5EF4-FFF2-40B4-BE49-F238E27FC236}">
              <a16:creationId xmlns:a16="http://schemas.microsoft.com/office/drawing/2014/main" id="{00000000-0008-0000-1200-00000A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7" name="Straight Arrow Connector 4106">
          <a:extLst>
            <a:ext uri="{FF2B5EF4-FFF2-40B4-BE49-F238E27FC236}">
              <a16:creationId xmlns:a16="http://schemas.microsoft.com/office/drawing/2014/main" id="{00000000-0008-0000-1200-00000B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08" name="Straight Arrow Connector 4107">
          <a:extLst>
            <a:ext uri="{FF2B5EF4-FFF2-40B4-BE49-F238E27FC236}">
              <a16:creationId xmlns:a16="http://schemas.microsoft.com/office/drawing/2014/main" id="{00000000-0008-0000-1200-00000C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09" name="Straight Arrow Connector 4108">
          <a:extLst>
            <a:ext uri="{FF2B5EF4-FFF2-40B4-BE49-F238E27FC236}">
              <a16:creationId xmlns:a16="http://schemas.microsoft.com/office/drawing/2014/main" id="{00000000-0008-0000-1200-00000D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0" name="Straight Arrow Connector 4109">
          <a:extLst>
            <a:ext uri="{FF2B5EF4-FFF2-40B4-BE49-F238E27FC236}">
              <a16:creationId xmlns:a16="http://schemas.microsoft.com/office/drawing/2014/main" id="{00000000-0008-0000-1200-00000E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1" name="Straight Arrow Connector 4110">
          <a:extLst>
            <a:ext uri="{FF2B5EF4-FFF2-40B4-BE49-F238E27FC236}">
              <a16:creationId xmlns:a16="http://schemas.microsoft.com/office/drawing/2014/main" id="{00000000-0008-0000-1200-00000F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12" name="Straight Arrow Connector 4111">
          <a:extLst>
            <a:ext uri="{FF2B5EF4-FFF2-40B4-BE49-F238E27FC236}">
              <a16:creationId xmlns:a16="http://schemas.microsoft.com/office/drawing/2014/main" id="{00000000-0008-0000-1200-000010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3" name="Straight Arrow Connector 4112">
          <a:extLst>
            <a:ext uri="{FF2B5EF4-FFF2-40B4-BE49-F238E27FC236}">
              <a16:creationId xmlns:a16="http://schemas.microsoft.com/office/drawing/2014/main" id="{00000000-0008-0000-1200-000011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14" name="Straight Arrow Connector 4113">
          <a:extLst>
            <a:ext uri="{FF2B5EF4-FFF2-40B4-BE49-F238E27FC236}">
              <a16:creationId xmlns:a16="http://schemas.microsoft.com/office/drawing/2014/main" id="{00000000-0008-0000-1200-000012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5" name="Straight Arrow Connector 4114">
          <a:extLst>
            <a:ext uri="{FF2B5EF4-FFF2-40B4-BE49-F238E27FC236}">
              <a16:creationId xmlns:a16="http://schemas.microsoft.com/office/drawing/2014/main" id="{00000000-0008-0000-1200-000013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116" name="Straight Arrow Connector 4115">
          <a:extLst>
            <a:ext uri="{FF2B5EF4-FFF2-40B4-BE49-F238E27FC236}">
              <a16:creationId xmlns:a16="http://schemas.microsoft.com/office/drawing/2014/main" id="{00000000-0008-0000-1200-000014100000}"/>
            </a:ext>
          </a:extLst>
        </xdr:cNvPr>
        <xdr:cNvCxnSpPr/>
      </xdr:nvCxnSpPr>
      <xdr:spPr>
        <a:xfrm>
          <a:off x="11281833" y="16805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117" name="Straight Arrow Connector 4116">
          <a:extLst>
            <a:ext uri="{FF2B5EF4-FFF2-40B4-BE49-F238E27FC236}">
              <a16:creationId xmlns:a16="http://schemas.microsoft.com/office/drawing/2014/main" id="{00000000-0008-0000-1200-000015100000}"/>
            </a:ext>
          </a:extLst>
        </xdr:cNvPr>
        <xdr:cNvCxnSpPr/>
      </xdr:nvCxnSpPr>
      <xdr:spPr>
        <a:xfrm>
          <a:off x="11324166" y="17071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118" name="Straight Arrow Connector 4117">
          <a:extLst>
            <a:ext uri="{FF2B5EF4-FFF2-40B4-BE49-F238E27FC236}">
              <a16:creationId xmlns:a16="http://schemas.microsoft.com/office/drawing/2014/main" id="{00000000-0008-0000-1200-000016100000}"/>
            </a:ext>
          </a:extLst>
        </xdr:cNvPr>
        <xdr:cNvCxnSpPr/>
      </xdr:nvCxnSpPr>
      <xdr:spPr>
        <a:xfrm>
          <a:off x="11281833" y="1731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119" name="Straight Arrow Connector 4118">
          <a:extLst>
            <a:ext uri="{FF2B5EF4-FFF2-40B4-BE49-F238E27FC236}">
              <a16:creationId xmlns:a16="http://schemas.microsoft.com/office/drawing/2014/main" id="{00000000-0008-0000-1200-000017100000}"/>
            </a:ext>
          </a:extLst>
        </xdr:cNvPr>
        <xdr:cNvCxnSpPr/>
      </xdr:nvCxnSpPr>
      <xdr:spPr>
        <a:xfrm>
          <a:off x="11281833" y="173196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4142" name="Straight Arrow Connector 4141">
          <a:extLst>
            <a:ext uri="{FF2B5EF4-FFF2-40B4-BE49-F238E27FC236}">
              <a16:creationId xmlns:a16="http://schemas.microsoft.com/office/drawing/2014/main" id="{00000000-0008-0000-1200-00002E100000}"/>
            </a:ext>
          </a:extLst>
        </xdr:cNvPr>
        <xdr:cNvCxnSpPr/>
      </xdr:nvCxnSpPr>
      <xdr:spPr>
        <a:xfrm>
          <a:off x="11324166" y="18234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4144" name="Straight Arrow Connector 4143">
          <a:extLst>
            <a:ext uri="{FF2B5EF4-FFF2-40B4-BE49-F238E27FC236}">
              <a16:creationId xmlns:a16="http://schemas.microsoft.com/office/drawing/2014/main" id="{00000000-0008-0000-1200-000030100000}"/>
            </a:ext>
          </a:extLst>
        </xdr:cNvPr>
        <xdr:cNvCxnSpPr/>
      </xdr:nvCxnSpPr>
      <xdr:spPr>
        <a:xfrm>
          <a:off x="11324166" y="18234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1000</xdr:row>
      <xdr:rowOff>31750</xdr:rowOff>
    </xdr:from>
    <xdr:to>
      <xdr:col>16</xdr:col>
      <xdr:colOff>21167</xdr:colOff>
      <xdr:row>1007</xdr:row>
      <xdr:rowOff>95250</xdr:rowOff>
    </xdr:to>
    <xdr:cxnSp macro="">
      <xdr:nvCxnSpPr>
        <xdr:cNvPr id="4146" name="Straight Arrow Connector 4145">
          <a:extLst>
            <a:ext uri="{FF2B5EF4-FFF2-40B4-BE49-F238E27FC236}">
              <a16:creationId xmlns:a16="http://schemas.microsoft.com/office/drawing/2014/main" id="{00000000-0008-0000-1200-000032100000}"/>
            </a:ext>
          </a:extLst>
        </xdr:cNvPr>
        <xdr:cNvCxnSpPr/>
      </xdr:nvCxnSpPr>
      <xdr:spPr>
        <a:xfrm>
          <a:off x="11324166" y="182340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49" name="Straight Arrow Connector 4148">
          <a:extLst>
            <a:ext uri="{FF2B5EF4-FFF2-40B4-BE49-F238E27FC236}">
              <a16:creationId xmlns:a16="http://schemas.microsoft.com/office/drawing/2014/main" id="{00000000-0008-0000-1200-000035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0" name="Straight Arrow Connector 4149">
          <a:extLst>
            <a:ext uri="{FF2B5EF4-FFF2-40B4-BE49-F238E27FC236}">
              <a16:creationId xmlns:a16="http://schemas.microsoft.com/office/drawing/2014/main" id="{00000000-0008-0000-1200-000036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1" name="Straight Arrow Connector 4150">
          <a:extLst>
            <a:ext uri="{FF2B5EF4-FFF2-40B4-BE49-F238E27FC236}">
              <a16:creationId xmlns:a16="http://schemas.microsoft.com/office/drawing/2014/main" id="{00000000-0008-0000-1200-000037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2" name="Straight Arrow Connector 4151">
          <a:extLst>
            <a:ext uri="{FF2B5EF4-FFF2-40B4-BE49-F238E27FC236}">
              <a16:creationId xmlns:a16="http://schemas.microsoft.com/office/drawing/2014/main" id="{00000000-0008-0000-1200-000038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1043</xdr:row>
      <xdr:rowOff>31750</xdr:rowOff>
    </xdr:from>
    <xdr:to>
      <xdr:col>16</xdr:col>
      <xdr:colOff>42334</xdr:colOff>
      <xdr:row>1050</xdr:row>
      <xdr:rowOff>63501</xdr:rowOff>
    </xdr:to>
    <xdr:cxnSp macro="">
      <xdr:nvCxnSpPr>
        <xdr:cNvPr id="4153" name="Straight Arrow Connector 4152">
          <a:extLst>
            <a:ext uri="{FF2B5EF4-FFF2-40B4-BE49-F238E27FC236}">
              <a16:creationId xmlns:a16="http://schemas.microsoft.com/office/drawing/2014/main" id="{00000000-0008-0000-1200-000039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4" name="Straight Arrow Connector 4153">
          <a:extLst>
            <a:ext uri="{FF2B5EF4-FFF2-40B4-BE49-F238E27FC236}">
              <a16:creationId xmlns:a16="http://schemas.microsoft.com/office/drawing/2014/main" id="{00000000-0008-0000-1200-00003A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4155" name="Straight Arrow Connector 4154">
          <a:extLst>
            <a:ext uri="{FF2B5EF4-FFF2-40B4-BE49-F238E27FC236}">
              <a16:creationId xmlns:a16="http://schemas.microsoft.com/office/drawing/2014/main" id="{00000000-0008-0000-1200-00003B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6" name="Straight Arrow Connector 4155">
          <a:extLst>
            <a:ext uri="{FF2B5EF4-FFF2-40B4-BE49-F238E27FC236}">
              <a16:creationId xmlns:a16="http://schemas.microsoft.com/office/drawing/2014/main" id="{00000000-0008-0000-1200-00003C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4157" name="Straight Arrow Connector 4156">
          <a:extLst>
            <a:ext uri="{FF2B5EF4-FFF2-40B4-BE49-F238E27FC236}">
              <a16:creationId xmlns:a16="http://schemas.microsoft.com/office/drawing/2014/main" id="{00000000-0008-0000-1200-00003D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58" name="Straight Arrow Connector 4157">
          <a:extLst>
            <a:ext uri="{FF2B5EF4-FFF2-40B4-BE49-F238E27FC236}">
              <a16:creationId xmlns:a16="http://schemas.microsoft.com/office/drawing/2014/main" id="{00000000-0008-0000-1200-00003E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1043</xdr:row>
      <xdr:rowOff>31750</xdr:rowOff>
    </xdr:from>
    <xdr:to>
      <xdr:col>16</xdr:col>
      <xdr:colOff>42334</xdr:colOff>
      <xdr:row>1050</xdr:row>
      <xdr:rowOff>63501</xdr:rowOff>
    </xdr:to>
    <xdr:cxnSp macro="">
      <xdr:nvCxnSpPr>
        <xdr:cNvPr id="4159" name="Straight Arrow Connector 4158">
          <a:extLst>
            <a:ext uri="{FF2B5EF4-FFF2-40B4-BE49-F238E27FC236}">
              <a16:creationId xmlns:a16="http://schemas.microsoft.com/office/drawing/2014/main" id="{00000000-0008-0000-1200-00003F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60" name="Straight Arrow Connector 4159">
          <a:extLst>
            <a:ext uri="{FF2B5EF4-FFF2-40B4-BE49-F238E27FC236}">
              <a16:creationId xmlns:a16="http://schemas.microsoft.com/office/drawing/2014/main" id="{00000000-0008-0000-1200-000040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1043</xdr:row>
      <xdr:rowOff>31750</xdr:rowOff>
    </xdr:from>
    <xdr:to>
      <xdr:col>16</xdr:col>
      <xdr:colOff>42334</xdr:colOff>
      <xdr:row>1050</xdr:row>
      <xdr:rowOff>63501</xdr:rowOff>
    </xdr:to>
    <xdr:cxnSp macro="">
      <xdr:nvCxnSpPr>
        <xdr:cNvPr id="4161" name="Straight Arrow Connector 4160">
          <a:extLst>
            <a:ext uri="{FF2B5EF4-FFF2-40B4-BE49-F238E27FC236}">
              <a16:creationId xmlns:a16="http://schemas.microsoft.com/office/drawing/2014/main" id="{00000000-0008-0000-1200-000041100000}"/>
            </a:ext>
          </a:extLst>
        </xdr:cNvPr>
        <xdr:cNvCxnSpPr/>
      </xdr:nvCxnSpPr>
      <xdr:spPr>
        <a:xfrm>
          <a:off x="11281833" y="1905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1056</xdr:row>
      <xdr:rowOff>31750</xdr:rowOff>
    </xdr:from>
    <xdr:to>
      <xdr:col>16</xdr:col>
      <xdr:colOff>21167</xdr:colOff>
      <xdr:row>1063</xdr:row>
      <xdr:rowOff>95250</xdr:rowOff>
    </xdr:to>
    <xdr:cxnSp macro="">
      <xdr:nvCxnSpPr>
        <xdr:cNvPr id="4162" name="Straight Arrow Connector 4161">
          <a:extLst>
            <a:ext uri="{FF2B5EF4-FFF2-40B4-BE49-F238E27FC236}">
              <a16:creationId xmlns:a16="http://schemas.microsoft.com/office/drawing/2014/main" id="{00000000-0008-0000-1200-000042100000}"/>
            </a:ext>
          </a:extLst>
        </xdr:cNvPr>
        <xdr:cNvCxnSpPr/>
      </xdr:nvCxnSpPr>
      <xdr:spPr>
        <a:xfrm>
          <a:off x="11324166" y="193198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63" name="Straight Arrow Connector 4162">
          <a:extLst>
            <a:ext uri="{FF2B5EF4-FFF2-40B4-BE49-F238E27FC236}">
              <a16:creationId xmlns:a16="http://schemas.microsoft.com/office/drawing/2014/main" id="{00000000-0008-0000-1200-000043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64" name="Straight Arrow Connector 4163">
          <a:extLst>
            <a:ext uri="{FF2B5EF4-FFF2-40B4-BE49-F238E27FC236}">
              <a16:creationId xmlns:a16="http://schemas.microsoft.com/office/drawing/2014/main" id="{00000000-0008-0000-1200-000044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65" name="Straight Arrow Connector 4164">
          <a:extLst>
            <a:ext uri="{FF2B5EF4-FFF2-40B4-BE49-F238E27FC236}">
              <a16:creationId xmlns:a16="http://schemas.microsoft.com/office/drawing/2014/main" id="{00000000-0008-0000-1200-000045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66" name="Straight Arrow Connector 4165">
          <a:extLst>
            <a:ext uri="{FF2B5EF4-FFF2-40B4-BE49-F238E27FC236}">
              <a16:creationId xmlns:a16="http://schemas.microsoft.com/office/drawing/2014/main" id="{00000000-0008-0000-1200-000046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67" name="Straight Arrow Connector 4166">
          <a:extLst>
            <a:ext uri="{FF2B5EF4-FFF2-40B4-BE49-F238E27FC236}">
              <a16:creationId xmlns:a16="http://schemas.microsoft.com/office/drawing/2014/main" id="{00000000-0008-0000-1200-000047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68" name="Straight Arrow Connector 4167">
          <a:extLst>
            <a:ext uri="{FF2B5EF4-FFF2-40B4-BE49-F238E27FC236}">
              <a16:creationId xmlns:a16="http://schemas.microsoft.com/office/drawing/2014/main" id="{00000000-0008-0000-1200-000048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4169" name="Straight Arrow Connector 4168">
          <a:extLst>
            <a:ext uri="{FF2B5EF4-FFF2-40B4-BE49-F238E27FC236}">
              <a16:creationId xmlns:a16="http://schemas.microsoft.com/office/drawing/2014/main" id="{00000000-0008-0000-1200-000049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0" name="Straight Arrow Connector 4169">
          <a:extLst>
            <a:ext uri="{FF2B5EF4-FFF2-40B4-BE49-F238E27FC236}">
              <a16:creationId xmlns:a16="http://schemas.microsoft.com/office/drawing/2014/main" id="{00000000-0008-0000-1200-00004A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4171" name="Straight Arrow Connector 4170">
          <a:extLst>
            <a:ext uri="{FF2B5EF4-FFF2-40B4-BE49-F238E27FC236}">
              <a16:creationId xmlns:a16="http://schemas.microsoft.com/office/drawing/2014/main" id="{00000000-0008-0000-1200-00004B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2" name="Straight Arrow Connector 4171">
          <a:extLst>
            <a:ext uri="{FF2B5EF4-FFF2-40B4-BE49-F238E27FC236}">
              <a16:creationId xmlns:a16="http://schemas.microsoft.com/office/drawing/2014/main" id="{00000000-0008-0000-1200-00004C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3" name="Straight Arrow Connector 4172">
          <a:extLst>
            <a:ext uri="{FF2B5EF4-FFF2-40B4-BE49-F238E27FC236}">
              <a16:creationId xmlns:a16="http://schemas.microsoft.com/office/drawing/2014/main" id="{00000000-0008-0000-1200-00004D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4" name="Straight Arrow Connector 4173">
          <a:extLst>
            <a:ext uri="{FF2B5EF4-FFF2-40B4-BE49-F238E27FC236}">
              <a16:creationId xmlns:a16="http://schemas.microsoft.com/office/drawing/2014/main" id="{00000000-0008-0000-1200-00004E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5" name="Straight Arrow Connector 4174">
          <a:extLst>
            <a:ext uri="{FF2B5EF4-FFF2-40B4-BE49-F238E27FC236}">
              <a16:creationId xmlns:a16="http://schemas.microsoft.com/office/drawing/2014/main" id="{00000000-0008-0000-1200-00004F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6" name="Straight Arrow Connector 4175">
          <a:extLst>
            <a:ext uri="{FF2B5EF4-FFF2-40B4-BE49-F238E27FC236}">
              <a16:creationId xmlns:a16="http://schemas.microsoft.com/office/drawing/2014/main" id="{00000000-0008-0000-1200-000050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4177" name="Straight Arrow Connector 4176">
          <a:extLst>
            <a:ext uri="{FF2B5EF4-FFF2-40B4-BE49-F238E27FC236}">
              <a16:creationId xmlns:a16="http://schemas.microsoft.com/office/drawing/2014/main" id="{00000000-0008-0000-1200-000051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78" name="Straight Arrow Connector 4177">
          <a:extLst>
            <a:ext uri="{FF2B5EF4-FFF2-40B4-BE49-F238E27FC236}">
              <a16:creationId xmlns:a16="http://schemas.microsoft.com/office/drawing/2014/main" id="{00000000-0008-0000-1200-000052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79" name="Straight Arrow Connector 4178">
          <a:extLst>
            <a:ext uri="{FF2B5EF4-FFF2-40B4-BE49-F238E27FC236}">
              <a16:creationId xmlns:a16="http://schemas.microsoft.com/office/drawing/2014/main" id="{00000000-0008-0000-1200-000053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80" name="Straight Arrow Connector 4179">
          <a:extLst>
            <a:ext uri="{FF2B5EF4-FFF2-40B4-BE49-F238E27FC236}">
              <a16:creationId xmlns:a16="http://schemas.microsoft.com/office/drawing/2014/main" id="{00000000-0008-0000-1200-000054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81" name="Straight Arrow Connector 4180">
          <a:extLst>
            <a:ext uri="{FF2B5EF4-FFF2-40B4-BE49-F238E27FC236}">
              <a16:creationId xmlns:a16="http://schemas.microsoft.com/office/drawing/2014/main" id="{00000000-0008-0000-1200-000055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82" name="Straight Arrow Connector 4181">
          <a:extLst>
            <a:ext uri="{FF2B5EF4-FFF2-40B4-BE49-F238E27FC236}">
              <a16:creationId xmlns:a16="http://schemas.microsoft.com/office/drawing/2014/main" id="{00000000-0008-0000-1200-000056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1099</xdr:row>
      <xdr:rowOff>31750</xdr:rowOff>
    </xdr:from>
    <xdr:to>
      <xdr:col>16</xdr:col>
      <xdr:colOff>42334</xdr:colOff>
      <xdr:row>1106</xdr:row>
      <xdr:rowOff>63501</xdr:rowOff>
    </xdr:to>
    <xdr:cxnSp macro="">
      <xdr:nvCxnSpPr>
        <xdr:cNvPr id="4183" name="Straight Arrow Connector 4182">
          <a:extLst>
            <a:ext uri="{FF2B5EF4-FFF2-40B4-BE49-F238E27FC236}">
              <a16:creationId xmlns:a16="http://schemas.microsoft.com/office/drawing/2014/main" id="{00000000-0008-0000-1200-000057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84" name="Straight Arrow Connector 4183">
          <a:extLst>
            <a:ext uri="{FF2B5EF4-FFF2-40B4-BE49-F238E27FC236}">
              <a16:creationId xmlns:a16="http://schemas.microsoft.com/office/drawing/2014/main" id="{00000000-0008-0000-1200-000058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1099</xdr:row>
      <xdr:rowOff>31750</xdr:rowOff>
    </xdr:from>
    <xdr:to>
      <xdr:col>16</xdr:col>
      <xdr:colOff>42334</xdr:colOff>
      <xdr:row>1106</xdr:row>
      <xdr:rowOff>63501</xdr:rowOff>
    </xdr:to>
    <xdr:cxnSp macro="">
      <xdr:nvCxnSpPr>
        <xdr:cNvPr id="4185" name="Straight Arrow Connector 4184">
          <a:extLst>
            <a:ext uri="{FF2B5EF4-FFF2-40B4-BE49-F238E27FC236}">
              <a16:creationId xmlns:a16="http://schemas.microsoft.com/office/drawing/2014/main" id="{00000000-0008-0000-1200-000059100000}"/>
            </a:ext>
          </a:extLst>
        </xdr:cNvPr>
        <xdr:cNvCxnSpPr/>
      </xdr:nvCxnSpPr>
      <xdr:spPr>
        <a:xfrm>
          <a:off x="11281833" y="2013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1112</xdr:row>
      <xdr:rowOff>31750</xdr:rowOff>
    </xdr:from>
    <xdr:to>
      <xdr:col>16</xdr:col>
      <xdr:colOff>21167</xdr:colOff>
      <xdr:row>1119</xdr:row>
      <xdr:rowOff>95250</xdr:rowOff>
    </xdr:to>
    <xdr:cxnSp macro="">
      <xdr:nvCxnSpPr>
        <xdr:cNvPr id="4186" name="Straight Arrow Connector 4185">
          <a:extLst>
            <a:ext uri="{FF2B5EF4-FFF2-40B4-BE49-F238E27FC236}">
              <a16:creationId xmlns:a16="http://schemas.microsoft.com/office/drawing/2014/main" id="{00000000-0008-0000-1200-00005A100000}"/>
            </a:ext>
          </a:extLst>
        </xdr:cNvPr>
        <xdr:cNvCxnSpPr/>
      </xdr:nvCxnSpPr>
      <xdr:spPr>
        <a:xfrm>
          <a:off x="11324166" y="204057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87" name="Straight Arrow Connector 4186">
          <a:extLst>
            <a:ext uri="{FF2B5EF4-FFF2-40B4-BE49-F238E27FC236}">
              <a16:creationId xmlns:a16="http://schemas.microsoft.com/office/drawing/2014/main" id="{00000000-0008-0000-1200-00005B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88" name="Straight Arrow Connector 4187">
          <a:extLst>
            <a:ext uri="{FF2B5EF4-FFF2-40B4-BE49-F238E27FC236}">
              <a16:creationId xmlns:a16="http://schemas.microsoft.com/office/drawing/2014/main" id="{00000000-0008-0000-1200-00005C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89" name="Straight Arrow Connector 4188">
          <a:extLst>
            <a:ext uri="{FF2B5EF4-FFF2-40B4-BE49-F238E27FC236}">
              <a16:creationId xmlns:a16="http://schemas.microsoft.com/office/drawing/2014/main" id="{00000000-0008-0000-1200-00005D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0" name="Straight Arrow Connector 4189">
          <a:extLst>
            <a:ext uri="{FF2B5EF4-FFF2-40B4-BE49-F238E27FC236}">
              <a16:creationId xmlns:a16="http://schemas.microsoft.com/office/drawing/2014/main" id="{00000000-0008-0000-1200-00005E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1" name="Straight Arrow Connector 4190">
          <a:extLst>
            <a:ext uri="{FF2B5EF4-FFF2-40B4-BE49-F238E27FC236}">
              <a16:creationId xmlns:a16="http://schemas.microsoft.com/office/drawing/2014/main" id="{00000000-0008-0000-1200-00005F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192" name="Straight Arrow Connector 4191">
          <a:extLst>
            <a:ext uri="{FF2B5EF4-FFF2-40B4-BE49-F238E27FC236}">
              <a16:creationId xmlns:a16="http://schemas.microsoft.com/office/drawing/2014/main" id="{00000000-0008-0000-1200-000060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3" name="Straight Arrow Connector 4192">
          <a:extLst>
            <a:ext uri="{FF2B5EF4-FFF2-40B4-BE49-F238E27FC236}">
              <a16:creationId xmlns:a16="http://schemas.microsoft.com/office/drawing/2014/main" id="{00000000-0008-0000-1200-000061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194" name="Straight Arrow Connector 4193">
          <a:extLst>
            <a:ext uri="{FF2B5EF4-FFF2-40B4-BE49-F238E27FC236}">
              <a16:creationId xmlns:a16="http://schemas.microsoft.com/office/drawing/2014/main" id="{00000000-0008-0000-1200-000062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5" name="Straight Arrow Connector 4194">
          <a:extLst>
            <a:ext uri="{FF2B5EF4-FFF2-40B4-BE49-F238E27FC236}">
              <a16:creationId xmlns:a16="http://schemas.microsoft.com/office/drawing/2014/main" id="{00000000-0008-0000-1200-000063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196" name="Straight Arrow Connector 4195">
          <a:extLst>
            <a:ext uri="{FF2B5EF4-FFF2-40B4-BE49-F238E27FC236}">
              <a16:creationId xmlns:a16="http://schemas.microsoft.com/office/drawing/2014/main" id="{00000000-0008-0000-1200-000064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7" name="Straight Arrow Connector 4196">
          <a:extLst>
            <a:ext uri="{FF2B5EF4-FFF2-40B4-BE49-F238E27FC236}">
              <a16:creationId xmlns:a16="http://schemas.microsoft.com/office/drawing/2014/main" id="{00000000-0008-0000-1200-000065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198" name="Straight Arrow Connector 4197">
          <a:extLst>
            <a:ext uri="{FF2B5EF4-FFF2-40B4-BE49-F238E27FC236}">
              <a16:creationId xmlns:a16="http://schemas.microsoft.com/office/drawing/2014/main" id="{00000000-0008-0000-1200-000066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199" name="Straight Arrow Connector 4198">
          <a:extLst>
            <a:ext uri="{FF2B5EF4-FFF2-40B4-BE49-F238E27FC236}">
              <a16:creationId xmlns:a16="http://schemas.microsoft.com/office/drawing/2014/main" id="{00000000-0008-0000-1200-000067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200" name="Straight Arrow Connector 4199">
          <a:extLst>
            <a:ext uri="{FF2B5EF4-FFF2-40B4-BE49-F238E27FC236}">
              <a16:creationId xmlns:a16="http://schemas.microsoft.com/office/drawing/2014/main" id="{00000000-0008-0000-1200-000068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1" name="Straight Arrow Connector 4200">
          <a:extLst>
            <a:ext uri="{FF2B5EF4-FFF2-40B4-BE49-F238E27FC236}">
              <a16:creationId xmlns:a16="http://schemas.microsoft.com/office/drawing/2014/main" id="{00000000-0008-0000-1200-000069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202" name="Straight Arrow Connector 4201">
          <a:extLst>
            <a:ext uri="{FF2B5EF4-FFF2-40B4-BE49-F238E27FC236}">
              <a16:creationId xmlns:a16="http://schemas.microsoft.com/office/drawing/2014/main" id="{00000000-0008-0000-1200-00006A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3" name="Straight Arrow Connector 4202">
          <a:extLst>
            <a:ext uri="{FF2B5EF4-FFF2-40B4-BE49-F238E27FC236}">
              <a16:creationId xmlns:a16="http://schemas.microsoft.com/office/drawing/2014/main" id="{00000000-0008-0000-1200-00006B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4" name="Straight Arrow Connector 4203">
          <a:extLst>
            <a:ext uri="{FF2B5EF4-FFF2-40B4-BE49-F238E27FC236}">
              <a16:creationId xmlns:a16="http://schemas.microsoft.com/office/drawing/2014/main" id="{00000000-0008-0000-1200-00006C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5" name="Straight Arrow Connector 4204">
          <a:extLst>
            <a:ext uri="{FF2B5EF4-FFF2-40B4-BE49-F238E27FC236}">
              <a16:creationId xmlns:a16="http://schemas.microsoft.com/office/drawing/2014/main" id="{00000000-0008-0000-1200-00006D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6" name="Straight Arrow Connector 4205">
          <a:extLst>
            <a:ext uri="{FF2B5EF4-FFF2-40B4-BE49-F238E27FC236}">
              <a16:creationId xmlns:a16="http://schemas.microsoft.com/office/drawing/2014/main" id="{00000000-0008-0000-1200-00006E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7" name="Straight Arrow Connector 4206">
          <a:extLst>
            <a:ext uri="{FF2B5EF4-FFF2-40B4-BE49-F238E27FC236}">
              <a16:creationId xmlns:a16="http://schemas.microsoft.com/office/drawing/2014/main" id="{00000000-0008-0000-1200-00006F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208" name="Straight Arrow Connector 4207">
          <a:extLst>
            <a:ext uri="{FF2B5EF4-FFF2-40B4-BE49-F238E27FC236}">
              <a16:creationId xmlns:a16="http://schemas.microsoft.com/office/drawing/2014/main" id="{00000000-0008-0000-1200-000070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09" name="Straight Arrow Connector 4208">
          <a:extLst>
            <a:ext uri="{FF2B5EF4-FFF2-40B4-BE49-F238E27FC236}">
              <a16:creationId xmlns:a16="http://schemas.microsoft.com/office/drawing/2014/main" id="{00000000-0008-0000-1200-000071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210" name="Straight Arrow Connector 4209">
          <a:extLst>
            <a:ext uri="{FF2B5EF4-FFF2-40B4-BE49-F238E27FC236}">
              <a16:creationId xmlns:a16="http://schemas.microsoft.com/office/drawing/2014/main" id="{00000000-0008-0000-1200-000072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11" name="Straight Arrow Connector 4210">
          <a:extLst>
            <a:ext uri="{FF2B5EF4-FFF2-40B4-BE49-F238E27FC236}">
              <a16:creationId xmlns:a16="http://schemas.microsoft.com/office/drawing/2014/main" id="{00000000-0008-0000-1200-000073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212" name="Straight Arrow Connector 4211">
          <a:extLst>
            <a:ext uri="{FF2B5EF4-FFF2-40B4-BE49-F238E27FC236}">
              <a16:creationId xmlns:a16="http://schemas.microsoft.com/office/drawing/2014/main" id="{00000000-0008-0000-1200-000074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13" name="Straight Arrow Connector 4212">
          <a:extLst>
            <a:ext uri="{FF2B5EF4-FFF2-40B4-BE49-F238E27FC236}">
              <a16:creationId xmlns:a16="http://schemas.microsoft.com/office/drawing/2014/main" id="{00000000-0008-0000-1200-000075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1155</xdr:row>
      <xdr:rowOff>31750</xdr:rowOff>
    </xdr:from>
    <xdr:to>
      <xdr:col>16</xdr:col>
      <xdr:colOff>42334</xdr:colOff>
      <xdr:row>1162</xdr:row>
      <xdr:rowOff>63501</xdr:rowOff>
    </xdr:to>
    <xdr:cxnSp macro="">
      <xdr:nvCxnSpPr>
        <xdr:cNvPr id="4214" name="Straight Arrow Connector 4213">
          <a:extLst>
            <a:ext uri="{FF2B5EF4-FFF2-40B4-BE49-F238E27FC236}">
              <a16:creationId xmlns:a16="http://schemas.microsoft.com/office/drawing/2014/main" id="{00000000-0008-0000-1200-000076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15" name="Straight Arrow Connector 4214">
          <a:extLst>
            <a:ext uri="{FF2B5EF4-FFF2-40B4-BE49-F238E27FC236}">
              <a16:creationId xmlns:a16="http://schemas.microsoft.com/office/drawing/2014/main" id="{00000000-0008-0000-1200-000077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1155</xdr:row>
      <xdr:rowOff>31750</xdr:rowOff>
    </xdr:from>
    <xdr:to>
      <xdr:col>16</xdr:col>
      <xdr:colOff>42334</xdr:colOff>
      <xdr:row>1162</xdr:row>
      <xdr:rowOff>63501</xdr:rowOff>
    </xdr:to>
    <xdr:cxnSp macro="">
      <xdr:nvCxnSpPr>
        <xdr:cNvPr id="4216" name="Straight Arrow Connector 4215">
          <a:extLst>
            <a:ext uri="{FF2B5EF4-FFF2-40B4-BE49-F238E27FC236}">
              <a16:creationId xmlns:a16="http://schemas.microsoft.com/office/drawing/2014/main" id="{00000000-0008-0000-1200-000078100000}"/>
            </a:ext>
          </a:extLst>
        </xdr:cNvPr>
        <xdr:cNvCxnSpPr/>
      </xdr:nvCxnSpPr>
      <xdr:spPr>
        <a:xfrm>
          <a:off x="11281833" y="2122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1168</xdr:row>
      <xdr:rowOff>31750</xdr:rowOff>
    </xdr:from>
    <xdr:to>
      <xdr:col>16</xdr:col>
      <xdr:colOff>21167</xdr:colOff>
      <xdr:row>1175</xdr:row>
      <xdr:rowOff>95250</xdr:rowOff>
    </xdr:to>
    <xdr:cxnSp macro="">
      <xdr:nvCxnSpPr>
        <xdr:cNvPr id="4217" name="Straight Arrow Connector 4216">
          <a:extLst>
            <a:ext uri="{FF2B5EF4-FFF2-40B4-BE49-F238E27FC236}">
              <a16:creationId xmlns:a16="http://schemas.microsoft.com/office/drawing/2014/main" id="{00000000-0008-0000-1200-000079100000}"/>
            </a:ext>
          </a:extLst>
        </xdr:cNvPr>
        <xdr:cNvCxnSpPr/>
      </xdr:nvCxnSpPr>
      <xdr:spPr>
        <a:xfrm>
          <a:off x="11324166" y="214915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18" name="Straight Arrow Connector 4217">
          <a:extLst>
            <a:ext uri="{FF2B5EF4-FFF2-40B4-BE49-F238E27FC236}">
              <a16:creationId xmlns:a16="http://schemas.microsoft.com/office/drawing/2014/main" id="{00000000-0008-0000-1200-00007A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19" name="Straight Arrow Connector 4218">
          <a:extLst>
            <a:ext uri="{FF2B5EF4-FFF2-40B4-BE49-F238E27FC236}">
              <a16:creationId xmlns:a16="http://schemas.microsoft.com/office/drawing/2014/main" id="{00000000-0008-0000-1200-00007B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20" name="Straight Arrow Connector 4219">
          <a:extLst>
            <a:ext uri="{FF2B5EF4-FFF2-40B4-BE49-F238E27FC236}">
              <a16:creationId xmlns:a16="http://schemas.microsoft.com/office/drawing/2014/main" id="{00000000-0008-0000-1200-00007C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1" name="Straight Arrow Connector 4220">
          <a:extLst>
            <a:ext uri="{FF2B5EF4-FFF2-40B4-BE49-F238E27FC236}">
              <a16:creationId xmlns:a16="http://schemas.microsoft.com/office/drawing/2014/main" id="{00000000-0008-0000-1200-00007D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22" name="Straight Arrow Connector 4221">
          <a:extLst>
            <a:ext uri="{FF2B5EF4-FFF2-40B4-BE49-F238E27FC236}">
              <a16:creationId xmlns:a16="http://schemas.microsoft.com/office/drawing/2014/main" id="{00000000-0008-0000-1200-00007E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3" name="Straight Arrow Connector 4222">
          <a:extLst>
            <a:ext uri="{FF2B5EF4-FFF2-40B4-BE49-F238E27FC236}">
              <a16:creationId xmlns:a16="http://schemas.microsoft.com/office/drawing/2014/main" id="{00000000-0008-0000-1200-00007F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24" name="Straight Arrow Connector 4223">
          <a:extLst>
            <a:ext uri="{FF2B5EF4-FFF2-40B4-BE49-F238E27FC236}">
              <a16:creationId xmlns:a16="http://schemas.microsoft.com/office/drawing/2014/main" id="{00000000-0008-0000-1200-000080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5" name="Straight Arrow Connector 4224">
          <a:extLst>
            <a:ext uri="{FF2B5EF4-FFF2-40B4-BE49-F238E27FC236}">
              <a16:creationId xmlns:a16="http://schemas.microsoft.com/office/drawing/2014/main" id="{00000000-0008-0000-1200-000081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6" name="Straight Arrow Connector 4225">
          <a:extLst>
            <a:ext uri="{FF2B5EF4-FFF2-40B4-BE49-F238E27FC236}">
              <a16:creationId xmlns:a16="http://schemas.microsoft.com/office/drawing/2014/main" id="{00000000-0008-0000-1200-000082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7" name="Straight Arrow Connector 4226">
          <a:extLst>
            <a:ext uri="{FF2B5EF4-FFF2-40B4-BE49-F238E27FC236}">
              <a16:creationId xmlns:a16="http://schemas.microsoft.com/office/drawing/2014/main" id="{00000000-0008-0000-1200-000083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28" name="Straight Arrow Connector 4227">
          <a:extLst>
            <a:ext uri="{FF2B5EF4-FFF2-40B4-BE49-F238E27FC236}">
              <a16:creationId xmlns:a16="http://schemas.microsoft.com/office/drawing/2014/main" id="{00000000-0008-0000-1200-000084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29" name="Straight Arrow Connector 4228">
          <a:extLst>
            <a:ext uri="{FF2B5EF4-FFF2-40B4-BE49-F238E27FC236}">
              <a16:creationId xmlns:a16="http://schemas.microsoft.com/office/drawing/2014/main" id="{00000000-0008-0000-1200-000085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0" name="Straight Arrow Connector 4229">
          <a:extLst>
            <a:ext uri="{FF2B5EF4-FFF2-40B4-BE49-F238E27FC236}">
              <a16:creationId xmlns:a16="http://schemas.microsoft.com/office/drawing/2014/main" id="{00000000-0008-0000-1200-000086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1" name="Straight Arrow Connector 4230">
          <a:extLst>
            <a:ext uri="{FF2B5EF4-FFF2-40B4-BE49-F238E27FC236}">
              <a16:creationId xmlns:a16="http://schemas.microsoft.com/office/drawing/2014/main" id="{00000000-0008-0000-1200-000087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2" name="Straight Arrow Connector 4231">
          <a:extLst>
            <a:ext uri="{FF2B5EF4-FFF2-40B4-BE49-F238E27FC236}">
              <a16:creationId xmlns:a16="http://schemas.microsoft.com/office/drawing/2014/main" id="{00000000-0008-0000-1200-000088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3" name="Straight Arrow Connector 4232">
          <a:extLst>
            <a:ext uri="{FF2B5EF4-FFF2-40B4-BE49-F238E27FC236}">
              <a16:creationId xmlns:a16="http://schemas.microsoft.com/office/drawing/2014/main" id="{00000000-0008-0000-1200-000089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4" name="Straight Arrow Connector 4233">
          <a:extLst>
            <a:ext uri="{FF2B5EF4-FFF2-40B4-BE49-F238E27FC236}">
              <a16:creationId xmlns:a16="http://schemas.microsoft.com/office/drawing/2014/main" id="{00000000-0008-0000-1200-00008A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35" name="Straight Arrow Connector 4234">
          <a:extLst>
            <a:ext uri="{FF2B5EF4-FFF2-40B4-BE49-F238E27FC236}">
              <a16:creationId xmlns:a16="http://schemas.microsoft.com/office/drawing/2014/main" id="{00000000-0008-0000-1200-00008B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6" name="Straight Arrow Connector 4235">
          <a:extLst>
            <a:ext uri="{FF2B5EF4-FFF2-40B4-BE49-F238E27FC236}">
              <a16:creationId xmlns:a16="http://schemas.microsoft.com/office/drawing/2014/main" id="{00000000-0008-0000-1200-00008C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37" name="Straight Arrow Connector 4236">
          <a:extLst>
            <a:ext uri="{FF2B5EF4-FFF2-40B4-BE49-F238E27FC236}">
              <a16:creationId xmlns:a16="http://schemas.microsoft.com/office/drawing/2014/main" id="{00000000-0008-0000-1200-00008D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38" name="Straight Arrow Connector 4237">
          <a:extLst>
            <a:ext uri="{FF2B5EF4-FFF2-40B4-BE49-F238E27FC236}">
              <a16:creationId xmlns:a16="http://schemas.microsoft.com/office/drawing/2014/main" id="{00000000-0008-0000-1200-00008E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39" name="Straight Arrow Connector 4238">
          <a:extLst>
            <a:ext uri="{FF2B5EF4-FFF2-40B4-BE49-F238E27FC236}">
              <a16:creationId xmlns:a16="http://schemas.microsoft.com/office/drawing/2014/main" id="{00000000-0008-0000-1200-00008F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0" name="Straight Arrow Connector 4239">
          <a:extLst>
            <a:ext uri="{FF2B5EF4-FFF2-40B4-BE49-F238E27FC236}">
              <a16:creationId xmlns:a16="http://schemas.microsoft.com/office/drawing/2014/main" id="{00000000-0008-0000-1200-000090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41" name="Straight Arrow Connector 4240">
          <a:extLst>
            <a:ext uri="{FF2B5EF4-FFF2-40B4-BE49-F238E27FC236}">
              <a16:creationId xmlns:a16="http://schemas.microsoft.com/office/drawing/2014/main" id="{00000000-0008-0000-1200-000091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2" name="Straight Arrow Connector 4241">
          <a:extLst>
            <a:ext uri="{FF2B5EF4-FFF2-40B4-BE49-F238E27FC236}">
              <a16:creationId xmlns:a16="http://schemas.microsoft.com/office/drawing/2014/main" id="{00000000-0008-0000-1200-000092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43" name="Straight Arrow Connector 4242">
          <a:extLst>
            <a:ext uri="{FF2B5EF4-FFF2-40B4-BE49-F238E27FC236}">
              <a16:creationId xmlns:a16="http://schemas.microsoft.com/office/drawing/2014/main" id="{00000000-0008-0000-1200-000093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4" name="Straight Arrow Connector 4243">
          <a:extLst>
            <a:ext uri="{FF2B5EF4-FFF2-40B4-BE49-F238E27FC236}">
              <a16:creationId xmlns:a16="http://schemas.microsoft.com/office/drawing/2014/main" id="{00000000-0008-0000-1200-000094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45" name="Straight Arrow Connector 4244">
          <a:extLst>
            <a:ext uri="{FF2B5EF4-FFF2-40B4-BE49-F238E27FC236}">
              <a16:creationId xmlns:a16="http://schemas.microsoft.com/office/drawing/2014/main" id="{00000000-0008-0000-1200-000095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6" name="Straight Arrow Connector 4245">
          <a:extLst>
            <a:ext uri="{FF2B5EF4-FFF2-40B4-BE49-F238E27FC236}">
              <a16:creationId xmlns:a16="http://schemas.microsoft.com/office/drawing/2014/main" id="{00000000-0008-0000-1200-000096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7" name="Straight Arrow Connector 4246">
          <a:extLst>
            <a:ext uri="{FF2B5EF4-FFF2-40B4-BE49-F238E27FC236}">
              <a16:creationId xmlns:a16="http://schemas.microsoft.com/office/drawing/2014/main" id="{00000000-0008-0000-1200-000097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8" name="Straight Arrow Connector 4247">
          <a:extLst>
            <a:ext uri="{FF2B5EF4-FFF2-40B4-BE49-F238E27FC236}">
              <a16:creationId xmlns:a16="http://schemas.microsoft.com/office/drawing/2014/main" id="{00000000-0008-0000-1200-000098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49" name="Straight Arrow Connector 4248">
          <a:extLst>
            <a:ext uri="{FF2B5EF4-FFF2-40B4-BE49-F238E27FC236}">
              <a16:creationId xmlns:a16="http://schemas.microsoft.com/office/drawing/2014/main" id="{00000000-0008-0000-1200-000099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0" name="Straight Arrow Connector 4249">
          <a:extLst>
            <a:ext uri="{FF2B5EF4-FFF2-40B4-BE49-F238E27FC236}">
              <a16:creationId xmlns:a16="http://schemas.microsoft.com/office/drawing/2014/main" id="{00000000-0008-0000-1200-00009A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51" name="Straight Arrow Connector 4250">
          <a:extLst>
            <a:ext uri="{FF2B5EF4-FFF2-40B4-BE49-F238E27FC236}">
              <a16:creationId xmlns:a16="http://schemas.microsoft.com/office/drawing/2014/main" id="{00000000-0008-0000-1200-00009B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2" name="Straight Arrow Connector 4251">
          <a:extLst>
            <a:ext uri="{FF2B5EF4-FFF2-40B4-BE49-F238E27FC236}">
              <a16:creationId xmlns:a16="http://schemas.microsoft.com/office/drawing/2014/main" id="{00000000-0008-0000-1200-00009C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53" name="Straight Arrow Connector 4252">
          <a:extLst>
            <a:ext uri="{FF2B5EF4-FFF2-40B4-BE49-F238E27FC236}">
              <a16:creationId xmlns:a16="http://schemas.microsoft.com/office/drawing/2014/main" id="{00000000-0008-0000-1200-00009D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4" name="Straight Arrow Connector 4253">
          <a:extLst>
            <a:ext uri="{FF2B5EF4-FFF2-40B4-BE49-F238E27FC236}">
              <a16:creationId xmlns:a16="http://schemas.microsoft.com/office/drawing/2014/main" id="{00000000-0008-0000-1200-00009E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55" name="Straight Arrow Connector 4254">
          <a:extLst>
            <a:ext uri="{FF2B5EF4-FFF2-40B4-BE49-F238E27FC236}">
              <a16:creationId xmlns:a16="http://schemas.microsoft.com/office/drawing/2014/main" id="{00000000-0008-0000-1200-00009F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6" name="Straight Arrow Connector 4255">
          <a:extLst>
            <a:ext uri="{FF2B5EF4-FFF2-40B4-BE49-F238E27FC236}">
              <a16:creationId xmlns:a16="http://schemas.microsoft.com/office/drawing/2014/main" id="{00000000-0008-0000-1200-0000A0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1211</xdr:row>
      <xdr:rowOff>31750</xdr:rowOff>
    </xdr:from>
    <xdr:to>
      <xdr:col>16</xdr:col>
      <xdr:colOff>42334</xdr:colOff>
      <xdr:row>1218</xdr:row>
      <xdr:rowOff>63501</xdr:rowOff>
    </xdr:to>
    <xdr:cxnSp macro="">
      <xdr:nvCxnSpPr>
        <xdr:cNvPr id="4257" name="Straight Arrow Connector 4256">
          <a:extLst>
            <a:ext uri="{FF2B5EF4-FFF2-40B4-BE49-F238E27FC236}">
              <a16:creationId xmlns:a16="http://schemas.microsoft.com/office/drawing/2014/main" id="{00000000-0008-0000-1200-0000A1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58" name="Straight Arrow Connector 4257">
          <a:extLst>
            <a:ext uri="{FF2B5EF4-FFF2-40B4-BE49-F238E27FC236}">
              <a16:creationId xmlns:a16="http://schemas.microsoft.com/office/drawing/2014/main" id="{00000000-0008-0000-1200-0000A2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1211</xdr:row>
      <xdr:rowOff>31750</xdr:rowOff>
    </xdr:from>
    <xdr:to>
      <xdr:col>16</xdr:col>
      <xdr:colOff>42334</xdr:colOff>
      <xdr:row>1218</xdr:row>
      <xdr:rowOff>63501</xdr:rowOff>
    </xdr:to>
    <xdr:cxnSp macro="">
      <xdr:nvCxnSpPr>
        <xdr:cNvPr id="4259" name="Straight Arrow Connector 4258">
          <a:extLst>
            <a:ext uri="{FF2B5EF4-FFF2-40B4-BE49-F238E27FC236}">
              <a16:creationId xmlns:a16="http://schemas.microsoft.com/office/drawing/2014/main" id="{00000000-0008-0000-1200-0000A3100000}"/>
            </a:ext>
          </a:extLst>
        </xdr:cNvPr>
        <xdr:cNvCxnSpPr/>
      </xdr:nvCxnSpPr>
      <xdr:spPr>
        <a:xfrm>
          <a:off x="11281833" y="2231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1224</xdr:row>
      <xdr:rowOff>31750</xdr:rowOff>
    </xdr:from>
    <xdr:to>
      <xdr:col>16</xdr:col>
      <xdr:colOff>21167</xdr:colOff>
      <xdr:row>1231</xdr:row>
      <xdr:rowOff>95250</xdr:rowOff>
    </xdr:to>
    <xdr:cxnSp macro="">
      <xdr:nvCxnSpPr>
        <xdr:cNvPr id="4260" name="Straight Arrow Connector 4259">
          <a:extLst>
            <a:ext uri="{FF2B5EF4-FFF2-40B4-BE49-F238E27FC236}">
              <a16:creationId xmlns:a16="http://schemas.microsoft.com/office/drawing/2014/main" id="{00000000-0008-0000-1200-0000A4100000}"/>
            </a:ext>
          </a:extLst>
        </xdr:cNvPr>
        <xdr:cNvCxnSpPr/>
      </xdr:nvCxnSpPr>
      <xdr:spPr>
        <a:xfrm>
          <a:off x="11324166" y="225774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1" name="Straight Arrow Connector 4260">
          <a:extLst>
            <a:ext uri="{FF2B5EF4-FFF2-40B4-BE49-F238E27FC236}">
              <a16:creationId xmlns:a16="http://schemas.microsoft.com/office/drawing/2014/main" id="{00000000-0008-0000-1200-0000A5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2" name="Straight Arrow Connector 4261">
          <a:extLst>
            <a:ext uri="{FF2B5EF4-FFF2-40B4-BE49-F238E27FC236}">
              <a16:creationId xmlns:a16="http://schemas.microsoft.com/office/drawing/2014/main" id="{00000000-0008-0000-1200-0000A6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3" name="Straight Arrow Connector 4262">
          <a:extLst>
            <a:ext uri="{FF2B5EF4-FFF2-40B4-BE49-F238E27FC236}">
              <a16:creationId xmlns:a16="http://schemas.microsoft.com/office/drawing/2014/main" id="{00000000-0008-0000-1200-0000A7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4" name="Straight Arrow Connector 4263">
          <a:extLst>
            <a:ext uri="{FF2B5EF4-FFF2-40B4-BE49-F238E27FC236}">
              <a16:creationId xmlns:a16="http://schemas.microsoft.com/office/drawing/2014/main" id="{00000000-0008-0000-1200-0000A8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65" name="Straight Arrow Connector 4264">
          <a:extLst>
            <a:ext uri="{FF2B5EF4-FFF2-40B4-BE49-F238E27FC236}">
              <a16:creationId xmlns:a16="http://schemas.microsoft.com/office/drawing/2014/main" id="{00000000-0008-0000-1200-0000A9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6" name="Straight Arrow Connector 4265">
          <a:extLst>
            <a:ext uri="{FF2B5EF4-FFF2-40B4-BE49-F238E27FC236}">
              <a16:creationId xmlns:a16="http://schemas.microsoft.com/office/drawing/2014/main" id="{00000000-0008-0000-1200-0000AA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7" name="Straight Arrow Connector 4266">
          <a:extLst>
            <a:ext uri="{FF2B5EF4-FFF2-40B4-BE49-F238E27FC236}">
              <a16:creationId xmlns:a16="http://schemas.microsoft.com/office/drawing/2014/main" id="{00000000-0008-0000-1200-0000AB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68" name="Straight Arrow Connector 4267">
          <a:extLst>
            <a:ext uri="{FF2B5EF4-FFF2-40B4-BE49-F238E27FC236}">
              <a16:creationId xmlns:a16="http://schemas.microsoft.com/office/drawing/2014/main" id="{00000000-0008-0000-1200-0000AC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69" name="Straight Arrow Connector 4268">
          <a:extLst>
            <a:ext uri="{FF2B5EF4-FFF2-40B4-BE49-F238E27FC236}">
              <a16:creationId xmlns:a16="http://schemas.microsoft.com/office/drawing/2014/main" id="{00000000-0008-0000-1200-0000AD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0" name="Straight Arrow Connector 4269">
          <a:extLst>
            <a:ext uri="{FF2B5EF4-FFF2-40B4-BE49-F238E27FC236}">
              <a16:creationId xmlns:a16="http://schemas.microsoft.com/office/drawing/2014/main" id="{00000000-0008-0000-1200-0000AE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71" name="Straight Arrow Connector 4270">
          <a:extLst>
            <a:ext uri="{FF2B5EF4-FFF2-40B4-BE49-F238E27FC236}">
              <a16:creationId xmlns:a16="http://schemas.microsoft.com/office/drawing/2014/main" id="{00000000-0008-0000-1200-0000AF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2" name="Straight Arrow Connector 4271">
          <a:extLst>
            <a:ext uri="{FF2B5EF4-FFF2-40B4-BE49-F238E27FC236}">
              <a16:creationId xmlns:a16="http://schemas.microsoft.com/office/drawing/2014/main" id="{00000000-0008-0000-1200-0000B0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73" name="Straight Arrow Connector 4272">
          <a:extLst>
            <a:ext uri="{FF2B5EF4-FFF2-40B4-BE49-F238E27FC236}">
              <a16:creationId xmlns:a16="http://schemas.microsoft.com/office/drawing/2014/main" id="{00000000-0008-0000-1200-0000B1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4" name="Straight Arrow Connector 4273">
          <a:extLst>
            <a:ext uri="{FF2B5EF4-FFF2-40B4-BE49-F238E27FC236}">
              <a16:creationId xmlns:a16="http://schemas.microsoft.com/office/drawing/2014/main" id="{00000000-0008-0000-1200-0000B2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75" name="Straight Arrow Connector 4274">
          <a:extLst>
            <a:ext uri="{FF2B5EF4-FFF2-40B4-BE49-F238E27FC236}">
              <a16:creationId xmlns:a16="http://schemas.microsoft.com/office/drawing/2014/main" id="{00000000-0008-0000-1200-0000B3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6" name="Straight Arrow Connector 4275">
          <a:extLst>
            <a:ext uri="{FF2B5EF4-FFF2-40B4-BE49-F238E27FC236}">
              <a16:creationId xmlns:a16="http://schemas.microsoft.com/office/drawing/2014/main" id="{00000000-0008-0000-1200-0000B4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77" name="Straight Arrow Connector 4276">
          <a:extLst>
            <a:ext uri="{FF2B5EF4-FFF2-40B4-BE49-F238E27FC236}">
              <a16:creationId xmlns:a16="http://schemas.microsoft.com/office/drawing/2014/main" id="{00000000-0008-0000-1200-0000B5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8" name="Straight Arrow Connector 4277">
          <a:extLst>
            <a:ext uri="{FF2B5EF4-FFF2-40B4-BE49-F238E27FC236}">
              <a16:creationId xmlns:a16="http://schemas.microsoft.com/office/drawing/2014/main" id="{00000000-0008-0000-1200-0000B6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79" name="Straight Arrow Connector 4278">
          <a:extLst>
            <a:ext uri="{FF2B5EF4-FFF2-40B4-BE49-F238E27FC236}">
              <a16:creationId xmlns:a16="http://schemas.microsoft.com/office/drawing/2014/main" id="{00000000-0008-0000-1200-0000B7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0" name="Straight Arrow Connector 4279">
          <a:extLst>
            <a:ext uri="{FF2B5EF4-FFF2-40B4-BE49-F238E27FC236}">
              <a16:creationId xmlns:a16="http://schemas.microsoft.com/office/drawing/2014/main" id="{00000000-0008-0000-1200-0000B8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81" name="Straight Arrow Connector 4280">
          <a:extLst>
            <a:ext uri="{FF2B5EF4-FFF2-40B4-BE49-F238E27FC236}">
              <a16:creationId xmlns:a16="http://schemas.microsoft.com/office/drawing/2014/main" id="{00000000-0008-0000-1200-0000B9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2" name="Straight Arrow Connector 4281">
          <a:extLst>
            <a:ext uri="{FF2B5EF4-FFF2-40B4-BE49-F238E27FC236}">
              <a16:creationId xmlns:a16="http://schemas.microsoft.com/office/drawing/2014/main" id="{00000000-0008-0000-1200-0000BA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3" name="Straight Arrow Connector 4282">
          <a:extLst>
            <a:ext uri="{FF2B5EF4-FFF2-40B4-BE49-F238E27FC236}">
              <a16:creationId xmlns:a16="http://schemas.microsoft.com/office/drawing/2014/main" id="{00000000-0008-0000-1200-0000BB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4" name="Straight Arrow Connector 4283">
          <a:extLst>
            <a:ext uri="{FF2B5EF4-FFF2-40B4-BE49-F238E27FC236}">
              <a16:creationId xmlns:a16="http://schemas.microsoft.com/office/drawing/2014/main" id="{00000000-0008-0000-1200-0000BC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5" name="Straight Arrow Connector 4284">
          <a:extLst>
            <a:ext uri="{FF2B5EF4-FFF2-40B4-BE49-F238E27FC236}">
              <a16:creationId xmlns:a16="http://schemas.microsoft.com/office/drawing/2014/main" id="{00000000-0008-0000-1200-0000BD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6" name="Straight Arrow Connector 4285">
          <a:extLst>
            <a:ext uri="{FF2B5EF4-FFF2-40B4-BE49-F238E27FC236}">
              <a16:creationId xmlns:a16="http://schemas.microsoft.com/office/drawing/2014/main" id="{00000000-0008-0000-1200-0000BE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7" name="Straight Arrow Connector 4286">
          <a:extLst>
            <a:ext uri="{FF2B5EF4-FFF2-40B4-BE49-F238E27FC236}">
              <a16:creationId xmlns:a16="http://schemas.microsoft.com/office/drawing/2014/main" id="{00000000-0008-0000-1200-0000BF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88" name="Straight Arrow Connector 4287">
          <a:extLst>
            <a:ext uri="{FF2B5EF4-FFF2-40B4-BE49-F238E27FC236}">
              <a16:creationId xmlns:a16="http://schemas.microsoft.com/office/drawing/2014/main" id="{00000000-0008-0000-1200-0000C0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89" name="Straight Arrow Connector 4288">
          <a:extLst>
            <a:ext uri="{FF2B5EF4-FFF2-40B4-BE49-F238E27FC236}">
              <a16:creationId xmlns:a16="http://schemas.microsoft.com/office/drawing/2014/main" id="{00000000-0008-0000-1200-0000C1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90" name="Straight Arrow Connector 4289">
          <a:extLst>
            <a:ext uri="{FF2B5EF4-FFF2-40B4-BE49-F238E27FC236}">
              <a16:creationId xmlns:a16="http://schemas.microsoft.com/office/drawing/2014/main" id="{00000000-0008-0000-1200-0000C2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1" name="Straight Arrow Connector 4290">
          <a:extLst>
            <a:ext uri="{FF2B5EF4-FFF2-40B4-BE49-F238E27FC236}">
              <a16:creationId xmlns:a16="http://schemas.microsoft.com/office/drawing/2014/main" id="{00000000-0008-0000-1200-0000C3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92" name="Straight Arrow Connector 4291">
          <a:extLst>
            <a:ext uri="{FF2B5EF4-FFF2-40B4-BE49-F238E27FC236}">
              <a16:creationId xmlns:a16="http://schemas.microsoft.com/office/drawing/2014/main" id="{00000000-0008-0000-1200-0000C4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3" name="Straight Arrow Connector 4292">
          <a:extLst>
            <a:ext uri="{FF2B5EF4-FFF2-40B4-BE49-F238E27FC236}">
              <a16:creationId xmlns:a16="http://schemas.microsoft.com/office/drawing/2014/main" id="{00000000-0008-0000-1200-0000C5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294" name="Straight Arrow Connector 4293">
          <a:extLst>
            <a:ext uri="{FF2B5EF4-FFF2-40B4-BE49-F238E27FC236}">
              <a16:creationId xmlns:a16="http://schemas.microsoft.com/office/drawing/2014/main" id="{00000000-0008-0000-1200-0000C6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5" name="Straight Arrow Connector 4294">
          <a:extLst>
            <a:ext uri="{FF2B5EF4-FFF2-40B4-BE49-F238E27FC236}">
              <a16:creationId xmlns:a16="http://schemas.microsoft.com/office/drawing/2014/main" id="{00000000-0008-0000-1200-0000C7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96" name="Straight Arrow Connector 4295">
          <a:extLst>
            <a:ext uri="{FF2B5EF4-FFF2-40B4-BE49-F238E27FC236}">
              <a16:creationId xmlns:a16="http://schemas.microsoft.com/office/drawing/2014/main" id="{00000000-0008-0000-1200-0000C8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7" name="Straight Arrow Connector 4296">
          <a:extLst>
            <a:ext uri="{FF2B5EF4-FFF2-40B4-BE49-F238E27FC236}">
              <a16:creationId xmlns:a16="http://schemas.microsoft.com/office/drawing/2014/main" id="{00000000-0008-0000-1200-0000C9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298" name="Straight Arrow Connector 4297">
          <a:extLst>
            <a:ext uri="{FF2B5EF4-FFF2-40B4-BE49-F238E27FC236}">
              <a16:creationId xmlns:a16="http://schemas.microsoft.com/office/drawing/2014/main" id="{00000000-0008-0000-1200-0000CA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299" name="Straight Arrow Connector 4298">
          <a:extLst>
            <a:ext uri="{FF2B5EF4-FFF2-40B4-BE49-F238E27FC236}">
              <a16:creationId xmlns:a16="http://schemas.microsoft.com/office/drawing/2014/main" id="{00000000-0008-0000-1200-0000CB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0" name="Straight Arrow Connector 4299">
          <a:extLst>
            <a:ext uri="{FF2B5EF4-FFF2-40B4-BE49-F238E27FC236}">
              <a16:creationId xmlns:a16="http://schemas.microsoft.com/office/drawing/2014/main" id="{00000000-0008-0000-1200-0000CC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1" name="Straight Arrow Connector 4300">
          <a:extLst>
            <a:ext uri="{FF2B5EF4-FFF2-40B4-BE49-F238E27FC236}">
              <a16:creationId xmlns:a16="http://schemas.microsoft.com/office/drawing/2014/main" id="{00000000-0008-0000-1200-0000CD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2" name="Straight Arrow Connector 4301">
          <a:extLst>
            <a:ext uri="{FF2B5EF4-FFF2-40B4-BE49-F238E27FC236}">
              <a16:creationId xmlns:a16="http://schemas.microsoft.com/office/drawing/2014/main" id="{00000000-0008-0000-1200-0000CE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3" name="Straight Arrow Connector 4302">
          <a:extLst>
            <a:ext uri="{FF2B5EF4-FFF2-40B4-BE49-F238E27FC236}">
              <a16:creationId xmlns:a16="http://schemas.microsoft.com/office/drawing/2014/main" id="{00000000-0008-0000-1200-0000CF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304" name="Straight Arrow Connector 4303">
          <a:extLst>
            <a:ext uri="{FF2B5EF4-FFF2-40B4-BE49-F238E27FC236}">
              <a16:creationId xmlns:a16="http://schemas.microsoft.com/office/drawing/2014/main" id="{00000000-0008-0000-1200-0000D0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5" name="Straight Arrow Connector 4304">
          <a:extLst>
            <a:ext uri="{FF2B5EF4-FFF2-40B4-BE49-F238E27FC236}">
              <a16:creationId xmlns:a16="http://schemas.microsoft.com/office/drawing/2014/main" id="{00000000-0008-0000-1200-0000D1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306" name="Straight Arrow Connector 4305">
          <a:extLst>
            <a:ext uri="{FF2B5EF4-FFF2-40B4-BE49-F238E27FC236}">
              <a16:creationId xmlns:a16="http://schemas.microsoft.com/office/drawing/2014/main" id="{00000000-0008-0000-1200-0000D2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7" name="Straight Arrow Connector 4306">
          <a:extLst>
            <a:ext uri="{FF2B5EF4-FFF2-40B4-BE49-F238E27FC236}">
              <a16:creationId xmlns:a16="http://schemas.microsoft.com/office/drawing/2014/main" id="{00000000-0008-0000-1200-0000D3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308" name="Straight Arrow Connector 4307">
          <a:extLst>
            <a:ext uri="{FF2B5EF4-FFF2-40B4-BE49-F238E27FC236}">
              <a16:creationId xmlns:a16="http://schemas.microsoft.com/office/drawing/2014/main" id="{00000000-0008-0000-1200-0000D4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09" name="Straight Arrow Connector 4308">
          <a:extLst>
            <a:ext uri="{FF2B5EF4-FFF2-40B4-BE49-F238E27FC236}">
              <a16:creationId xmlns:a16="http://schemas.microsoft.com/office/drawing/2014/main" id="{00000000-0008-0000-1200-0000D5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1267</xdr:row>
      <xdr:rowOff>31750</xdr:rowOff>
    </xdr:from>
    <xdr:to>
      <xdr:col>16</xdr:col>
      <xdr:colOff>42334</xdr:colOff>
      <xdr:row>1274</xdr:row>
      <xdr:rowOff>63501</xdr:rowOff>
    </xdr:to>
    <xdr:cxnSp macro="">
      <xdr:nvCxnSpPr>
        <xdr:cNvPr id="4310" name="Straight Arrow Connector 4309">
          <a:extLst>
            <a:ext uri="{FF2B5EF4-FFF2-40B4-BE49-F238E27FC236}">
              <a16:creationId xmlns:a16="http://schemas.microsoft.com/office/drawing/2014/main" id="{00000000-0008-0000-1200-0000D6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11" name="Straight Arrow Connector 4310">
          <a:extLst>
            <a:ext uri="{FF2B5EF4-FFF2-40B4-BE49-F238E27FC236}">
              <a16:creationId xmlns:a16="http://schemas.microsoft.com/office/drawing/2014/main" id="{00000000-0008-0000-1200-0000D7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1267</xdr:row>
      <xdr:rowOff>31750</xdr:rowOff>
    </xdr:from>
    <xdr:to>
      <xdr:col>16</xdr:col>
      <xdr:colOff>42334</xdr:colOff>
      <xdr:row>1274</xdr:row>
      <xdr:rowOff>63501</xdr:rowOff>
    </xdr:to>
    <xdr:cxnSp macro="">
      <xdr:nvCxnSpPr>
        <xdr:cNvPr id="4312" name="Straight Arrow Connector 4311">
          <a:extLst>
            <a:ext uri="{FF2B5EF4-FFF2-40B4-BE49-F238E27FC236}">
              <a16:creationId xmlns:a16="http://schemas.microsoft.com/office/drawing/2014/main" id="{00000000-0008-0000-1200-0000D8100000}"/>
            </a:ext>
          </a:extLst>
        </xdr:cNvPr>
        <xdr:cNvCxnSpPr/>
      </xdr:nvCxnSpPr>
      <xdr:spPr>
        <a:xfrm>
          <a:off x="11281833" y="233965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1280</xdr:row>
      <xdr:rowOff>31750</xdr:rowOff>
    </xdr:from>
    <xdr:to>
      <xdr:col>16</xdr:col>
      <xdr:colOff>21167</xdr:colOff>
      <xdr:row>1287</xdr:row>
      <xdr:rowOff>95250</xdr:rowOff>
    </xdr:to>
    <xdr:cxnSp macro="">
      <xdr:nvCxnSpPr>
        <xdr:cNvPr id="4313" name="Straight Arrow Connector 4312">
          <a:extLst>
            <a:ext uri="{FF2B5EF4-FFF2-40B4-BE49-F238E27FC236}">
              <a16:creationId xmlns:a16="http://schemas.microsoft.com/office/drawing/2014/main" id="{00000000-0008-0000-1200-0000D9100000}"/>
            </a:ext>
          </a:extLst>
        </xdr:cNvPr>
        <xdr:cNvCxnSpPr/>
      </xdr:nvCxnSpPr>
      <xdr:spPr>
        <a:xfrm>
          <a:off x="11324166" y="236632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14" name="Straight Arrow Connector 4313">
          <a:extLst>
            <a:ext uri="{FF2B5EF4-FFF2-40B4-BE49-F238E27FC236}">
              <a16:creationId xmlns:a16="http://schemas.microsoft.com/office/drawing/2014/main" id="{00000000-0008-0000-1200-0000DA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15" name="Straight Arrow Connector 4314">
          <a:extLst>
            <a:ext uri="{FF2B5EF4-FFF2-40B4-BE49-F238E27FC236}">
              <a16:creationId xmlns:a16="http://schemas.microsoft.com/office/drawing/2014/main" id="{00000000-0008-0000-1200-0000DB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16" name="Straight Arrow Connector 4315">
          <a:extLst>
            <a:ext uri="{FF2B5EF4-FFF2-40B4-BE49-F238E27FC236}">
              <a16:creationId xmlns:a16="http://schemas.microsoft.com/office/drawing/2014/main" id="{00000000-0008-0000-1200-0000DC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17" name="Straight Arrow Connector 4316">
          <a:extLst>
            <a:ext uri="{FF2B5EF4-FFF2-40B4-BE49-F238E27FC236}">
              <a16:creationId xmlns:a16="http://schemas.microsoft.com/office/drawing/2014/main" id="{00000000-0008-0000-1200-0000DD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18" name="Straight Arrow Connector 4317">
          <a:extLst>
            <a:ext uri="{FF2B5EF4-FFF2-40B4-BE49-F238E27FC236}">
              <a16:creationId xmlns:a16="http://schemas.microsoft.com/office/drawing/2014/main" id="{00000000-0008-0000-1200-0000DE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19" name="Straight Arrow Connector 4318">
          <a:extLst>
            <a:ext uri="{FF2B5EF4-FFF2-40B4-BE49-F238E27FC236}">
              <a16:creationId xmlns:a16="http://schemas.microsoft.com/office/drawing/2014/main" id="{00000000-0008-0000-1200-0000DF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20" name="Straight Arrow Connector 4319">
          <a:extLst>
            <a:ext uri="{FF2B5EF4-FFF2-40B4-BE49-F238E27FC236}">
              <a16:creationId xmlns:a16="http://schemas.microsoft.com/office/drawing/2014/main" id="{00000000-0008-0000-1200-0000E0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1" name="Straight Arrow Connector 4320">
          <a:extLst>
            <a:ext uri="{FF2B5EF4-FFF2-40B4-BE49-F238E27FC236}">
              <a16:creationId xmlns:a16="http://schemas.microsoft.com/office/drawing/2014/main" id="{00000000-0008-0000-1200-0000E1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22" name="Straight Arrow Connector 4321">
          <a:extLst>
            <a:ext uri="{FF2B5EF4-FFF2-40B4-BE49-F238E27FC236}">
              <a16:creationId xmlns:a16="http://schemas.microsoft.com/office/drawing/2014/main" id="{00000000-0008-0000-1200-0000E2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3" name="Straight Arrow Connector 4322">
          <a:extLst>
            <a:ext uri="{FF2B5EF4-FFF2-40B4-BE49-F238E27FC236}">
              <a16:creationId xmlns:a16="http://schemas.microsoft.com/office/drawing/2014/main" id="{00000000-0008-0000-1200-0000E3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4" name="Straight Arrow Connector 4323">
          <a:extLst>
            <a:ext uri="{FF2B5EF4-FFF2-40B4-BE49-F238E27FC236}">
              <a16:creationId xmlns:a16="http://schemas.microsoft.com/office/drawing/2014/main" id="{00000000-0008-0000-1200-0000E4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5" name="Straight Arrow Connector 4324">
          <a:extLst>
            <a:ext uri="{FF2B5EF4-FFF2-40B4-BE49-F238E27FC236}">
              <a16:creationId xmlns:a16="http://schemas.microsoft.com/office/drawing/2014/main" id="{00000000-0008-0000-1200-0000E5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26" name="Straight Arrow Connector 4325">
          <a:extLst>
            <a:ext uri="{FF2B5EF4-FFF2-40B4-BE49-F238E27FC236}">
              <a16:creationId xmlns:a16="http://schemas.microsoft.com/office/drawing/2014/main" id="{00000000-0008-0000-1200-0000E6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7" name="Straight Arrow Connector 4326">
          <a:extLst>
            <a:ext uri="{FF2B5EF4-FFF2-40B4-BE49-F238E27FC236}">
              <a16:creationId xmlns:a16="http://schemas.microsoft.com/office/drawing/2014/main" id="{00000000-0008-0000-1200-0000E7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8" name="Straight Arrow Connector 4327">
          <a:extLst>
            <a:ext uri="{FF2B5EF4-FFF2-40B4-BE49-F238E27FC236}">
              <a16:creationId xmlns:a16="http://schemas.microsoft.com/office/drawing/2014/main" id="{00000000-0008-0000-1200-0000E8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29" name="Straight Arrow Connector 4328">
          <a:extLst>
            <a:ext uri="{FF2B5EF4-FFF2-40B4-BE49-F238E27FC236}">
              <a16:creationId xmlns:a16="http://schemas.microsoft.com/office/drawing/2014/main" id="{00000000-0008-0000-1200-0000E9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0" name="Straight Arrow Connector 4329">
          <a:extLst>
            <a:ext uri="{FF2B5EF4-FFF2-40B4-BE49-F238E27FC236}">
              <a16:creationId xmlns:a16="http://schemas.microsoft.com/office/drawing/2014/main" id="{00000000-0008-0000-1200-0000EA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1" name="Straight Arrow Connector 4330">
          <a:extLst>
            <a:ext uri="{FF2B5EF4-FFF2-40B4-BE49-F238E27FC236}">
              <a16:creationId xmlns:a16="http://schemas.microsoft.com/office/drawing/2014/main" id="{00000000-0008-0000-1200-0000EB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32" name="Straight Arrow Connector 4331">
          <a:extLst>
            <a:ext uri="{FF2B5EF4-FFF2-40B4-BE49-F238E27FC236}">
              <a16:creationId xmlns:a16="http://schemas.microsoft.com/office/drawing/2014/main" id="{00000000-0008-0000-1200-0000EC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3" name="Straight Arrow Connector 4332">
          <a:extLst>
            <a:ext uri="{FF2B5EF4-FFF2-40B4-BE49-F238E27FC236}">
              <a16:creationId xmlns:a16="http://schemas.microsoft.com/office/drawing/2014/main" id="{00000000-0008-0000-1200-0000ED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4" name="Straight Arrow Connector 4333">
          <a:extLst>
            <a:ext uri="{FF2B5EF4-FFF2-40B4-BE49-F238E27FC236}">
              <a16:creationId xmlns:a16="http://schemas.microsoft.com/office/drawing/2014/main" id="{00000000-0008-0000-1200-0000EE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5" name="Straight Arrow Connector 4334">
          <a:extLst>
            <a:ext uri="{FF2B5EF4-FFF2-40B4-BE49-F238E27FC236}">
              <a16:creationId xmlns:a16="http://schemas.microsoft.com/office/drawing/2014/main" id="{00000000-0008-0000-1200-0000EF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36" name="Straight Arrow Connector 4335">
          <a:extLst>
            <a:ext uri="{FF2B5EF4-FFF2-40B4-BE49-F238E27FC236}">
              <a16:creationId xmlns:a16="http://schemas.microsoft.com/office/drawing/2014/main" id="{00000000-0008-0000-1200-0000F0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7" name="Straight Arrow Connector 4336">
          <a:extLst>
            <a:ext uri="{FF2B5EF4-FFF2-40B4-BE49-F238E27FC236}">
              <a16:creationId xmlns:a16="http://schemas.microsoft.com/office/drawing/2014/main" id="{00000000-0008-0000-1200-0000F1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38" name="Straight Arrow Connector 4337">
          <a:extLst>
            <a:ext uri="{FF2B5EF4-FFF2-40B4-BE49-F238E27FC236}">
              <a16:creationId xmlns:a16="http://schemas.microsoft.com/office/drawing/2014/main" id="{00000000-0008-0000-1200-0000F2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39" name="Straight Arrow Connector 4338">
          <a:extLst>
            <a:ext uri="{FF2B5EF4-FFF2-40B4-BE49-F238E27FC236}">
              <a16:creationId xmlns:a16="http://schemas.microsoft.com/office/drawing/2014/main" id="{00000000-0008-0000-1200-0000F3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40" name="Straight Arrow Connector 4339">
          <a:extLst>
            <a:ext uri="{FF2B5EF4-FFF2-40B4-BE49-F238E27FC236}">
              <a16:creationId xmlns:a16="http://schemas.microsoft.com/office/drawing/2014/main" id="{00000000-0008-0000-1200-0000F4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1" name="Straight Arrow Connector 4340">
          <a:extLst>
            <a:ext uri="{FF2B5EF4-FFF2-40B4-BE49-F238E27FC236}">
              <a16:creationId xmlns:a16="http://schemas.microsoft.com/office/drawing/2014/main" id="{00000000-0008-0000-1200-0000F5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42" name="Straight Arrow Connector 4341">
          <a:extLst>
            <a:ext uri="{FF2B5EF4-FFF2-40B4-BE49-F238E27FC236}">
              <a16:creationId xmlns:a16="http://schemas.microsoft.com/office/drawing/2014/main" id="{00000000-0008-0000-1200-0000F6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3" name="Straight Arrow Connector 4342">
          <a:extLst>
            <a:ext uri="{FF2B5EF4-FFF2-40B4-BE49-F238E27FC236}">
              <a16:creationId xmlns:a16="http://schemas.microsoft.com/office/drawing/2014/main" id="{00000000-0008-0000-1200-0000F7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44" name="Straight Arrow Connector 4343">
          <a:extLst>
            <a:ext uri="{FF2B5EF4-FFF2-40B4-BE49-F238E27FC236}">
              <a16:creationId xmlns:a16="http://schemas.microsoft.com/office/drawing/2014/main" id="{00000000-0008-0000-1200-0000F8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5" name="Straight Arrow Connector 4344">
          <a:extLst>
            <a:ext uri="{FF2B5EF4-FFF2-40B4-BE49-F238E27FC236}">
              <a16:creationId xmlns:a16="http://schemas.microsoft.com/office/drawing/2014/main" id="{00000000-0008-0000-1200-0000F9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6" name="Straight Arrow Connector 4345">
          <a:extLst>
            <a:ext uri="{FF2B5EF4-FFF2-40B4-BE49-F238E27FC236}">
              <a16:creationId xmlns:a16="http://schemas.microsoft.com/office/drawing/2014/main" id="{00000000-0008-0000-1200-0000FA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7" name="Straight Arrow Connector 4346">
          <a:extLst>
            <a:ext uri="{FF2B5EF4-FFF2-40B4-BE49-F238E27FC236}">
              <a16:creationId xmlns:a16="http://schemas.microsoft.com/office/drawing/2014/main" id="{00000000-0008-0000-1200-0000FB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48" name="Straight Arrow Connector 4347">
          <a:extLst>
            <a:ext uri="{FF2B5EF4-FFF2-40B4-BE49-F238E27FC236}">
              <a16:creationId xmlns:a16="http://schemas.microsoft.com/office/drawing/2014/main" id="{00000000-0008-0000-1200-0000FC10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49" name="Straight Arrow Connector 4348">
          <a:extLst>
            <a:ext uri="{FF2B5EF4-FFF2-40B4-BE49-F238E27FC236}">
              <a16:creationId xmlns:a16="http://schemas.microsoft.com/office/drawing/2014/main" id="{00000000-0008-0000-1200-0000FD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0" name="Straight Arrow Connector 4349">
          <a:extLst>
            <a:ext uri="{FF2B5EF4-FFF2-40B4-BE49-F238E27FC236}">
              <a16:creationId xmlns:a16="http://schemas.microsoft.com/office/drawing/2014/main" id="{00000000-0008-0000-1200-0000FE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1" name="Straight Arrow Connector 4350">
          <a:extLst>
            <a:ext uri="{FF2B5EF4-FFF2-40B4-BE49-F238E27FC236}">
              <a16:creationId xmlns:a16="http://schemas.microsoft.com/office/drawing/2014/main" id="{00000000-0008-0000-1200-0000FF10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2" name="Straight Arrow Connector 4351">
          <a:extLst>
            <a:ext uri="{FF2B5EF4-FFF2-40B4-BE49-F238E27FC236}">
              <a16:creationId xmlns:a16="http://schemas.microsoft.com/office/drawing/2014/main" id="{00000000-0008-0000-1200-000000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3" name="Straight Arrow Connector 4352">
          <a:extLst>
            <a:ext uri="{FF2B5EF4-FFF2-40B4-BE49-F238E27FC236}">
              <a16:creationId xmlns:a16="http://schemas.microsoft.com/office/drawing/2014/main" id="{00000000-0008-0000-1200-000001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4" name="Straight Arrow Connector 4353">
          <a:extLst>
            <a:ext uri="{FF2B5EF4-FFF2-40B4-BE49-F238E27FC236}">
              <a16:creationId xmlns:a16="http://schemas.microsoft.com/office/drawing/2014/main" id="{00000000-0008-0000-1200-000002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55" name="Straight Arrow Connector 4354">
          <a:extLst>
            <a:ext uri="{FF2B5EF4-FFF2-40B4-BE49-F238E27FC236}">
              <a16:creationId xmlns:a16="http://schemas.microsoft.com/office/drawing/2014/main" id="{00000000-0008-0000-1200-000003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6" name="Straight Arrow Connector 4355">
          <a:extLst>
            <a:ext uri="{FF2B5EF4-FFF2-40B4-BE49-F238E27FC236}">
              <a16:creationId xmlns:a16="http://schemas.microsoft.com/office/drawing/2014/main" id="{00000000-0008-0000-1200-000004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57" name="Straight Arrow Connector 4356">
          <a:extLst>
            <a:ext uri="{FF2B5EF4-FFF2-40B4-BE49-F238E27FC236}">
              <a16:creationId xmlns:a16="http://schemas.microsoft.com/office/drawing/2014/main" id="{00000000-0008-0000-1200-000005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58" name="Straight Arrow Connector 4357">
          <a:extLst>
            <a:ext uri="{FF2B5EF4-FFF2-40B4-BE49-F238E27FC236}">
              <a16:creationId xmlns:a16="http://schemas.microsoft.com/office/drawing/2014/main" id="{00000000-0008-0000-1200-000006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59" name="Straight Arrow Connector 4358">
          <a:extLst>
            <a:ext uri="{FF2B5EF4-FFF2-40B4-BE49-F238E27FC236}">
              <a16:creationId xmlns:a16="http://schemas.microsoft.com/office/drawing/2014/main" id="{00000000-0008-0000-1200-000007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0" name="Straight Arrow Connector 4359">
          <a:extLst>
            <a:ext uri="{FF2B5EF4-FFF2-40B4-BE49-F238E27FC236}">
              <a16:creationId xmlns:a16="http://schemas.microsoft.com/office/drawing/2014/main" id="{00000000-0008-0000-1200-000008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61" name="Straight Arrow Connector 4360">
          <a:extLst>
            <a:ext uri="{FF2B5EF4-FFF2-40B4-BE49-F238E27FC236}">
              <a16:creationId xmlns:a16="http://schemas.microsoft.com/office/drawing/2014/main" id="{00000000-0008-0000-1200-000009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2" name="Straight Arrow Connector 4361">
          <a:extLst>
            <a:ext uri="{FF2B5EF4-FFF2-40B4-BE49-F238E27FC236}">
              <a16:creationId xmlns:a16="http://schemas.microsoft.com/office/drawing/2014/main" id="{00000000-0008-0000-1200-00000A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63" name="Straight Arrow Connector 4362">
          <a:extLst>
            <a:ext uri="{FF2B5EF4-FFF2-40B4-BE49-F238E27FC236}">
              <a16:creationId xmlns:a16="http://schemas.microsoft.com/office/drawing/2014/main" id="{00000000-0008-0000-1200-00000B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4" name="Straight Arrow Connector 4363">
          <a:extLst>
            <a:ext uri="{FF2B5EF4-FFF2-40B4-BE49-F238E27FC236}">
              <a16:creationId xmlns:a16="http://schemas.microsoft.com/office/drawing/2014/main" id="{00000000-0008-0000-1200-00000C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65" name="Straight Arrow Connector 4364">
          <a:extLst>
            <a:ext uri="{FF2B5EF4-FFF2-40B4-BE49-F238E27FC236}">
              <a16:creationId xmlns:a16="http://schemas.microsoft.com/office/drawing/2014/main" id="{00000000-0008-0000-1200-00000D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6" name="Straight Arrow Connector 4365">
          <a:extLst>
            <a:ext uri="{FF2B5EF4-FFF2-40B4-BE49-F238E27FC236}">
              <a16:creationId xmlns:a16="http://schemas.microsoft.com/office/drawing/2014/main" id="{00000000-0008-0000-1200-00000E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7" name="Straight Arrow Connector 4366">
          <a:extLst>
            <a:ext uri="{FF2B5EF4-FFF2-40B4-BE49-F238E27FC236}">
              <a16:creationId xmlns:a16="http://schemas.microsoft.com/office/drawing/2014/main" id="{00000000-0008-0000-1200-00000F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8" name="Straight Arrow Connector 4367">
          <a:extLst>
            <a:ext uri="{FF2B5EF4-FFF2-40B4-BE49-F238E27FC236}">
              <a16:creationId xmlns:a16="http://schemas.microsoft.com/office/drawing/2014/main" id="{00000000-0008-0000-1200-000010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69" name="Straight Arrow Connector 4368">
          <a:extLst>
            <a:ext uri="{FF2B5EF4-FFF2-40B4-BE49-F238E27FC236}">
              <a16:creationId xmlns:a16="http://schemas.microsoft.com/office/drawing/2014/main" id="{00000000-0008-0000-1200-000011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0" name="Straight Arrow Connector 4369">
          <a:extLst>
            <a:ext uri="{FF2B5EF4-FFF2-40B4-BE49-F238E27FC236}">
              <a16:creationId xmlns:a16="http://schemas.microsoft.com/office/drawing/2014/main" id="{00000000-0008-0000-1200-000012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71" name="Straight Arrow Connector 4370">
          <a:extLst>
            <a:ext uri="{FF2B5EF4-FFF2-40B4-BE49-F238E27FC236}">
              <a16:creationId xmlns:a16="http://schemas.microsoft.com/office/drawing/2014/main" id="{00000000-0008-0000-1200-000013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2" name="Straight Arrow Connector 4371">
          <a:extLst>
            <a:ext uri="{FF2B5EF4-FFF2-40B4-BE49-F238E27FC236}">
              <a16:creationId xmlns:a16="http://schemas.microsoft.com/office/drawing/2014/main" id="{00000000-0008-0000-1200-000014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73" name="Straight Arrow Connector 4372">
          <a:extLst>
            <a:ext uri="{FF2B5EF4-FFF2-40B4-BE49-F238E27FC236}">
              <a16:creationId xmlns:a16="http://schemas.microsoft.com/office/drawing/2014/main" id="{00000000-0008-0000-1200-000015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4" name="Straight Arrow Connector 4373">
          <a:extLst>
            <a:ext uri="{FF2B5EF4-FFF2-40B4-BE49-F238E27FC236}">
              <a16:creationId xmlns:a16="http://schemas.microsoft.com/office/drawing/2014/main" id="{00000000-0008-0000-1200-000016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75" name="Straight Arrow Connector 4374">
          <a:extLst>
            <a:ext uri="{FF2B5EF4-FFF2-40B4-BE49-F238E27FC236}">
              <a16:creationId xmlns:a16="http://schemas.microsoft.com/office/drawing/2014/main" id="{00000000-0008-0000-1200-000017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6" name="Straight Arrow Connector 4375">
          <a:extLst>
            <a:ext uri="{FF2B5EF4-FFF2-40B4-BE49-F238E27FC236}">
              <a16:creationId xmlns:a16="http://schemas.microsoft.com/office/drawing/2014/main" id="{00000000-0008-0000-1200-000018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1323</xdr:row>
      <xdr:rowOff>31750</xdr:rowOff>
    </xdr:from>
    <xdr:to>
      <xdr:col>16</xdr:col>
      <xdr:colOff>42334</xdr:colOff>
      <xdr:row>1330</xdr:row>
      <xdr:rowOff>63501</xdr:rowOff>
    </xdr:to>
    <xdr:cxnSp macro="">
      <xdr:nvCxnSpPr>
        <xdr:cNvPr id="4377" name="Straight Arrow Connector 4376">
          <a:extLst>
            <a:ext uri="{FF2B5EF4-FFF2-40B4-BE49-F238E27FC236}">
              <a16:creationId xmlns:a16="http://schemas.microsoft.com/office/drawing/2014/main" id="{00000000-0008-0000-1200-000019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78" name="Straight Arrow Connector 4377">
          <a:extLst>
            <a:ext uri="{FF2B5EF4-FFF2-40B4-BE49-F238E27FC236}">
              <a16:creationId xmlns:a16="http://schemas.microsoft.com/office/drawing/2014/main" id="{00000000-0008-0000-1200-00001A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1323</xdr:row>
      <xdr:rowOff>31750</xdr:rowOff>
    </xdr:from>
    <xdr:to>
      <xdr:col>16</xdr:col>
      <xdr:colOff>42334</xdr:colOff>
      <xdr:row>1330</xdr:row>
      <xdr:rowOff>63501</xdr:rowOff>
    </xdr:to>
    <xdr:cxnSp macro="">
      <xdr:nvCxnSpPr>
        <xdr:cNvPr id="4379" name="Straight Arrow Connector 4378">
          <a:extLst>
            <a:ext uri="{FF2B5EF4-FFF2-40B4-BE49-F238E27FC236}">
              <a16:creationId xmlns:a16="http://schemas.microsoft.com/office/drawing/2014/main" id="{00000000-0008-0000-1200-00001B110000}"/>
            </a:ext>
          </a:extLst>
        </xdr:cNvPr>
        <xdr:cNvCxnSpPr/>
      </xdr:nvCxnSpPr>
      <xdr:spPr>
        <a:xfrm>
          <a:off x="11281833" y="244824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1336</xdr:row>
      <xdr:rowOff>31750</xdr:rowOff>
    </xdr:from>
    <xdr:to>
      <xdr:col>16</xdr:col>
      <xdr:colOff>21167</xdr:colOff>
      <xdr:row>1343</xdr:row>
      <xdr:rowOff>95250</xdr:rowOff>
    </xdr:to>
    <xdr:cxnSp macro="">
      <xdr:nvCxnSpPr>
        <xdr:cNvPr id="4380" name="Straight Arrow Connector 4379">
          <a:extLst>
            <a:ext uri="{FF2B5EF4-FFF2-40B4-BE49-F238E27FC236}">
              <a16:creationId xmlns:a16="http://schemas.microsoft.com/office/drawing/2014/main" id="{00000000-0008-0000-1200-00001C110000}"/>
            </a:ext>
          </a:extLst>
        </xdr:cNvPr>
        <xdr:cNvCxnSpPr/>
      </xdr:nvCxnSpPr>
      <xdr:spPr>
        <a:xfrm>
          <a:off x="11324166" y="247491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1" name="Straight Arrow Connector 4380">
          <a:extLst>
            <a:ext uri="{FF2B5EF4-FFF2-40B4-BE49-F238E27FC236}">
              <a16:creationId xmlns:a16="http://schemas.microsoft.com/office/drawing/2014/main" id="{00000000-0008-0000-1200-00001D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82" name="Straight Arrow Connector 4381">
          <a:extLst>
            <a:ext uri="{FF2B5EF4-FFF2-40B4-BE49-F238E27FC236}">
              <a16:creationId xmlns:a16="http://schemas.microsoft.com/office/drawing/2014/main" id="{00000000-0008-0000-1200-00001E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3" name="Straight Arrow Connector 4382">
          <a:extLst>
            <a:ext uri="{FF2B5EF4-FFF2-40B4-BE49-F238E27FC236}">
              <a16:creationId xmlns:a16="http://schemas.microsoft.com/office/drawing/2014/main" id="{00000000-0008-0000-1200-00001F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84" name="Straight Arrow Connector 4383">
          <a:extLst>
            <a:ext uri="{FF2B5EF4-FFF2-40B4-BE49-F238E27FC236}">
              <a16:creationId xmlns:a16="http://schemas.microsoft.com/office/drawing/2014/main" id="{00000000-0008-0000-1200-000020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5" name="Straight Arrow Connector 4384">
          <a:extLst>
            <a:ext uri="{FF2B5EF4-FFF2-40B4-BE49-F238E27FC236}">
              <a16:creationId xmlns:a16="http://schemas.microsoft.com/office/drawing/2014/main" id="{00000000-0008-0000-1200-000021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86" name="Straight Arrow Connector 4385">
          <a:extLst>
            <a:ext uri="{FF2B5EF4-FFF2-40B4-BE49-F238E27FC236}">
              <a16:creationId xmlns:a16="http://schemas.microsoft.com/office/drawing/2014/main" id="{00000000-0008-0000-1200-000022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7" name="Straight Arrow Connector 4386">
          <a:extLst>
            <a:ext uri="{FF2B5EF4-FFF2-40B4-BE49-F238E27FC236}">
              <a16:creationId xmlns:a16="http://schemas.microsoft.com/office/drawing/2014/main" id="{00000000-0008-0000-1200-000023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88" name="Straight Arrow Connector 4387">
          <a:extLst>
            <a:ext uri="{FF2B5EF4-FFF2-40B4-BE49-F238E27FC236}">
              <a16:creationId xmlns:a16="http://schemas.microsoft.com/office/drawing/2014/main" id="{00000000-0008-0000-1200-000024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1439</xdr:row>
      <xdr:rowOff>31750</xdr:rowOff>
    </xdr:from>
    <xdr:to>
      <xdr:col>16</xdr:col>
      <xdr:colOff>42334</xdr:colOff>
      <xdr:row>1446</xdr:row>
      <xdr:rowOff>63501</xdr:rowOff>
    </xdr:to>
    <xdr:cxnSp macro="">
      <xdr:nvCxnSpPr>
        <xdr:cNvPr id="4389" name="Straight Arrow Connector 4388">
          <a:extLst>
            <a:ext uri="{FF2B5EF4-FFF2-40B4-BE49-F238E27FC236}">
              <a16:creationId xmlns:a16="http://schemas.microsoft.com/office/drawing/2014/main" id="{00000000-0008-0000-1200-000025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90" name="Straight Arrow Connector 4389">
          <a:extLst>
            <a:ext uri="{FF2B5EF4-FFF2-40B4-BE49-F238E27FC236}">
              <a16:creationId xmlns:a16="http://schemas.microsoft.com/office/drawing/2014/main" id="{00000000-0008-0000-1200-000026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4391" name="Straight Arrow Connector 4390">
          <a:extLst>
            <a:ext uri="{FF2B5EF4-FFF2-40B4-BE49-F238E27FC236}">
              <a16:creationId xmlns:a16="http://schemas.microsoft.com/office/drawing/2014/main" id="{00000000-0008-0000-1200-000027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92" name="Straight Arrow Connector 4391">
          <a:extLst>
            <a:ext uri="{FF2B5EF4-FFF2-40B4-BE49-F238E27FC236}">
              <a16:creationId xmlns:a16="http://schemas.microsoft.com/office/drawing/2014/main" id="{00000000-0008-0000-1200-000028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1439</xdr:row>
      <xdr:rowOff>31750</xdr:rowOff>
    </xdr:from>
    <xdr:to>
      <xdr:col>16</xdr:col>
      <xdr:colOff>42334</xdr:colOff>
      <xdr:row>1446</xdr:row>
      <xdr:rowOff>63501</xdr:rowOff>
    </xdr:to>
    <xdr:cxnSp macro="">
      <xdr:nvCxnSpPr>
        <xdr:cNvPr id="4393" name="Straight Arrow Connector 4392">
          <a:extLst>
            <a:ext uri="{FF2B5EF4-FFF2-40B4-BE49-F238E27FC236}">
              <a16:creationId xmlns:a16="http://schemas.microsoft.com/office/drawing/2014/main" id="{00000000-0008-0000-1200-000029110000}"/>
            </a:ext>
          </a:extLst>
        </xdr:cNvPr>
        <xdr:cNvCxnSpPr/>
      </xdr:nvCxnSpPr>
      <xdr:spPr>
        <a:xfrm>
          <a:off x="11281833" y="267112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1452</xdr:row>
      <xdr:rowOff>31750</xdr:rowOff>
    </xdr:from>
    <xdr:to>
      <xdr:col>16</xdr:col>
      <xdr:colOff>21167</xdr:colOff>
      <xdr:row>1459</xdr:row>
      <xdr:rowOff>95250</xdr:rowOff>
    </xdr:to>
    <xdr:cxnSp macro="">
      <xdr:nvCxnSpPr>
        <xdr:cNvPr id="4394" name="Straight Arrow Connector 4393">
          <a:extLst>
            <a:ext uri="{FF2B5EF4-FFF2-40B4-BE49-F238E27FC236}">
              <a16:creationId xmlns:a16="http://schemas.microsoft.com/office/drawing/2014/main" id="{00000000-0008-0000-1200-00002A110000}"/>
            </a:ext>
          </a:extLst>
        </xdr:cNvPr>
        <xdr:cNvCxnSpPr/>
      </xdr:nvCxnSpPr>
      <xdr:spPr>
        <a:xfrm>
          <a:off x="11324166" y="269779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397" name="Straight Arrow Connector 4396">
          <a:extLst>
            <a:ext uri="{FF2B5EF4-FFF2-40B4-BE49-F238E27FC236}">
              <a16:creationId xmlns:a16="http://schemas.microsoft.com/office/drawing/2014/main" id="{00000000-0008-0000-1200-00002D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398" name="Straight Arrow Connector 4397">
          <a:extLst>
            <a:ext uri="{FF2B5EF4-FFF2-40B4-BE49-F238E27FC236}">
              <a16:creationId xmlns:a16="http://schemas.microsoft.com/office/drawing/2014/main" id="{00000000-0008-0000-1200-00002E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399" name="Straight Arrow Connector 4398">
          <a:extLst>
            <a:ext uri="{FF2B5EF4-FFF2-40B4-BE49-F238E27FC236}">
              <a16:creationId xmlns:a16="http://schemas.microsoft.com/office/drawing/2014/main" id="{00000000-0008-0000-1200-00002F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0" name="Straight Arrow Connector 4399">
          <a:extLst>
            <a:ext uri="{FF2B5EF4-FFF2-40B4-BE49-F238E27FC236}">
              <a16:creationId xmlns:a16="http://schemas.microsoft.com/office/drawing/2014/main" id="{00000000-0008-0000-1200-000030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1" name="Straight Arrow Connector 4400">
          <a:extLst>
            <a:ext uri="{FF2B5EF4-FFF2-40B4-BE49-F238E27FC236}">
              <a16:creationId xmlns:a16="http://schemas.microsoft.com/office/drawing/2014/main" id="{00000000-0008-0000-1200-000031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2" name="Straight Arrow Connector 4401">
          <a:extLst>
            <a:ext uri="{FF2B5EF4-FFF2-40B4-BE49-F238E27FC236}">
              <a16:creationId xmlns:a16="http://schemas.microsoft.com/office/drawing/2014/main" id="{00000000-0008-0000-1200-000032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3" name="Straight Arrow Connector 4402">
          <a:extLst>
            <a:ext uri="{FF2B5EF4-FFF2-40B4-BE49-F238E27FC236}">
              <a16:creationId xmlns:a16="http://schemas.microsoft.com/office/drawing/2014/main" id="{00000000-0008-0000-1200-000033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04" name="Straight Arrow Connector 4403">
          <a:extLst>
            <a:ext uri="{FF2B5EF4-FFF2-40B4-BE49-F238E27FC236}">
              <a16:creationId xmlns:a16="http://schemas.microsoft.com/office/drawing/2014/main" id="{00000000-0008-0000-1200-000034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5" name="Straight Arrow Connector 4404">
          <a:extLst>
            <a:ext uri="{FF2B5EF4-FFF2-40B4-BE49-F238E27FC236}">
              <a16:creationId xmlns:a16="http://schemas.microsoft.com/office/drawing/2014/main" id="{00000000-0008-0000-1200-000035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06" name="Straight Arrow Connector 4405">
          <a:extLst>
            <a:ext uri="{FF2B5EF4-FFF2-40B4-BE49-F238E27FC236}">
              <a16:creationId xmlns:a16="http://schemas.microsoft.com/office/drawing/2014/main" id="{00000000-0008-0000-1200-000036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7" name="Straight Arrow Connector 4406">
          <a:extLst>
            <a:ext uri="{FF2B5EF4-FFF2-40B4-BE49-F238E27FC236}">
              <a16:creationId xmlns:a16="http://schemas.microsoft.com/office/drawing/2014/main" id="{00000000-0008-0000-1200-000037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08" name="Straight Arrow Connector 4407">
          <a:extLst>
            <a:ext uri="{FF2B5EF4-FFF2-40B4-BE49-F238E27FC236}">
              <a16:creationId xmlns:a16="http://schemas.microsoft.com/office/drawing/2014/main" id="{00000000-0008-0000-1200-000038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09" name="Straight Arrow Connector 4408">
          <a:extLst>
            <a:ext uri="{FF2B5EF4-FFF2-40B4-BE49-F238E27FC236}">
              <a16:creationId xmlns:a16="http://schemas.microsoft.com/office/drawing/2014/main" id="{00000000-0008-0000-1200-000039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4410" name="Straight Arrow Connector 4409">
          <a:extLst>
            <a:ext uri="{FF2B5EF4-FFF2-40B4-BE49-F238E27FC236}">
              <a16:creationId xmlns:a16="http://schemas.microsoft.com/office/drawing/2014/main" id="{00000000-0008-0000-1200-00003A110000}"/>
            </a:ext>
          </a:extLst>
        </xdr:cNvPr>
        <xdr:cNvCxnSpPr/>
      </xdr:nvCxnSpPr>
      <xdr:spPr>
        <a:xfrm>
          <a:off x="11281833" y="28311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4411" name="Straight Arrow Connector 4410">
          <a:extLst>
            <a:ext uri="{FF2B5EF4-FFF2-40B4-BE49-F238E27FC236}">
              <a16:creationId xmlns:a16="http://schemas.microsoft.com/office/drawing/2014/main" id="{00000000-0008-0000-1200-00003B110000}"/>
            </a:ext>
          </a:extLst>
        </xdr:cNvPr>
        <xdr:cNvCxnSpPr/>
      </xdr:nvCxnSpPr>
      <xdr:spPr>
        <a:xfrm>
          <a:off x="11281833" y="28311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12" name="Straight Arrow Connector 4411">
          <a:extLst>
            <a:ext uri="{FF2B5EF4-FFF2-40B4-BE49-F238E27FC236}">
              <a16:creationId xmlns:a16="http://schemas.microsoft.com/office/drawing/2014/main" id="{00000000-0008-0000-1200-00003C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13" name="Straight Arrow Connector 4412">
          <a:extLst>
            <a:ext uri="{FF2B5EF4-FFF2-40B4-BE49-F238E27FC236}">
              <a16:creationId xmlns:a16="http://schemas.microsoft.com/office/drawing/2014/main" id="{00000000-0008-0000-1200-00003D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14" name="Straight Arrow Connector 4413">
          <a:extLst>
            <a:ext uri="{FF2B5EF4-FFF2-40B4-BE49-F238E27FC236}">
              <a16:creationId xmlns:a16="http://schemas.microsoft.com/office/drawing/2014/main" id="{00000000-0008-0000-1200-00003E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15" name="Straight Arrow Connector 4414">
          <a:extLst>
            <a:ext uri="{FF2B5EF4-FFF2-40B4-BE49-F238E27FC236}">
              <a16:creationId xmlns:a16="http://schemas.microsoft.com/office/drawing/2014/main" id="{00000000-0008-0000-1200-00003F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16" name="Straight Arrow Connector 4415">
          <a:extLst>
            <a:ext uri="{FF2B5EF4-FFF2-40B4-BE49-F238E27FC236}">
              <a16:creationId xmlns:a16="http://schemas.microsoft.com/office/drawing/2014/main" id="{00000000-0008-0000-1200-000040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17" name="Straight Arrow Connector 4416">
          <a:extLst>
            <a:ext uri="{FF2B5EF4-FFF2-40B4-BE49-F238E27FC236}">
              <a16:creationId xmlns:a16="http://schemas.microsoft.com/office/drawing/2014/main" id="{00000000-0008-0000-1200-000041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18" name="Straight Arrow Connector 4417">
          <a:extLst>
            <a:ext uri="{FF2B5EF4-FFF2-40B4-BE49-F238E27FC236}">
              <a16:creationId xmlns:a16="http://schemas.microsoft.com/office/drawing/2014/main" id="{00000000-0008-0000-1200-000042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19" name="Straight Arrow Connector 4418">
          <a:extLst>
            <a:ext uri="{FF2B5EF4-FFF2-40B4-BE49-F238E27FC236}">
              <a16:creationId xmlns:a16="http://schemas.microsoft.com/office/drawing/2014/main" id="{00000000-0008-0000-1200-000043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1495</xdr:row>
      <xdr:rowOff>31750</xdr:rowOff>
    </xdr:from>
    <xdr:to>
      <xdr:col>16</xdr:col>
      <xdr:colOff>42334</xdr:colOff>
      <xdr:row>1502</xdr:row>
      <xdr:rowOff>63501</xdr:rowOff>
    </xdr:to>
    <xdr:cxnSp macro="">
      <xdr:nvCxnSpPr>
        <xdr:cNvPr id="4420" name="Straight Arrow Connector 4419">
          <a:extLst>
            <a:ext uri="{FF2B5EF4-FFF2-40B4-BE49-F238E27FC236}">
              <a16:creationId xmlns:a16="http://schemas.microsoft.com/office/drawing/2014/main" id="{00000000-0008-0000-1200-000044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21" name="Straight Arrow Connector 4420">
          <a:extLst>
            <a:ext uri="{FF2B5EF4-FFF2-40B4-BE49-F238E27FC236}">
              <a16:creationId xmlns:a16="http://schemas.microsoft.com/office/drawing/2014/main" id="{00000000-0008-0000-1200-000045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22" name="Straight Arrow Connector 4421">
          <a:extLst>
            <a:ext uri="{FF2B5EF4-FFF2-40B4-BE49-F238E27FC236}">
              <a16:creationId xmlns:a16="http://schemas.microsoft.com/office/drawing/2014/main" id="{00000000-0008-0000-1200-000046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23" name="Straight Arrow Connector 4422">
          <a:extLst>
            <a:ext uri="{FF2B5EF4-FFF2-40B4-BE49-F238E27FC236}">
              <a16:creationId xmlns:a16="http://schemas.microsoft.com/office/drawing/2014/main" id="{00000000-0008-0000-1200-000047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1495</xdr:row>
      <xdr:rowOff>31750</xdr:rowOff>
    </xdr:from>
    <xdr:to>
      <xdr:col>16</xdr:col>
      <xdr:colOff>42334</xdr:colOff>
      <xdr:row>1502</xdr:row>
      <xdr:rowOff>63501</xdr:rowOff>
    </xdr:to>
    <xdr:cxnSp macro="">
      <xdr:nvCxnSpPr>
        <xdr:cNvPr id="4424" name="Straight Arrow Connector 4423">
          <a:extLst>
            <a:ext uri="{FF2B5EF4-FFF2-40B4-BE49-F238E27FC236}">
              <a16:creationId xmlns:a16="http://schemas.microsoft.com/office/drawing/2014/main" id="{00000000-0008-0000-1200-000048110000}"/>
            </a:ext>
          </a:extLst>
        </xdr:cNvPr>
        <xdr:cNvCxnSpPr/>
      </xdr:nvCxnSpPr>
      <xdr:spPr>
        <a:xfrm>
          <a:off x="11281833" y="277971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1508</xdr:row>
      <xdr:rowOff>31750</xdr:rowOff>
    </xdr:from>
    <xdr:to>
      <xdr:col>16</xdr:col>
      <xdr:colOff>21167</xdr:colOff>
      <xdr:row>1515</xdr:row>
      <xdr:rowOff>95250</xdr:rowOff>
    </xdr:to>
    <xdr:cxnSp macro="">
      <xdr:nvCxnSpPr>
        <xdr:cNvPr id="4425" name="Straight Arrow Connector 4424">
          <a:extLst>
            <a:ext uri="{FF2B5EF4-FFF2-40B4-BE49-F238E27FC236}">
              <a16:creationId xmlns:a16="http://schemas.microsoft.com/office/drawing/2014/main" id="{00000000-0008-0000-1200-000049110000}"/>
            </a:ext>
          </a:extLst>
        </xdr:cNvPr>
        <xdr:cNvCxnSpPr/>
      </xdr:nvCxnSpPr>
      <xdr:spPr>
        <a:xfrm>
          <a:off x="11324166" y="280638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4426" name="Straight Arrow Connector 4425">
          <a:extLst>
            <a:ext uri="{FF2B5EF4-FFF2-40B4-BE49-F238E27FC236}">
              <a16:creationId xmlns:a16="http://schemas.microsoft.com/office/drawing/2014/main" id="{00000000-0008-0000-1200-00004A110000}"/>
            </a:ext>
          </a:extLst>
        </xdr:cNvPr>
        <xdr:cNvCxnSpPr/>
      </xdr:nvCxnSpPr>
      <xdr:spPr>
        <a:xfrm>
          <a:off x="11281833" y="28311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1521</xdr:row>
      <xdr:rowOff>31750</xdr:rowOff>
    </xdr:from>
    <xdr:to>
      <xdr:col>16</xdr:col>
      <xdr:colOff>42334</xdr:colOff>
      <xdr:row>1528</xdr:row>
      <xdr:rowOff>63501</xdr:rowOff>
    </xdr:to>
    <xdr:cxnSp macro="">
      <xdr:nvCxnSpPr>
        <xdr:cNvPr id="4427" name="Straight Arrow Connector 4426">
          <a:extLst>
            <a:ext uri="{FF2B5EF4-FFF2-40B4-BE49-F238E27FC236}">
              <a16:creationId xmlns:a16="http://schemas.microsoft.com/office/drawing/2014/main" id="{00000000-0008-0000-1200-00004B110000}"/>
            </a:ext>
          </a:extLst>
        </xdr:cNvPr>
        <xdr:cNvCxnSpPr/>
      </xdr:nvCxnSpPr>
      <xdr:spPr>
        <a:xfrm>
          <a:off x="11281833" y="283114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28" name="Straight Arrow Connector 4427">
          <a:extLst>
            <a:ext uri="{FF2B5EF4-FFF2-40B4-BE49-F238E27FC236}">
              <a16:creationId xmlns:a16="http://schemas.microsoft.com/office/drawing/2014/main" id="{00000000-0008-0000-1200-00004C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29" name="Straight Arrow Connector 4428">
          <a:extLst>
            <a:ext uri="{FF2B5EF4-FFF2-40B4-BE49-F238E27FC236}">
              <a16:creationId xmlns:a16="http://schemas.microsoft.com/office/drawing/2014/main" id="{00000000-0008-0000-1200-00004D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30" name="Straight Arrow Connector 4429">
          <a:extLst>
            <a:ext uri="{FF2B5EF4-FFF2-40B4-BE49-F238E27FC236}">
              <a16:creationId xmlns:a16="http://schemas.microsoft.com/office/drawing/2014/main" id="{00000000-0008-0000-1200-00004E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1" name="Straight Arrow Connector 4430">
          <a:extLst>
            <a:ext uri="{FF2B5EF4-FFF2-40B4-BE49-F238E27FC236}">
              <a16:creationId xmlns:a16="http://schemas.microsoft.com/office/drawing/2014/main" id="{00000000-0008-0000-1200-00004F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32" name="Straight Arrow Connector 4431">
          <a:extLst>
            <a:ext uri="{FF2B5EF4-FFF2-40B4-BE49-F238E27FC236}">
              <a16:creationId xmlns:a16="http://schemas.microsoft.com/office/drawing/2014/main" id="{00000000-0008-0000-1200-000050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3" name="Straight Arrow Connector 4432">
          <a:extLst>
            <a:ext uri="{FF2B5EF4-FFF2-40B4-BE49-F238E27FC236}">
              <a16:creationId xmlns:a16="http://schemas.microsoft.com/office/drawing/2014/main" id="{00000000-0008-0000-1200-000051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34" name="Straight Arrow Connector 4433">
          <a:extLst>
            <a:ext uri="{FF2B5EF4-FFF2-40B4-BE49-F238E27FC236}">
              <a16:creationId xmlns:a16="http://schemas.microsoft.com/office/drawing/2014/main" id="{00000000-0008-0000-1200-000052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5" name="Straight Arrow Connector 4434">
          <a:extLst>
            <a:ext uri="{FF2B5EF4-FFF2-40B4-BE49-F238E27FC236}">
              <a16:creationId xmlns:a16="http://schemas.microsoft.com/office/drawing/2014/main" id="{00000000-0008-0000-1200-000053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36" name="Straight Arrow Connector 4435">
          <a:extLst>
            <a:ext uri="{FF2B5EF4-FFF2-40B4-BE49-F238E27FC236}">
              <a16:creationId xmlns:a16="http://schemas.microsoft.com/office/drawing/2014/main" id="{00000000-0008-0000-1200-000054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7" name="Straight Arrow Connector 4436">
          <a:extLst>
            <a:ext uri="{FF2B5EF4-FFF2-40B4-BE49-F238E27FC236}">
              <a16:creationId xmlns:a16="http://schemas.microsoft.com/office/drawing/2014/main" id="{00000000-0008-0000-1200-000055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38" name="Straight Arrow Connector 4437">
          <a:extLst>
            <a:ext uri="{FF2B5EF4-FFF2-40B4-BE49-F238E27FC236}">
              <a16:creationId xmlns:a16="http://schemas.microsoft.com/office/drawing/2014/main" id="{00000000-0008-0000-1200-000056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39" name="Straight Arrow Connector 4438">
          <a:extLst>
            <a:ext uri="{FF2B5EF4-FFF2-40B4-BE49-F238E27FC236}">
              <a16:creationId xmlns:a16="http://schemas.microsoft.com/office/drawing/2014/main" id="{00000000-0008-0000-1200-000057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40" name="Straight Arrow Connector 4439">
          <a:extLst>
            <a:ext uri="{FF2B5EF4-FFF2-40B4-BE49-F238E27FC236}">
              <a16:creationId xmlns:a16="http://schemas.microsoft.com/office/drawing/2014/main" id="{00000000-0008-0000-1200-000058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1" name="Straight Arrow Connector 4440">
          <a:extLst>
            <a:ext uri="{FF2B5EF4-FFF2-40B4-BE49-F238E27FC236}">
              <a16:creationId xmlns:a16="http://schemas.microsoft.com/office/drawing/2014/main" id="{00000000-0008-0000-1200-000059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42" name="Straight Arrow Connector 4441">
          <a:extLst>
            <a:ext uri="{FF2B5EF4-FFF2-40B4-BE49-F238E27FC236}">
              <a16:creationId xmlns:a16="http://schemas.microsoft.com/office/drawing/2014/main" id="{00000000-0008-0000-1200-00005A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3" name="Straight Arrow Connector 4442">
          <a:extLst>
            <a:ext uri="{FF2B5EF4-FFF2-40B4-BE49-F238E27FC236}">
              <a16:creationId xmlns:a16="http://schemas.microsoft.com/office/drawing/2014/main" id="{00000000-0008-0000-1200-00005B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4" name="Straight Arrow Connector 4443">
          <a:extLst>
            <a:ext uri="{FF2B5EF4-FFF2-40B4-BE49-F238E27FC236}">
              <a16:creationId xmlns:a16="http://schemas.microsoft.com/office/drawing/2014/main" id="{00000000-0008-0000-1200-00005C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5" name="Straight Arrow Connector 4444">
          <a:extLst>
            <a:ext uri="{FF2B5EF4-FFF2-40B4-BE49-F238E27FC236}">
              <a16:creationId xmlns:a16="http://schemas.microsoft.com/office/drawing/2014/main" id="{00000000-0008-0000-1200-00005D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46" name="Straight Arrow Connector 4445">
          <a:extLst>
            <a:ext uri="{FF2B5EF4-FFF2-40B4-BE49-F238E27FC236}">
              <a16:creationId xmlns:a16="http://schemas.microsoft.com/office/drawing/2014/main" id="{00000000-0008-0000-1200-00005E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7" name="Straight Arrow Connector 4446">
          <a:extLst>
            <a:ext uri="{FF2B5EF4-FFF2-40B4-BE49-F238E27FC236}">
              <a16:creationId xmlns:a16="http://schemas.microsoft.com/office/drawing/2014/main" id="{00000000-0008-0000-1200-00005F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48" name="Straight Arrow Connector 4447">
          <a:extLst>
            <a:ext uri="{FF2B5EF4-FFF2-40B4-BE49-F238E27FC236}">
              <a16:creationId xmlns:a16="http://schemas.microsoft.com/office/drawing/2014/main" id="{00000000-0008-0000-1200-000060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49" name="Straight Arrow Connector 4448">
          <a:extLst>
            <a:ext uri="{FF2B5EF4-FFF2-40B4-BE49-F238E27FC236}">
              <a16:creationId xmlns:a16="http://schemas.microsoft.com/office/drawing/2014/main" id="{00000000-0008-0000-1200-000061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50" name="Straight Arrow Connector 4449">
          <a:extLst>
            <a:ext uri="{FF2B5EF4-FFF2-40B4-BE49-F238E27FC236}">
              <a16:creationId xmlns:a16="http://schemas.microsoft.com/office/drawing/2014/main" id="{00000000-0008-0000-1200-000062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1" name="Straight Arrow Connector 4450">
          <a:extLst>
            <a:ext uri="{FF2B5EF4-FFF2-40B4-BE49-F238E27FC236}">
              <a16:creationId xmlns:a16="http://schemas.microsoft.com/office/drawing/2014/main" id="{00000000-0008-0000-1200-000063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52" name="Straight Arrow Connector 4451">
          <a:extLst>
            <a:ext uri="{FF2B5EF4-FFF2-40B4-BE49-F238E27FC236}">
              <a16:creationId xmlns:a16="http://schemas.microsoft.com/office/drawing/2014/main" id="{00000000-0008-0000-1200-000064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53" name="Straight Arrow Connector 4452">
          <a:extLst>
            <a:ext uri="{FF2B5EF4-FFF2-40B4-BE49-F238E27FC236}">
              <a16:creationId xmlns:a16="http://schemas.microsoft.com/office/drawing/2014/main" id="{00000000-0008-0000-1200-000065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4" name="Straight Arrow Connector 4453">
          <a:extLst>
            <a:ext uri="{FF2B5EF4-FFF2-40B4-BE49-F238E27FC236}">
              <a16:creationId xmlns:a16="http://schemas.microsoft.com/office/drawing/2014/main" id="{00000000-0008-0000-1200-000066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5" name="Straight Arrow Connector 4454">
          <a:extLst>
            <a:ext uri="{FF2B5EF4-FFF2-40B4-BE49-F238E27FC236}">
              <a16:creationId xmlns:a16="http://schemas.microsoft.com/office/drawing/2014/main" id="{00000000-0008-0000-1200-000067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6" name="Straight Arrow Connector 4455">
          <a:extLst>
            <a:ext uri="{FF2B5EF4-FFF2-40B4-BE49-F238E27FC236}">
              <a16:creationId xmlns:a16="http://schemas.microsoft.com/office/drawing/2014/main" id="{00000000-0008-0000-1200-000068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7" name="Straight Arrow Connector 4456">
          <a:extLst>
            <a:ext uri="{FF2B5EF4-FFF2-40B4-BE49-F238E27FC236}">
              <a16:creationId xmlns:a16="http://schemas.microsoft.com/office/drawing/2014/main" id="{00000000-0008-0000-1200-000069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8" name="Straight Arrow Connector 4457">
          <a:extLst>
            <a:ext uri="{FF2B5EF4-FFF2-40B4-BE49-F238E27FC236}">
              <a16:creationId xmlns:a16="http://schemas.microsoft.com/office/drawing/2014/main" id="{00000000-0008-0000-1200-00006A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59" name="Straight Arrow Connector 4458">
          <a:extLst>
            <a:ext uri="{FF2B5EF4-FFF2-40B4-BE49-F238E27FC236}">
              <a16:creationId xmlns:a16="http://schemas.microsoft.com/office/drawing/2014/main" id="{00000000-0008-0000-1200-00006B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60" name="Straight Arrow Connector 4459">
          <a:extLst>
            <a:ext uri="{FF2B5EF4-FFF2-40B4-BE49-F238E27FC236}">
              <a16:creationId xmlns:a16="http://schemas.microsoft.com/office/drawing/2014/main" id="{00000000-0008-0000-1200-00006C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61" name="Straight Arrow Connector 4460">
          <a:extLst>
            <a:ext uri="{FF2B5EF4-FFF2-40B4-BE49-F238E27FC236}">
              <a16:creationId xmlns:a16="http://schemas.microsoft.com/office/drawing/2014/main" id="{00000000-0008-0000-1200-00006D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62" name="Straight Arrow Connector 4461">
          <a:extLst>
            <a:ext uri="{FF2B5EF4-FFF2-40B4-BE49-F238E27FC236}">
              <a16:creationId xmlns:a16="http://schemas.microsoft.com/office/drawing/2014/main" id="{00000000-0008-0000-1200-00006E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63" name="Straight Arrow Connector 4462">
          <a:extLst>
            <a:ext uri="{FF2B5EF4-FFF2-40B4-BE49-F238E27FC236}">
              <a16:creationId xmlns:a16="http://schemas.microsoft.com/office/drawing/2014/main" id="{00000000-0008-0000-1200-00006F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64" name="Straight Arrow Connector 4463">
          <a:extLst>
            <a:ext uri="{FF2B5EF4-FFF2-40B4-BE49-F238E27FC236}">
              <a16:creationId xmlns:a16="http://schemas.microsoft.com/office/drawing/2014/main" id="{00000000-0008-0000-1200-000070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65" name="Straight Arrow Connector 4464">
          <a:extLst>
            <a:ext uri="{FF2B5EF4-FFF2-40B4-BE49-F238E27FC236}">
              <a16:creationId xmlns:a16="http://schemas.microsoft.com/office/drawing/2014/main" id="{00000000-0008-0000-1200-000071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66" name="Straight Arrow Connector 4465">
          <a:extLst>
            <a:ext uri="{FF2B5EF4-FFF2-40B4-BE49-F238E27FC236}">
              <a16:creationId xmlns:a16="http://schemas.microsoft.com/office/drawing/2014/main" id="{00000000-0008-0000-1200-000072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67" name="Straight Arrow Connector 4466">
          <a:extLst>
            <a:ext uri="{FF2B5EF4-FFF2-40B4-BE49-F238E27FC236}">
              <a16:creationId xmlns:a16="http://schemas.microsoft.com/office/drawing/2014/main" id="{00000000-0008-0000-1200-000073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68" name="Straight Arrow Connector 4467">
          <a:extLst>
            <a:ext uri="{FF2B5EF4-FFF2-40B4-BE49-F238E27FC236}">
              <a16:creationId xmlns:a16="http://schemas.microsoft.com/office/drawing/2014/main" id="{00000000-0008-0000-1200-000074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69" name="Straight Arrow Connector 4468">
          <a:extLst>
            <a:ext uri="{FF2B5EF4-FFF2-40B4-BE49-F238E27FC236}">
              <a16:creationId xmlns:a16="http://schemas.microsoft.com/office/drawing/2014/main" id="{00000000-0008-0000-1200-000075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0" name="Straight Arrow Connector 4469">
          <a:extLst>
            <a:ext uri="{FF2B5EF4-FFF2-40B4-BE49-F238E27FC236}">
              <a16:creationId xmlns:a16="http://schemas.microsoft.com/office/drawing/2014/main" id="{00000000-0008-0000-1200-000076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71" name="Straight Arrow Connector 4470">
          <a:extLst>
            <a:ext uri="{FF2B5EF4-FFF2-40B4-BE49-F238E27FC236}">
              <a16:creationId xmlns:a16="http://schemas.microsoft.com/office/drawing/2014/main" id="{00000000-0008-0000-1200-000077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2" name="Straight Arrow Connector 4471">
          <a:extLst>
            <a:ext uri="{FF2B5EF4-FFF2-40B4-BE49-F238E27FC236}">
              <a16:creationId xmlns:a16="http://schemas.microsoft.com/office/drawing/2014/main" id="{00000000-0008-0000-1200-000078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73" name="Straight Arrow Connector 4472">
          <a:extLst>
            <a:ext uri="{FF2B5EF4-FFF2-40B4-BE49-F238E27FC236}">
              <a16:creationId xmlns:a16="http://schemas.microsoft.com/office/drawing/2014/main" id="{00000000-0008-0000-1200-000079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4" name="Straight Arrow Connector 4473">
          <a:extLst>
            <a:ext uri="{FF2B5EF4-FFF2-40B4-BE49-F238E27FC236}">
              <a16:creationId xmlns:a16="http://schemas.microsoft.com/office/drawing/2014/main" id="{00000000-0008-0000-1200-00007A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75" name="Straight Arrow Connector 4474">
          <a:extLst>
            <a:ext uri="{FF2B5EF4-FFF2-40B4-BE49-F238E27FC236}">
              <a16:creationId xmlns:a16="http://schemas.microsoft.com/office/drawing/2014/main" id="{00000000-0008-0000-1200-00007B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6" name="Straight Arrow Connector 4475">
          <a:extLst>
            <a:ext uri="{FF2B5EF4-FFF2-40B4-BE49-F238E27FC236}">
              <a16:creationId xmlns:a16="http://schemas.microsoft.com/office/drawing/2014/main" id="{00000000-0008-0000-1200-00007C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1551</xdr:row>
      <xdr:rowOff>31750</xdr:rowOff>
    </xdr:from>
    <xdr:to>
      <xdr:col>16</xdr:col>
      <xdr:colOff>42334</xdr:colOff>
      <xdr:row>1558</xdr:row>
      <xdr:rowOff>63501</xdr:rowOff>
    </xdr:to>
    <xdr:cxnSp macro="">
      <xdr:nvCxnSpPr>
        <xdr:cNvPr id="4477" name="Straight Arrow Connector 4476">
          <a:extLst>
            <a:ext uri="{FF2B5EF4-FFF2-40B4-BE49-F238E27FC236}">
              <a16:creationId xmlns:a16="http://schemas.microsoft.com/office/drawing/2014/main" id="{00000000-0008-0000-1200-00007D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78" name="Straight Arrow Connector 4477">
          <a:extLst>
            <a:ext uri="{FF2B5EF4-FFF2-40B4-BE49-F238E27FC236}">
              <a16:creationId xmlns:a16="http://schemas.microsoft.com/office/drawing/2014/main" id="{00000000-0008-0000-1200-00007E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79" name="Straight Arrow Connector 4478">
          <a:extLst>
            <a:ext uri="{FF2B5EF4-FFF2-40B4-BE49-F238E27FC236}">
              <a16:creationId xmlns:a16="http://schemas.microsoft.com/office/drawing/2014/main" id="{00000000-0008-0000-1200-00007F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80" name="Straight Arrow Connector 4479">
          <a:extLst>
            <a:ext uri="{FF2B5EF4-FFF2-40B4-BE49-F238E27FC236}">
              <a16:creationId xmlns:a16="http://schemas.microsoft.com/office/drawing/2014/main" id="{00000000-0008-0000-1200-000080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1551</xdr:row>
      <xdr:rowOff>31750</xdr:rowOff>
    </xdr:from>
    <xdr:to>
      <xdr:col>16</xdr:col>
      <xdr:colOff>42334</xdr:colOff>
      <xdr:row>1558</xdr:row>
      <xdr:rowOff>63501</xdr:rowOff>
    </xdr:to>
    <xdr:cxnSp macro="">
      <xdr:nvCxnSpPr>
        <xdr:cNvPr id="4481" name="Straight Arrow Connector 4480">
          <a:extLst>
            <a:ext uri="{FF2B5EF4-FFF2-40B4-BE49-F238E27FC236}">
              <a16:creationId xmlns:a16="http://schemas.microsoft.com/office/drawing/2014/main" id="{00000000-0008-0000-1200-000081110000}"/>
            </a:ext>
          </a:extLst>
        </xdr:cNvPr>
        <xdr:cNvCxnSpPr/>
      </xdr:nvCxnSpPr>
      <xdr:spPr>
        <a:xfrm>
          <a:off x="11281833" y="288829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1564</xdr:row>
      <xdr:rowOff>31750</xdr:rowOff>
    </xdr:from>
    <xdr:to>
      <xdr:col>16</xdr:col>
      <xdr:colOff>21167</xdr:colOff>
      <xdr:row>1571</xdr:row>
      <xdr:rowOff>95250</xdr:rowOff>
    </xdr:to>
    <xdr:cxnSp macro="">
      <xdr:nvCxnSpPr>
        <xdr:cNvPr id="4482" name="Straight Arrow Connector 4481">
          <a:extLst>
            <a:ext uri="{FF2B5EF4-FFF2-40B4-BE49-F238E27FC236}">
              <a16:creationId xmlns:a16="http://schemas.microsoft.com/office/drawing/2014/main" id="{00000000-0008-0000-1200-000082110000}"/>
            </a:ext>
          </a:extLst>
        </xdr:cNvPr>
        <xdr:cNvCxnSpPr/>
      </xdr:nvCxnSpPr>
      <xdr:spPr>
        <a:xfrm>
          <a:off x="11324166" y="291496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83" name="Straight Arrow Connector 4482">
          <a:extLst>
            <a:ext uri="{FF2B5EF4-FFF2-40B4-BE49-F238E27FC236}">
              <a16:creationId xmlns:a16="http://schemas.microsoft.com/office/drawing/2014/main" id="{00000000-0008-0000-1200-000083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1577</xdr:row>
      <xdr:rowOff>31750</xdr:rowOff>
    </xdr:from>
    <xdr:to>
      <xdr:col>16</xdr:col>
      <xdr:colOff>42334</xdr:colOff>
      <xdr:row>1584</xdr:row>
      <xdr:rowOff>63501</xdr:rowOff>
    </xdr:to>
    <xdr:cxnSp macro="">
      <xdr:nvCxnSpPr>
        <xdr:cNvPr id="4484" name="Straight Arrow Connector 4483">
          <a:extLst>
            <a:ext uri="{FF2B5EF4-FFF2-40B4-BE49-F238E27FC236}">
              <a16:creationId xmlns:a16="http://schemas.microsoft.com/office/drawing/2014/main" id="{00000000-0008-0000-1200-000084110000}"/>
            </a:ext>
          </a:extLst>
        </xdr:cNvPr>
        <xdr:cNvCxnSpPr/>
      </xdr:nvCxnSpPr>
      <xdr:spPr>
        <a:xfrm>
          <a:off x="11281833" y="293973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5" name="Straight Arrow Connector 4484">
          <a:extLst>
            <a:ext uri="{FF2B5EF4-FFF2-40B4-BE49-F238E27FC236}">
              <a16:creationId xmlns:a16="http://schemas.microsoft.com/office/drawing/2014/main" id="{00000000-0008-0000-1200-000085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6" name="Straight Arrow Connector 4485">
          <a:extLst>
            <a:ext uri="{FF2B5EF4-FFF2-40B4-BE49-F238E27FC236}">
              <a16:creationId xmlns:a16="http://schemas.microsoft.com/office/drawing/2014/main" id="{00000000-0008-0000-1200-000086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7" name="Straight Arrow Connector 4486">
          <a:extLst>
            <a:ext uri="{FF2B5EF4-FFF2-40B4-BE49-F238E27FC236}">
              <a16:creationId xmlns:a16="http://schemas.microsoft.com/office/drawing/2014/main" id="{00000000-0008-0000-1200-000087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8" name="Straight Arrow Connector 4487">
          <a:extLst>
            <a:ext uri="{FF2B5EF4-FFF2-40B4-BE49-F238E27FC236}">
              <a16:creationId xmlns:a16="http://schemas.microsoft.com/office/drawing/2014/main" id="{00000000-0008-0000-1200-000088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89" name="Straight Arrow Connector 4488">
          <a:extLst>
            <a:ext uri="{FF2B5EF4-FFF2-40B4-BE49-F238E27FC236}">
              <a16:creationId xmlns:a16="http://schemas.microsoft.com/office/drawing/2014/main" id="{00000000-0008-0000-1200-000089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0" name="Straight Arrow Connector 4489">
          <a:extLst>
            <a:ext uri="{FF2B5EF4-FFF2-40B4-BE49-F238E27FC236}">
              <a16:creationId xmlns:a16="http://schemas.microsoft.com/office/drawing/2014/main" id="{00000000-0008-0000-1200-00008A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1" name="Straight Arrow Connector 4490">
          <a:extLst>
            <a:ext uri="{FF2B5EF4-FFF2-40B4-BE49-F238E27FC236}">
              <a16:creationId xmlns:a16="http://schemas.microsoft.com/office/drawing/2014/main" id="{00000000-0008-0000-1200-00008B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2" name="Straight Arrow Connector 4491">
          <a:extLst>
            <a:ext uri="{FF2B5EF4-FFF2-40B4-BE49-F238E27FC236}">
              <a16:creationId xmlns:a16="http://schemas.microsoft.com/office/drawing/2014/main" id="{00000000-0008-0000-1200-00008C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493" name="Straight Arrow Connector 4492">
          <a:extLst>
            <a:ext uri="{FF2B5EF4-FFF2-40B4-BE49-F238E27FC236}">
              <a16:creationId xmlns:a16="http://schemas.microsoft.com/office/drawing/2014/main" id="{00000000-0008-0000-1200-00008D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4" name="Straight Arrow Connector 4493">
          <a:extLst>
            <a:ext uri="{FF2B5EF4-FFF2-40B4-BE49-F238E27FC236}">
              <a16:creationId xmlns:a16="http://schemas.microsoft.com/office/drawing/2014/main" id="{00000000-0008-0000-1200-00008E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495" name="Straight Arrow Connector 4494">
          <a:extLst>
            <a:ext uri="{FF2B5EF4-FFF2-40B4-BE49-F238E27FC236}">
              <a16:creationId xmlns:a16="http://schemas.microsoft.com/office/drawing/2014/main" id="{00000000-0008-0000-1200-00008F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6" name="Straight Arrow Connector 4495">
          <a:extLst>
            <a:ext uri="{FF2B5EF4-FFF2-40B4-BE49-F238E27FC236}">
              <a16:creationId xmlns:a16="http://schemas.microsoft.com/office/drawing/2014/main" id="{00000000-0008-0000-1200-000090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497" name="Straight Arrow Connector 4496">
          <a:extLst>
            <a:ext uri="{FF2B5EF4-FFF2-40B4-BE49-F238E27FC236}">
              <a16:creationId xmlns:a16="http://schemas.microsoft.com/office/drawing/2014/main" id="{00000000-0008-0000-1200-000091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498" name="Straight Arrow Connector 4497">
          <a:extLst>
            <a:ext uri="{FF2B5EF4-FFF2-40B4-BE49-F238E27FC236}">
              <a16:creationId xmlns:a16="http://schemas.microsoft.com/office/drawing/2014/main" id="{00000000-0008-0000-1200-000092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499" name="Straight Arrow Connector 4498">
          <a:extLst>
            <a:ext uri="{FF2B5EF4-FFF2-40B4-BE49-F238E27FC236}">
              <a16:creationId xmlns:a16="http://schemas.microsoft.com/office/drawing/2014/main" id="{00000000-0008-0000-1200-000093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0" name="Straight Arrow Connector 4499">
          <a:extLst>
            <a:ext uri="{FF2B5EF4-FFF2-40B4-BE49-F238E27FC236}">
              <a16:creationId xmlns:a16="http://schemas.microsoft.com/office/drawing/2014/main" id="{00000000-0008-0000-1200-000094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1" name="Straight Arrow Connector 4500">
          <a:extLst>
            <a:ext uri="{FF2B5EF4-FFF2-40B4-BE49-F238E27FC236}">
              <a16:creationId xmlns:a16="http://schemas.microsoft.com/office/drawing/2014/main" id="{00000000-0008-0000-1200-000095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2" name="Straight Arrow Connector 4501">
          <a:extLst>
            <a:ext uri="{FF2B5EF4-FFF2-40B4-BE49-F238E27FC236}">
              <a16:creationId xmlns:a16="http://schemas.microsoft.com/office/drawing/2014/main" id="{00000000-0008-0000-1200-000096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03" name="Straight Arrow Connector 4502">
          <a:extLst>
            <a:ext uri="{FF2B5EF4-FFF2-40B4-BE49-F238E27FC236}">
              <a16:creationId xmlns:a16="http://schemas.microsoft.com/office/drawing/2014/main" id="{00000000-0008-0000-1200-000097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4" name="Straight Arrow Connector 4503">
          <a:extLst>
            <a:ext uri="{FF2B5EF4-FFF2-40B4-BE49-F238E27FC236}">
              <a16:creationId xmlns:a16="http://schemas.microsoft.com/office/drawing/2014/main" id="{00000000-0008-0000-1200-000098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05" name="Straight Arrow Connector 4504">
          <a:extLst>
            <a:ext uri="{FF2B5EF4-FFF2-40B4-BE49-F238E27FC236}">
              <a16:creationId xmlns:a16="http://schemas.microsoft.com/office/drawing/2014/main" id="{00000000-0008-0000-1200-000099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6" name="Straight Arrow Connector 4505">
          <a:extLst>
            <a:ext uri="{FF2B5EF4-FFF2-40B4-BE49-F238E27FC236}">
              <a16:creationId xmlns:a16="http://schemas.microsoft.com/office/drawing/2014/main" id="{00000000-0008-0000-1200-00009A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07" name="Straight Arrow Connector 4506">
          <a:extLst>
            <a:ext uri="{FF2B5EF4-FFF2-40B4-BE49-F238E27FC236}">
              <a16:creationId xmlns:a16="http://schemas.microsoft.com/office/drawing/2014/main" id="{00000000-0008-0000-1200-00009B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08" name="Straight Arrow Connector 4507">
          <a:extLst>
            <a:ext uri="{FF2B5EF4-FFF2-40B4-BE49-F238E27FC236}">
              <a16:creationId xmlns:a16="http://schemas.microsoft.com/office/drawing/2014/main" id="{00000000-0008-0000-1200-00009C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09" name="Straight Arrow Connector 4508">
          <a:extLst>
            <a:ext uri="{FF2B5EF4-FFF2-40B4-BE49-F238E27FC236}">
              <a16:creationId xmlns:a16="http://schemas.microsoft.com/office/drawing/2014/main" id="{00000000-0008-0000-1200-00009D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10" name="Straight Arrow Connector 4509">
          <a:extLst>
            <a:ext uri="{FF2B5EF4-FFF2-40B4-BE49-F238E27FC236}">
              <a16:creationId xmlns:a16="http://schemas.microsoft.com/office/drawing/2014/main" id="{00000000-0008-0000-1200-00009E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1" name="Straight Arrow Connector 4510">
          <a:extLst>
            <a:ext uri="{FF2B5EF4-FFF2-40B4-BE49-F238E27FC236}">
              <a16:creationId xmlns:a16="http://schemas.microsoft.com/office/drawing/2014/main" id="{00000000-0008-0000-1200-00009F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12" name="Straight Arrow Connector 4511">
          <a:extLst>
            <a:ext uri="{FF2B5EF4-FFF2-40B4-BE49-F238E27FC236}">
              <a16:creationId xmlns:a16="http://schemas.microsoft.com/office/drawing/2014/main" id="{00000000-0008-0000-1200-0000A0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3" name="Straight Arrow Connector 4512">
          <a:extLst>
            <a:ext uri="{FF2B5EF4-FFF2-40B4-BE49-F238E27FC236}">
              <a16:creationId xmlns:a16="http://schemas.microsoft.com/office/drawing/2014/main" id="{00000000-0008-0000-1200-0000A1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14" name="Straight Arrow Connector 4513">
          <a:extLst>
            <a:ext uri="{FF2B5EF4-FFF2-40B4-BE49-F238E27FC236}">
              <a16:creationId xmlns:a16="http://schemas.microsoft.com/office/drawing/2014/main" id="{00000000-0008-0000-1200-0000A2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5" name="Straight Arrow Connector 4514">
          <a:extLst>
            <a:ext uri="{FF2B5EF4-FFF2-40B4-BE49-F238E27FC236}">
              <a16:creationId xmlns:a16="http://schemas.microsoft.com/office/drawing/2014/main" id="{00000000-0008-0000-1200-0000A3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16" name="Straight Arrow Connector 4515">
          <a:extLst>
            <a:ext uri="{FF2B5EF4-FFF2-40B4-BE49-F238E27FC236}">
              <a16:creationId xmlns:a16="http://schemas.microsoft.com/office/drawing/2014/main" id="{00000000-0008-0000-1200-0000A4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7" name="Straight Arrow Connector 4516">
          <a:extLst>
            <a:ext uri="{FF2B5EF4-FFF2-40B4-BE49-F238E27FC236}">
              <a16:creationId xmlns:a16="http://schemas.microsoft.com/office/drawing/2014/main" id="{00000000-0008-0000-1200-0000A5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18" name="Straight Arrow Connector 4517">
          <a:extLst>
            <a:ext uri="{FF2B5EF4-FFF2-40B4-BE49-F238E27FC236}">
              <a16:creationId xmlns:a16="http://schemas.microsoft.com/office/drawing/2014/main" id="{00000000-0008-0000-1200-0000A6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19" name="Straight Arrow Connector 4518">
          <a:extLst>
            <a:ext uri="{FF2B5EF4-FFF2-40B4-BE49-F238E27FC236}">
              <a16:creationId xmlns:a16="http://schemas.microsoft.com/office/drawing/2014/main" id="{00000000-0008-0000-1200-0000A7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0" name="Straight Arrow Connector 4519">
          <a:extLst>
            <a:ext uri="{FF2B5EF4-FFF2-40B4-BE49-F238E27FC236}">
              <a16:creationId xmlns:a16="http://schemas.microsoft.com/office/drawing/2014/main" id="{00000000-0008-0000-1200-0000A8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21" name="Straight Arrow Connector 4520">
          <a:extLst>
            <a:ext uri="{FF2B5EF4-FFF2-40B4-BE49-F238E27FC236}">
              <a16:creationId xmlns:a16="http://schemas.microsoft.com/office/drawing/2014/main" id="{00000000-0008-0000-1200-0000A9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2" name="Straight Arrow Connector 4521">
          <a:extLst>
            <a:ext uri="{FF2B5EF4-FFF2-40B4-BE49-F238E27FC236}">
              <a16:creationId xmlns:a16="http://schemas.microsoft.com/office/drawing/2014/main" id="{00000000-0008-0000-1200-0000AA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23" name="Straight Arrow Connector 4522">
          <a:extLst>
            <a:ext uri="{FF2B5EF4-FFF2-40B4-BE49-F238E27FC236}">
              <a16:creationId xmlns:a16="http://schemas.microsoft.com/office/drawing/2014/main" id="{00000000-0008-0000-1200-0000AB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4" name="Straight Arrow Connector 4523">
          <a:extLst>
            <a:ext uri="{FF2B5EF4-FFF2-40B4-BE49-F238E27FC236}">
              <a16:creationId xmlns:a16="http://schemas.microsoft.com/office/drawing/2014/main" id="{00000000-0008-0000-1200-0000AC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25" name="Straight Arrow Connector 4524">
          <a:extLst>
            <a:ext uri="{FF2B5EF4-FFF2-40B4-BE49-F238E27FC236}">
              <a16:creationId xmlns:a16="http://schemas.microsoft.com/office/drawing/2014/main" id="{00000000-0008-0000-1200-0000AD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6" name="Straight Arrow Connector 4525">
          <a:extLst>
            <a:ext uri="{FF2B5EF4-FFF2-40B4-BE49-F238E27FC236}">
              <a16:creationId xmlns:a16="http://schemas.microsoft.com/office/drawing/2014/main" id="{00000000-0008-0000-1200-0000AE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7" name="Straight Arrow Connector 4526">
          <a:extLst>
            <a:ext uri="{FF2B5EF4-FFF2-40B4-BE49-F238E27FC236}">
              <a16:creationId xmlns:a16="http://schemas.microsoft.com/office/drawing/2014/main" id="{00000000-0008-0000-1200-0000AF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28" name="Straight Arrow Connector 4527">
          <a:extLst>
            <a:ext uri="{FF2B5EF4-FFF2-40B4-BE49-F238E27FC236}">
              <a16:creationId xmlns:a16="http://schemas.microsoft.com/office/drawing/2014/main" id="{00000000-0008-0000-1200-0000B0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29" name="Straight Arrow Connector 4528">
          <a:extLst>
            <a:ext uri="{FF2B5EF4-FFF2-40B4-BE49-F238E27FC236}">
              <a16:creationId xmlns:a16="http://schemas.microsoft.com/office/drawing/2014/main" id="{00000000-0008-0000-1200-0000B1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0" name="Straight Arrow Connector 4529">
          <a:extLst>
            <a:ext uri="{FF2B5EF4-FFF2-40B4-BE49-F238E27FC236}">
              <a16:creationId xmlns:a16="http://schemas.microsoft.com/office/drawing/2014/main" id="{00000000-0008-0000-1200-0000B2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31" name="Straight Arrow Connector 4530">
          <a:extLst>
            <a:ext uri="{FF2B5EF4-FFF2-40B4-BE49-F238E27FC236}">
              <a16:creationId xmlns:a16="http://schemas.microsoft.com/office/drawing/2014/main" id="{00000000-0008-0000-1200-0000B3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2" name="Straight Arrow Connector 4531">
          <a:extLst>
            <a:ext uri="{FF2B5EF4-FFF2-40B4-BE49-F238E27FC236}">
              <a16:creationId xmlns:a16="http://schemas.microsoft.com/office/drawing/2014/main" id="{00000000-0008-0000-1200-0000B4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33" name="Straight Arrow Connector 4532">
          <a:extLst>
            <a:ext uri="{FF2B5EF4-FFF2-40B4-BE49-F238E27FC236}">
              <a16:creationId xmlns:a16="http://schemas.microsoft.com/office/drawing/2014/main" id="{00000000-0008-0000-1200-0000B5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4" name="Straight Arrow Connector 4533">
          <a:extLst>
            <a:ext uri="{FF2B5EF4-FFF2-40B4-BE49-F238E27FC236}">
              <a16:creationId xmlns:a16="http://schemas.microsoft.com/office/drawing/2014/main" id="{00000000-0008-0000-1200-0000B6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35" name="Straight Arrow Connector 4534">
          <a:extLst>
            <a:ext uri="{FF2B5EF4-FFF2-40B4-BE49-F238E27FC236}">
              <a16:creationId xmlns:a16="http://schemas.microsoft.com/office/drawing/2014/main" id="{00000000-0008-0000-1200-0000B7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36" name="Straight Arrow Connector 4535">
          <a:extLst>
            <a:ext uri="{FF2B5EF4-FFF2-40B4-BE49-F238E27FC236}">
              <a16:creationId xmlns:a16="http://schemas.microsoft.com/office/drawing/2014/main" id="{00000000-0008-0000-1200-0000B8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7" name="Straight Arrow Connector 4536">
          <a:extLst>
            <a:ext uri="{FF2B5EF4-FFF2-40B4-BE49-F238E27FC236}">
              <a16:creationId xmlns:a16="http://schemas.microsoft.com/office/drawing/2014/main" id="{00000000-0008-0000-1200-0000B9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8" name="Straight Arrow Connector 4537">
          <a:extLst>
            <a:ext uri="{FF2B5EF4-FFF2-40B4-BE49-F238E27FC236}">
              <a16:creationId xmlns:a16="http://schemas.microsoft.com/office/drawing/2014/main" id="{00000000-0008-0000-1200-0000BA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39" name="Straight Arrow Connector 4538">
          <a:extLst>
            <a:ext uri="{FF2B5EF4-FFF2-40B4-BE49-F238E27FC236}">
              <a16:creationId xmlns:a16="http://schemas.microsoft.com/office/drawing/2014/main" id="{00000000-0008-0000-1200-0000BB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0" name="Straight Arrow Connector 4539">
          <a:extLst>
            <a:ext uri="{FF2B5EF4-FFF2-40B4-BE49-F238E27FC236}">
              <a16:creationId xmlns:a16="http://schemas.microsoft.com/office/drawing/2014/main" id="{00000000-0008-0000-1200-0000BC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1" name="Straight Arrow Connector 4540">
          <a:extLst>
            <a:ext uri="{FF2B5EF4-FFF2-40B4-BE49-F238E27FC236}">
              <a16:creationId xmlns:a16="http://schemas.microsoft.com/office/drawing/2014/main" id="{00000000-0008-0000-1200-0000BD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2" name="Straight Arrow Connector 4541">
          <a:extLst>
            <a:ext uri="{FF2B5EF4-FFF2-40B4-BE49-F238E27FC236}">
              <a16:creationId xmlns:a16="http://schemas.microsoft.com/office/drawing/2014/main" id="{00000000-0008-0000-1200-0000BE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3" name="Straight Arrow Connector 4542">
          <a:extLst>
            <a:ext uri="{FF2B5EF4-FFF2-40B4-BE49-F238E27FC236}">
              <a16:creationId xmlns:a16="http://schemas.microsoft.com/office/drawing/2014/main" id="{00000000-0008-0000-1200-0000BF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44" name="Straight Arrow Connector 4543">
          <a:extLst>
            <a:ext uri="{FF2B5EF4-FFF2-40B4-BE49-F238E27FC236}">
              <a16:creationId xmlns:a16="http://schemas.microsoft.com/office/drawing/2014/main" id="{00000000-0008-0000-1200-0000C0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5" name="Straight Arrow Connector 4544">
          <a:extLst>
            <a:ext uri="{FF2B5EF4-FFF2-40B4-BE49-F238E27FC236}">
              <a16:creationId xmlns:a16="http://schemas.microsoft.com/office/drawing/2014/main" id="{00000000-0008-0000-1200-0000C1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46" name="Straight Arrow Connector 4545">
          <a:extLst>
            <a:ext uri="{FF2B5EF4-FFF2-40B4-BE49-F238E27FC236}">
              <a16:creationId xmlns:a16="http://schemas.microsoft.com/office/drawing/2014/main" id="{00000000-0008-0000-1200-0000C2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7" name="Straight Arrow Connector 4546">
          <a:extLst>
            <a:ext uri="{FF2B5EF4-FFF2-40B4-BE49-F238E27FC236}">
              <a16:creationId xmlns:a16="http://schemas.microsoft.com/office/drawing/2014/main" id="{00000000-0008-0000-1200-0000C3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48" name="Straight Arrow Connector 4547">
          <a:extLst>
            <a:ext uri="{FF2B5EF4-FFF2-40B4-BE49-F238E27FC236}">
              <a16:creationId xmlns:a16="http://schemas.microsoft.com/office/drawing/2014/main" id="{00000000-0008-0000-1200-0000C4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49" name="Straight Arrow Connector 4548">
          <a:extLst>
            <a:ext uri="{FF2B5EF4-FFF2-40B4-BE49-F238E27FC236}">
              <a16:creationId xmlns:a16="http://schemas.microsoft.com/office/drawing/2014/main" id="{00000000-0008-0000-1200-0000C5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50" name="Straight Arrow Connector 4549">
          <a:extLst>
            <a:ext uri="{FF2B5EF4-FFF2-40B4-BE49-F238E27FC236}">
              <a16:creationId xmlns:a16="http://schemas.microsoft.com/office/drawing/2014/main" id="{00000000-0008-0000-1200-0000C6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51" name="Straight Arrow Connector 4550">
          <a:extLst>
            <a:ext uri="{FF2B5EF4-FFF2-40B4-BE49-F238E27FC236}">
              <a16:creationId xmlns:a16="http://schemas.microsoft.com/office/drawing/2014/main" id="{00000000-0008-0000-1200-0000C7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52" name="Straight Arrow Connector 4551">
          <a:extLst>
            <a:ext uri="{FF2B5EF4-FFF2-40B4-BE49-F238E27FC236}">
              <a16:creationId xmlns:a16="http://schemas.microsoft.com/office/drawing/2014/main" id="{00000000-0008-0000-1200-0000C8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53" name="Straight Arrow Connector 4552">
          <a:extLst>
            <a:ext uri="{FF2B5EF4-FFF2-40B4-BE49-F238E27FC236}">
              <a16:creationId xmlns:a16="http://schemas.microsoft.com/office/drawing/2014/main" id="{00000000-0008-0000-1200-0000C9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54" name="Straight Arrow Connector 4553">
          <a:extLst>
            <a:ext uri="{FF2B5EF4-FFF2-40B4-BE49-F238E27FC236}">
              <a16:creationId xmlns:a16="http://schemas.microsoft.com/office/drawing/2014/main" id="{00000000-0008-0000-1200-0000CA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55" name="Straight Arrow Connector 4554">
          <a:extLst>
            <a:ext uri="{FF2B5EF4-FFF2-40B4-BE49-F238E27FC236}">
              <a16:creationId xmlns:a16="http://schemas.microsoft.com/office/drawing/2014/main" id="{00000000-0008-0000-1200-0000CB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56" name="Straight Arrow Connector 4555">
          <a:extLst>
            <a:ext uri="{FF2B5EF4-FFF2-40B4-BE49-F238E27FC236}">
              <a16:creationId xmlns:a16="http://schemas.microsoft.com/office/drawing/2014/main" id="{00000000-0008-0000-1200-0000CC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57" name="Straight Arrow Connector 4556">
          <a:extLst>
            <a:ext uri="{FF2B5EF4-FFF2-40B4-BE49-F238E27FC236}">
              <a16:creationId xmlns:a16="http://schemas.microsoft.com/office/drawing/2014/main" id="{00000000-0008-0000-1200-0000CD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58" name="Straight Arrow Connector 4557">
          <a:extLst>
            <a:ext uri="{FF2B5EF4-FFF2-40B4-BE49-F238E27FC236}">
              <a16:creationId xmlns:a16="http://schemas.microsoft.com/office/drawing/2014/main" id="{00000000-0008-0000-1200-0000CE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59" name="Straight Arrow Connector 4558">
          <a:extLst>
            <a:ext uri="{FF2B5EF4-FFF2-40B4-BE49-F238E27FC236}">
              <a16:creationId xmlns:a16="http://schemas.microsoft.com/office/drawing/2014/main" id="{00000000-0008-0000-1200-0000CF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1607</xdr:row>
      <xdr:rowOff>31750</xdr:rowOff>
    </xdr:from>
    <xdr:to>
      <xdr:col>16</xdr:col>
      <xdr:colOff>42334</xdr:colOff>
      <xdr:row>1614</xdr:row>
      <xdr:rowOff>63501</xdr:rowOff>
    </xdr:to>
    <xdr:cxnSp macro="">
      <xdr:nvCxnSpPr>
        <xdr:cNvPr id="4560" name="Straight Arrow Connector 4559">
          <a:extLst>
            <a:ext uri="{FF2B5EF4-FFF2-40B4-BE49-F238E27FC236}">
              <a16:creationId xmlns:a16="http://schemas.microsoft.com/office/drawing/2014/main" id="{00000000-0008-0000-1200-0000D0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61" name="Straight Arrow Connector 4560">
          <a:extLst>
            <a:ext uri="{FF2B5EF4-FFF2-40B4-BE49-F238E27FC236}">
              <a16:creationId xmlns:a16="http://schemas.microsoft.com/office/drawing/2014/main" id="{00000000-0008-0000-1200-0000D1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62" name="Straight Arrow Connector 4561">
          <a:extLst>
            <a:ext uri="{FF2B5EF4-FFF2-40B4-BE49-F238E27FC236}">
              <a16:creationId xmlns:a16="http://schemas.microsoft.com/office/drawing/2014/main" id="{00000000-0008-0000-1200-0000D2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63" name="Straight Arrow Connector 4562">
          <a:extLst>
            <a:ext uri="{FF2B5EF4-FFF2-40B4-BE49-F238E27FC236}">
              <a16:creationId xmlns:a16="http://schemas.microsoft.com/office/drawing/2014/main" id="{00000000-0008-0000-1200-0000D3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1607</xdr:row>
      <xdr:rowOff>31750</xdr:rowOff>
    </xdr:from>
    <xdr:to>
      <xdr:col>16</xdr:col>
      <xdr:colOff>42334</xdr:colOff>
      <xdr:row>1614</xdr:row>
      <xdr:rowOff>63501</xdr:rowOff>
    </xdr:to>
    <xdr:cxnSp macro="">
      <xdr:nvCxnSpPr>
        <xdr:cNvPr id="4564" name="Straight Arrow Connector 4563">
          <a:extLst>
            <a:ext uri="{FF2B5EF4-FFF2-40B4-BE49-F238E27FC236}">
              <a16:creationId xmlns:a16="http://schemas.microsoft.com/office/drawing/2014/main" id="{00000000-0008-0000-1200-0000D4110000}"/>
            </a:ext>
          </a:extLst>
        </xdr:cNvPr>
        <xdr:cNvCxnSpPr/>
      </xdr:nvCxnSpPr>
      <xdr:spPr>
        <a:xfrm>
          <a:off x="11281833" y="299688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1620</xdr:row>
      <xdr:rowOff>31750</xdr:rowOff>
    </xdr:from>
    <xdr:to>
      <xdr:col>16</xdr:col>
      <xdr:colOff>21167</xdr:colOff>
      <xdr:row>1627</xdr:row>
      <xdr:rowOff>95250</xdr:rowOff>
    </xdr:to>
    <xdr:cxnSp macro="">
      <xdr:nvCxnSpPr>
        <xdr:cNvPr id="4565" name="Straight Arrow Connector 4564">
          <a:extLst>
            <a:ext uri="{FF2B5EF4-FFF2-40B4-BE49-F238E27FC236}">
              <a16:creationId xmlns:a16="http://schemas.microsoft.com/office/drawing/2014/main" id="{00000000-0008-0000-1200-0000D5110000}"/>
            </a:ext>
          </a:extLst>
        </xdr:cNvPr>
        <xdr:cNvCxnSpPr/>
      </xdr:nvCxnSpPr>
      <xdr:spPr>
        <a:xfrm>
          <a:off x="11324166" y="302355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66" name="Straight Arrow Connector 4565">
          <a:extLst>
            <a:ext uri="{FF2B5EF4-FFF2-40B4-BE49-F238E27FC236}">
              <a16:creationId xmlns:a16="http://schemas.microsoft.com/office/drawing/2014/main" id="{00000000-0008-0000-1200-0000D6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1633</xdr:row>
      <xdr:rowOff>31750</xdr:rowOff>
    </xdr:from>
    <xdr:to>
      <xdr:col>16</xdr:col>
      <xdr:colOff>42334</xdr:colOff>
      <xdr:row>1640</xdr:row>
      <xdr:rowOff>63501</xdr:rowOff>
    </xdr:to>
    <xdr:cxnSp macro="">
      <xdr:nvCxnSpPr>
        <xdr:cNvPr id="4567" name="Straight Arrow Connector 4566">
          <a:extLst>
            <a:ext uri="{FF2B5EF4-FFF2-40B4-BE49-F238E27FC236}">
              <a16:creationId xmlns:a16="http://schemas.microsoft.com/office/drawing/2014/main" id="{00000000-0008-0000-1200-0000D7110000}"/>
            </a:ext>
          </a:extLst>
        </xdr:cNvPr>
        <xdr:cNvCxnSpPr/>
      </xdr:nvCxnSpPr>
      <xdr:spPr>
        <a:xfrm>
          <a:off x="11281833" y="304831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68" name="Straight Arrow Connector 4567">
          <a:extLst>
            <a:ext uri="{FF2B5EF4-FFF2-40B4-BE49-F238E27FC236}">
              <a16:creationId xmlns:a16="http://schemas.microsoft.com/office/drawing/2014/main" id="{00000000-0008-0000-1200-0000D8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69" name="Straight Arrow Connector 4568">
          <a:extLst>
            <a:ext uri="{FF2B5EF4-FFF2-40B4-BE49-F238E27FC236}">
              <a16:creationId xmlns:a16="http://schemas.microsoft.com/office/drawing/2014/main" id="{00000000-0008-0000-1200-0000D9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70" name="Straight Arrow Connector 4569">
          <a:extLst>
            <a:ext uri="{FF2B5EF4-FFF2-40B4-BE49-F238E27FC236}">
              <a16:creationId xmlns:a16="http://schemas.microsoft.com/office/drawing/2014/main" id="{00000000-0008-0000-1200-0000DA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1" name="Straight Arrow Connector 4570">
          <a:extLst>
            <a:ext uri="{FF2B5EF4-FFF2-40B4-BE49-F238E27FC236}">
              <a16:creationId xmlns:a16="http://schemas.microsoft.com/office/drawing/2014/main" id="{00000000-0008-0000-1200-0000DB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72" name="Straight Arrow Connector 4571">
          <a:extLst>
            <a:ext uri="{FF2B5EF4-FFF2-40B4-BE49-F238E27FC236}">
              <a16:creationId xmlns:a16="http://schemas.microsoft.com/office/drawing/2014/main" id="{00000000-0008-0000-1200-0000DC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3" name="Straight Arrow Connector 4572">
          <a:extLst>
            <a:ext uri="{FF2B5EF4-FFF2-40B4-BE49-F238E27FC236}">
              <a16:creationId xmlns:a16="http://schemas.microsoft.com/office/drawing/2014/main" id="{00000000-0008-0000-1200-0000DD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74" name="Straight Arrow Connector 4573">
          <a:extLst>
            <a:ext uri="{FF2B5EF4-FFF2-40B4-BE49-F238E27FC236}">
              <a16:creationId xmlns:a16="http://schemas.microsoft.com/office/drawing/2014/main" id="{00000000-0008-0000-1200-0000DE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5" name="Straight Arrow Connector 4574">
          <a:extLst>
            <a:ext uri="{FF2B5EF4-FFF2-40B4-BE49-F238E27FC236}">
              <a16:creationId xmlns:a16="http://schemas.microsoft.com/office/drawing/2014/main" id="{00000000-0008-0000-1200-0000DF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576" name="Straight Arrow Connector 4575">
          <a:extLst>
            <a:ext uri="{FF2B5EF4-FFF2-40B4-BE49-F238E27FC236}">
              <a16:creationId xmlns:a16="http://schemas.microsoft.com/office/drawing/2014/main" id="{00000000-0008-0000-1200-0000E0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7" name="Straight Arrow Connector 4576">
          <a:extLst>
            <a:ext uri="{FF2B5EF4-FFF2-40B4-BE49-F238E27FC236}">
              <a16:creationId xmlns:a16="http://schemas.microsoft.com/office/drawing/2014/main" id="{00000000-0008-0000-1200-0000E1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78" name="Straight Arrow Connector 4577">
          <a:extLst>
            <a:ext uri="{FF2B5EF4-FFF2-40B4-BE49-F238E27FC236}">
              <a16:creationId xmlns:a16="http://schemas.microsoft.com/office/drawing/2014/main" id="{00000000-0008-0000-1200-0000E2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79" name="Straight Arrow Connector 4578">
          <a:extLst>
            <a:ext uri="{FF2B5EF4-FFF2-40B4-BE49-F238E27FC236}">
              <a16:creationId xmlns:a16="http://schemas.microsoft.com/office/drawing/2014/main" id="{00000000-0008-0000-1200-0000E3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80" name="Straight Arrow Connector 4579">
          <a:extLst>
            <a:ext uri="{FF2B5EF4-FFF2-40B4-BE49-F238E27FC236}">
              <a16:creationId xmlns:a16="http://schemas.microsoft.com/office/drawing/2014/main" id="{00000000-0008-0000-1200-0000E4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1" name="Straight Arrow Connector 4580">
          <a:extLst>
            <a:ext uri="{FF2B5EF4-FFF2-40B4-BE49-F238E27FC236}">
              <a16:creationId xmlns:a16="http://schemas.microsoft.com/office/drawing/2014/main" id="{00000000-0008-0000-1200-0000E5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2" name="Straight Arrow Connector 4581">
          <a:extLst>
            <a:ext uri="{FF2B5EF4-FFF2-40B4-BE49-F238E27FC236}">
              <a16:creationId xmlns:a16="http://schemas.microsoft.com/office/drawing/2014/main" id="{00000000-0008-0000-1200-0000E6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3" name="Straight Arrow Connector 4582">
          <a:extLst>
            <a:ext uri="{FF2B5EF4-FFF2-40B4-BE49-F238E27FC236}">
              <a16:creationId xmlns:a16="http://schemas.microsoft.com/office/drawing/2014/main" id="{00000000-0008-0000-1200-0000E7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84" name="Straight Arrow Connector 4583">
          <a:extLst>
            <a:ext uri="{FF2B5EF4-FFF2-40B4-BE49-F238E27FC236}">
              <a16:creationId xmlns:a16="http://schemas.microsoft.com/office/drawing/2014/main" id="{00000000-0008-0000-1200-0000E8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5" name="Straight Arrow Connector 4584">
          <a:extLst>
            <a:ext uri="{FF2B5EF4-FFF2-40B4-BE49-F238E27FC236}">
              <a16:creationId xmlns:a16="http://schemas.microsoft.com/office/drawing/2014/main" id="{00000000-0008-0000-1200-0000E9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6" name="Straight Arrow Connector 4585">
          <a:extLst>
            <a:ext uri="{FF2B5EF4-FFF2-40B4-BE49-F238E27FC236}">
              <a16:creationId xmlns:a16="http://schemas.microsoft.com/office/drawing/2014/main" id="{00000000-0008-0000-1200-0000EA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7" name="Straight Arrow Connector 4586">
          <a:extLst>
            <a:ext uri="{FF2B5EF4-FFF2-40B4-BE49-F238E27FC236}">
              <a16:creationId xmlns:a16="http://schemas.microsoft.com/office/drawing/2014/main" id="{00000000-0008-0000-1200-0000EB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88" name="Straight Arrow Connector 4587">
          <a:extLst>
            <a:ext uri="{FF2B5EF4-FFF2-40B4-BE49-F238E27FC236}">
              <a16:creationId xmlns:a16="http://schemas.microsoft.com/office/drawing/2014/main" id="{00000000-0008-0000-1200-0000EC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89" name="Straight Arrow Connector 4588">
          <a:extLst>
            <a:ext uri="{FF2B5EF4-FFF2-40B4-BE49-F238E27FC236}">
              <a16:creationId xmlns:a16="http://schemas.microsoft.com/office/drawing/2014/main" id="{00000000-0008-0000-1200-0000ED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0" name="Straight Arrow Connector 4589">
          <a:extLst>
            <a:ext uri="{FF2B5EF4-FFF2-40B4-BE49-F238E27FC236}">
              <a16:creationId xmlns:a16="http://schemas.microsoft.com/office/drawing/2014/main" id="{00000000-0008-0000-1200-0000EE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91" name="Straight Arrow Connector 4590">
          <a:extLst>
            <a:ext uri="{FF2B5EF4-FFF2-40B4-BE49-F238E27FC236}">
              <a16:creationId xmlns:a16="http://schemas.microsoft.com/office/drawing/2014/main" id="{00000000-0008-0000-1200-0000EF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2" name="Straight Arrow Connector 4591">
          <a:extLst>
            <a:ext uri="{FF2B5EF4-FFF2-40B4-BE49-F238E27FC236}">
              <a16:creationId xmlns:a16="http://schemas.microsoft.com/office/drawing/2014/main" id="{00000000-0008-0000-1200-0000F0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93" name="Straight Arrow Connector 4592">
          <a:extLst>
            <a:ext uri="{FF2B5EF4-FFF2-40B4-BE49-F238E27FC236}">
              <a16:creationId xmlns:a16="http://schemas.microsoft.com/office/drawing/2014/main" id="{00000000-0008-0000-1200-0000F1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4" name="Straight Arrow Connector 4593">
          <a:extLst>
            <a:ext uri="{FF2B5EF4-FFF2-40B4-BE49-F238E27FC236}">
              <a16:creationId xmlns:a16="http://schemas.microsoft.com/office/drawing/2014/main" id="{00000000-0008-0000-1200-0000F2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95" name="Straight Arrow Connector 4594">
          <a:extLst>
            <a:ext uri="{FF2B5EF4-FFF2-40B4-BE49-F238E27FC236}">
              <a16:creationId xmlns:a16="http://schemas.microsoft.com/office/drawing/2014/main" id="{00000000-0008-0000-1200-0000F3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6" name="Straight Arrow Connector 4595">
          <a:extLst>
            <a:ext uri="{FF2B5EF4-FFF2-40B4-BE49-F238E27FC236}">
              <a16:creationId xmlns:a16="http://schemas.microsoft.com/office/drawing/2014/main" id="{00000000-0008-0000-1200-0000F4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7" name="Straight Arrow Connector 4596">
          <a:extLst>
            <a:ext uri="{FF2B5EF4-FFF2-40B4-BE49-F238E27FC236}">
              <a16:creationId xmlns:a16="http://schemas.microsoft.com/office/drawing/2014/main" id="{00000000-0008-0000-1200-0000F5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598" name="Straight Arrow Connector 4597">
          <a:extLst>
            <a:ext uri="{FF2B5EF4-FFF2-40B4-BE49-F238E27FC236}">
              <a16:creationId xmlns:a16="http://schemas.microsoft.com/office/drawing/2014/main" id="{00000000-0008-0000-1200-0000F6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599" name="Straight Arrow Connector 4598">
          <a:extLst>
            <a:ext uri="{FF2B5EF4-FFF2-40B4-BE49-F238E27FC236}">
              <a16:creationId xmlns:a16="http://schemas.microsoft.com/office/drawing/2014/main" id="{00000000-0008-0000-1200-0000F7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0" name="Straight Arrow Connector 4599">
          <a:extLst>
            <a:ext uri="{FF2B5EF4-FFF2-40B4-BE49-F238E27FC236}">
              <a16:creationId xmlns:a16="http://schemas.microsoft.com/office/drawing/2014/main" id="{00000000-0008-0000-1200-0000F8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01" name="Straight Arrow Connector 4600">
          <a:extLst>
            <a:ext uri="{FF2B5EF4-FFF2-40B4-BE49-F238E27FC236}">
              <a16:creationId xmlns:a16="http://schemas.microsoft.com/office/drawing/2014/main" id="{00000000-0008-0000-1200-0000F9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2" name="Straight Arrow Connector 4601">
          <a:extLst>
            <a:ext uri="{FF2B5EF4-FFF2-40B4-BE49-F238E27FC236}">
              <a16:creationId xmlns:a16="http://schemas.microsoft.com/office/drawing/2014/main" id="{00000000-0008-0000-1200-0000FA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03" name="Straight Arrow Connector 4602">
          <a:extLst>
            <a:ext uri="{FF2B5EF4-FFF2-40B4-BE49-F238E27FC236}">
              <a16:creationId xmlns:a16="http://schemas.microsoft.com/office/drawing/2014/main" id="{00000000-0008-0000-1200-0000FB11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4" name="Straight Arrow Connector 4603">
          <a:extLst>
            <a:ext uri="{FF2B5EF4-FFF2-40B4-BE49-F238E27FC236}">
              <a16:creationId xmlns:a16="http://schemas.microsoft.com/office/drawing/2014/main" id="{00000000-0008-0000-1200-0000FC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05" name="Straight Arrow Connector 4604">
          <a:extLst>
            <a:ext uri="{FF2B5EF4-FFF2-40B4-BE49-F238E27FC236}">
              <a16:creationId xmlns:a16="http://schemas.microsoft.com/office/drawing/2014/main" id="{00000000-0008-0000-1200-0000FD11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06" name="Straight Arrow Connector 4605">
          <a:extLst>
            <a:ext uri="{FF2B5EF4-FFF2-40B4-BE49-F238E27FC236}">
              <a16:creationId xmlns:a16="http://schemas.microsoft.com/office/drawing/2014/main" id="{00000000-0008-0000-1200-0000FE11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7" name="Straight Arrow Connector 4606">
          <a:extLst>
            <a:ext uri="{FF2B5EF4-FFF2-40B4-BE49-F238E27FC236}">
              <a16:creationId xmlns:a16="http://schemas.microsoft.com/office/drawing/2014/main" id="{00000000-0008-0000-1200-0000FF11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8" name="Straight Arrow Connector 4607">
          <a:extLst>
            <a:ext uri="{FF2B5EF4-FFF2-40B4-BE49-F238E27FC236}">
              <a16:creationId xmlns:a16="http://schemas.microsoft.com/office/drawing/2014/main" id="{00000000-0008-0000-1200-000000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09" name="Straight Arrow Connector 4608">
          <a:extLst>
            <a:ext uri="{FF2B5EF4-FFF2-40B4-BE49-F238E27FC236}">
              <a16:creationId xmlns:a16="http://schemas.microsoft.com/office/drawing/2014/main" id="{00000000-0008-0000-1200-000001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0" name="Straight Arrow Connector 4609">
          <a:extLst>
            <a:ext uri="{FF2B5EF4-FFF2-40B4-BE49-F238E27FC236}">
              <a16:creationId xmlns:a16="http://schemas.microsoft.com/office/drawing/2014/main" id="{00000000-0008-0000-1200-000002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1" name="Straight Arrow Connector 4610">
          <a:extLst>
            <a:ext uri="{FF2B5EF4-FFF2-40B4-BE49-F238E27FC236}">
              <a16:creationId xmlns:a16="http://schemas.microsoft.com/office/drawing/2014/main" id="{00000000-0008-0000-1200-000003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2" name="Straight Arrow Connector 4611">
          <a:extLst>
            <a:ext uri="{FF2B5EF4-FFF2-40B4-BE49-F238E27FC236}">
              <a16:creationId xmlns:a16="http://schemas.microsoft.com/office/drawing/2014/main" id="{00000000-0008-0000-1200-000004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3" name="Straight Arrow Connector 4612">
          <a:extLst>
            <a:ext uri="{FF2B5EF4-FFF2-40B4-BE49-F238E27FC236}">
              <a16:creationId xmlns:a16="http://schemas.microsoft.com/office/drawing/2014/main" id="{00000000-0008-0000-1200-000005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4" name="Straight Arrow Connector 4613">
          <a:extLst>
            <a:ext uri="{FF2B5EF4-FFF2-40B4-BE49-F238E27FC236}">
              <a16:creationId xmlns:a16="http://schemas.microsoft.com/office/drawing/2014/main" id="{00000000-0008-0000-1200-000006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15" name="Straight Arrow Connector 4614">
          <a:extLst>
            <a:ext uri="{FF2B5EF4-FFF2-40B4-BE49-F238E27FC236}">
              <a16:creationId xmlns:a16="http://schemas.microsoft.com/office/drawing/2014/main" id="{00000000-0008-0000-1200-000007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6" name="Straight Arrow Connector 4615">
          <a:extLst>
            <a:ext uri="{FF2B5EF4-FFF2-40B4-BE49-F238E27FC236}">
              <a16:creationId xmlns:a16="http://schemas.microsoft.com/office/drawing/2014/main" id="{00000000-0008-0000-1200-000008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17" name="Straight Arrow Connector 4616">
          <a:extLst>
            <a:ext uri="{FF2B5EF4-FFF2-40B4-BE49-F238E27FC236}">
              <a16:creationId xmlns:a16="http://schemas.microsoft.com/office/drawing/2014/main" id="{00000000-0008-0000-1200-000009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18" name="Straight Arrow Connector 4617">
          <a:extLst>
            <a:ext uri="{FF2B5EF4-FFF2-40B4-BE49-F238E27FC236}">
              <a16:creationId xmlns:a16="http://schemas.microsoft.com/office/drawing/2014/main" id="{00000000-0008-0000-1200-00000A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19" name="Straight Arrow Connector 4618">
          <a:extLst>
            <a:ext uri="{FF2B5EF4-FFF2-40B4-BE49-F238E27FC236}">
              <a16:creationId xmlns:a16="http://schemas.microsoft.com/office/drawing/2014/main" id="{00000000-0008-0000-1200-00000B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0" name="Straight Arrow Connector 4619">
          <a:extLst>
            <a:ext uri="{FF2B5EF4-FFF2-40B4-BE49-F238E27FC236}">
              <a16:creationId xmlns:a16="http://schemas.microsoft.com/office/drawing/2014/main" id="{00000000-0008-0000-1200-00000C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21" name="Straight Arrow Connector 4620">
          <a:extLst>
            <a:ext uri="{FF2B5EF4-FFF2-40B4-BE49-F238E27FC236}">
              <a16:creationId xmlns:a16="http://schemas.microsoft.com/office/drawing/2014/main" id="{00000000-0008-0000-1200-00000D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2" name="Straight Arrow Connector 4621">
          <a:extLst>
            <a:ext uri="{FF2B5EF4-FFF2-40B4-BE49-F238E27FC236}">
              <a16:creationId xmlns:a16="http://schemas.microsoft.com/office/drawing/2014/main" id="{00000000-0008-0000-1200-00000E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3" name="Straight Arrow Connector 4622">
          <a:extLst>
            <a:ext uri="{FF2B5EF4-FFF2-40B4-BE49-F238E27FC236}">
              <a16:creationId xmlns:a16="http://schemas.microsoft.com/office/drawing/2014/main" id="{00000000-0008-0000-1200-00000F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4" name="Straight Arrow Connector 4623">
          <a:extLst>
            <a:ext uri="{FF2B5EF4-FFF2-40B4-BE49-F238E27FC236}">
              <a16:creationId xmlns:a16="http://schemas.microsoft.com/office/drawing/2014/main" id="{00000000-0008-0000-1200-000010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25" name="Straight Arrow Connector 4624">
          <a:extLst>
            <a:ext uri="{FF2B5EF4-FFF2-40B4-BE49-F238E27FC236}">
              <a16:creationId xmlns:a16="http://schemas.microsoft.com/office/drawing/2014/main" id="{00000000-0008-0000-1200-000011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6" name="Straight Arrow Connector 4625">
          <a:extLst>
            <a:ext uri="{FF2B5EF4-FFF2-40B4-BE49-F238E27FC236}">
              <a16:creationId xmlns:a16="http://schemas.microsoft.com/office/drawing/2014/main" id="{00000000-0008-0000-1200-000012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27" name="Straight Arrow Connector 4626">
          <a:extLst>
            <a:ext uri="{FF2B5EF4-FFF2-40B4-BE49-F238E27FC236}">
              <a16:creationId xmlns:a16="http://schemas.microsoft.com/office/drawing/2014/main" id="{00000000-0008-0000-1200-000013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28" name="Straight Arrow Connector 4627">
          <a:extLst>
            <a:ext uri="{FF2B5EF4-FFF2-40B4-BE49-F238E27FC236}">
              <a16:creationId xmlns:a16="http://schemas.microsoft.com/office/drawing/2014/main" id="{00000000-0008-0000-1200-000014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29" name="Straight Arrow Connector 4628">
          <a:extLst>
            <a:ext uri="{FF2B5EF4-FFF2-40B4-BE49-F238E27FC236}">
              <a16:creationId xmlns:a16="http://schemas.microsoft.com/office/drawing/2014/main" id="{00000000-0008-0000-1200-000015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30" name="Straight Arrow Connector 4629">
          <a:extLst>
            <a:ext uri="{FF2B5EF4-FFF2-40B4-BE49-F238E27FC236}">
              <a16:creationId xmlns:a16="http://schemas.microsoft.com/office/drawing/2014/main" id="{00000000-0008-0000-1200-000016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31" name="Straight Arrow Connector 4630">
          <a:extLst>
            <a:ext uri="{FF2B5EF4-FFF2-40B4-BE49-F238E27FC236}">
              <a16:creationId xmlns:a16="http://schemas.microsoft.com/office/drawing/2014/main" id="{00000000-0008-0000-1200-000017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32" name="Straight Arrow Connector 4631">
          <a:extLst>
            <a:ext uri="{FF2B5EF4-FFF2-40B4-BE49-F238E27FC236}">
              <a16:creationId xmlns:a16="http://schemas.microsoft.com/office/drawing/2014/main" id="{00000000-0008-0000-1200-000018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33" name="Straight Arrow Connector 4632">
          <a:extLst>
            <a:ext uri="{FF2B5EF4-FFF2-40B4-BE49-F238E27FC236}">
              <a16:creationId xmlns:a16="http://schemas.microsoft.com/office/drawing/2014/main" id="{00000000-0008-0000-1200-000019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34" name="Straight Arrow Connector 4633">
          <a:extLst>
            <a:ext uri="{FF2B5EF4-FFF2-40B4-BE49-F238E27FC236}">
              <a16:creationId xmlns:a16="http://schemas.microsoft.com/office/drawing/2014/main" id="{00000000-0008-0000-1200-00001A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35" name="Straight Arrow Connector 4634">
          <a:extLst>
            <a:ext uri="{FF2B5EF4-FFF2-40B4-BE49-F238E27FC236}">
              <a16:creationId xmlns:a16="http://schemas.microsoft.com/office/drawing/2014/main" id="{00000000-0008-0000-1200-00001B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36" name="Straight Arrow Connector 4635">
          <a:extLst>
            <a:ext uri="{FF2B5EF4-FFF2-40B4-BE49-F238E27FC236}">
              <a16:creationId xmlns:a16="http://schemas.microsoft.com/office/drawing/2014/main" id="{00000000-0008-0000-1200-00001C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37" name="Straight Arrow Connector 4636">
          <a:extLst>
            <a:ext uri="{FF2B5EF4-FFF2-40B4-BE49-F238E27FC236}">
              <a16:creationId xmlns:a16="http://schemas.microsoft.com/office/drawing/2014/main" id="{00000000-0008-0000-1200-00001D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38" name="Straight Arrow Connector 4637">
          <a:extLst>
            <a:ext uri="{FF2B5EF4-FFF2-40B4-BE49-F238E27FC236}">
              <a16:creationId xmlns:a16="http://schemas.microsoft.com/office/drawing/2014/main" id="{00000000-0008-0000-1200-00001E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39" name="Straight Arrow Connector 4638">
          <a:extLst>
            <a:ext uri="{FF2B5EF4-FFF2-40B4-BE49-F238E27FC236}">
              <a16:creationId xmlns:a16="http://schemas.microsoft.com/office/drawing/2014/main" id="{00000000-0008-0000-1200-00001F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0" name="Straight Arrow Connector 4639">
          <a:extLst>
            <a:ext uri="{FF2B5EF4-FFF2-40B4-BE49-F238E27FC236}">
              <a16:creationId xmlns:a16="http://schemas.microsoft.com/office/drawing/2014/main" id="{00000000-0008-0000-1200-000020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41" name="Straight Arrow Connector 4640">
          <a:extLst>
            <a:ext uri="{FF2B5EF4-FFF2-40B4-BE49-F238E27FC236}">
              <a16:creationId xmlns:a16="http://schemas.microsoft.com/office/drawing/2014/main" id="{00000000-0008-0000-1200-000021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2" name="Straight Arrow Connector 4641">
          <a:extLst>
            <a:ext uri="{FF2B5EF4-FFF2-40B4-BE49-F238E27FC236}">
              <a16:creationId xmlns:a16="http://schemas.microsoft.com/office/drawing/2014/main" id="{00000000-0008-0000-1200-000022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43" name="Straight Arrow Connector 4642">
          <a:extLst>
            <a:ext uri="{FF2B5EF4-FFF2-40B4-BE49-F238E27FC236}">
              <a16:creationId xmlns:a16="http://schemas.microsoft.com/office/drawing/2014/main" id="{00000000-0008-0000-1200-000023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4" name="Straight Arrow Connector 4643">
          <a:extLst>
            <a:ext uri="{FF2B5EF4-FFF2-40B4-BE49-F238E27FC236}">
              <a16:creationId xmlns:a16="http://schemas.microsoft.com/office/drawing/2014/main" id="{00000000-0008-0000-1200-000024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45" name="Straight Arrow Connector 4644">
          <a:extLst>
            <a:ext uri="{FF2B5EF4-FFF2-40B4-BE49-F238E27FC236}">
              <a16:creationId xmlns:a16="http://schemas.microsoft.com/office/drawing/2014/main" id="{00000000-0008-0000-1200-000025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6" name="Straight Arrow Connector 4645">
          <a:extLst>
            <a:ext uri="{FF2B5EF4-FFF2-40B4-BE49-F238E27FC236}">
              <a16:creationId xmlns:a16="http://schemas.microsoft.com/office/drawing/2014/main" id="{00000000-0008-0000-1200-000026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47" name="Straight Arrow Connector 4646">
          <a:extLst>
            <a:ext uri="{FF2B5EF4-FFF2-40B4-BE49-F238E27FC236}">
              <a16:creationId xmlns:a16="http://schemas.microsoft.com/office/drawing/2014/main" id="{00000000-0008-0000-1200-000027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8" name="Straight Arrow Connector 4647">
          <a:extLst>
            <a:ext uri="{FF2B5EF4-FFF2-40B4-BE49-F238E27FC236}">
              <a16:creationId xmlns:a16="http://schemas.microsoft.com/office/drawing/2014/main" id="{00000000-0008-0000-1200-000028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49" name="Straight Arrow Connector 4648">
          <a:extLst>
            <a:ext uri="{FF2B5EF4-FFF2-40B4-BE49-F238E27FC236}">
              <a16:creationId xmlns:a16="http://schemas.microsoft.com/office/drawing/2014/main" id="{00000000-0008-0000-1200-000029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0" name="Straight Arrow Connector 4649">
          <a:extLst>
            <a:ext uri="{FF2B5EF4-FFF2-40B4-BE49-F238E27FC236}">
              <a16:creationId xmlns:a16="http://schemas.microsoft.com/office/drawing/2014/main" id="{00000000-0008-0000-1200-00002A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51" name="Straight Arrow Connector 4650">
          <a:extLst>
            <a:ext uri="{FF2B5EF4-FFF2-40B4-BE49-F238E27FC236}">
              <a16:creationId xmlns:a16="http://schemas.microsoft.com/office/drawing/2014/main" id="{00000000-0008-0000-1200-00002B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2" name="Straight Arrow Connector 4651">
          <a:extLst>
            <a:ext uri="{FF2B5EF4-FFF2-40B4-BE49-F238E27FC236}">
              <a16:creationId xmlns:a16="http://schemas.microsoft.com/office/drawing/2014/main" id="{00000000-0008-0000-1200-00002C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53" name="Straight Arrow Connector 4652">
          <a:extLst>
            <a:ext uri="{FF2B5EF4-FFF2-40B4-BE49-F238E27FC236}">
              <a16:creationId xmlns:a16="http://schemas.microsoft.com/office/drawing/2014/main" id="{00000000-0008-0000-1200-00002D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4" name="Straight Arrow Connector 4653">
          <a:extLst>
            <a:ext uri="{FF2B5EF4-FFF2-40B4-BE49-F238E27FC236}">
              <a16:creationId xmlns:a16="http://schemas.microsoft.com/office/drawing/2014/main" id="{00000000-0008-0000-1200-00002E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55" name="Straight Arrow Connector 4654">
          <a:extLst>
            <a:ext uri="{FF2B5EF4-FFF2-40B4-BE49-F238E27FC236}">
              <a16:creationId xmlns:a16="http://schemas.microsoft.com/office/drawing/2014/main" id="{00000000-0008-0000-1200-00002F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6" name="Straight Arrow Connector 4655">
          <a:extLst>
            <a:ext uri="{FF2B5EF4-FFF2-40B4-BE49-F238E27FC236}">
              <a16:creationId xmlns:a16="http://schemas.microsoft.com/office/drawing/2014/main" id="{00000000-0008-0000-1200-000030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57" name="Straight Arrow Connector 4656">
          <a:extLst>
            <a:ext uri="{FF2B5EF4-FFF2-40B4-BE49-F238E27FC236}">
              <a16:creationId xmlns:a16="http://schemas.microsoft.com/office/drawing/2014/main" id="{00000000-0008-0000-1200-000031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58" name="Straight Arrow Connector 4657">
          <a:extLst>
            <a:ext uri="{FF2B5EF4-FFF2-40B4-BE49-F238E27FC236}">
              <a16:creationId xmlns:a16="http://schemas.microsoft.com/office/drawing/2014/main" id="{00000000-0008-0000-1200-000032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59" name="Straight Arrow Connector 4658">
          <a:extLst>
            <a:ext uri="{FF2B5EF4-FFF2-40B4-BE49-F238E27FC236}">
              <a16:creationId xmlns:a16="http://schemas.microsoft.com/office/drawing/2014/main" id="{00000000-0008-0000-1200-000033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0" name="Straight Arrow Connector 4659">
          <a:extLst>
            <a:ext uri="{FF2B5EF4-FFF2-40B4-BE49-F238E27FC236}">
              <a16:creationId xmlns:a16="http://schemas.microsoft.com/office/drawing/2014/main" id="{00000000-0008-0000-1200-000034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1" name="Straight Arrow Connector 4660">
          <a:extLst>
            <a:ext uri="{FF2B5EF4-FFF2-40B4-BE49-F238E27FC236}">
              <a16:creationId xmlns:a16="http://schemas.microsoft.com/office/drawing/2014/main" id="{00000000-0008-0000-1200-000035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2" name="Straight Arrow Connector 4661">
          <a:extLst>
            <a:ext uri="{FF2B5EF4-FFF2-40B4-BE49-F238E27FC236}">
              <a16:creationId xmlns:a16="http://schemas.microsoft.com/office/drawing/2014/main" id="{00000000-0008-0000-1200-000036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3" name="Straight Arrow Connector 4662">
          <a:extLst>
            <a:ext uri="{FF2B5EF4-FFF2-40B4-BE49-F238E27FC236}">
              <a16:creationId xmlns:a16="http://schemas.microsoft.com/office/drawing/2014/main" id="{00000000-0008-0000-1200-000037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4" name="Straight Arrow Connector 4663">
          <a:extLst>
            <a:ext uri="{FF2B5EF4-FFF2-40B4-BE49-F238E27FC236}">
              <a16:creationId xmlns:a16="http://schemas.microsoft.com/office/drawing/2014/main" id="{00000000-0008-0000-1200-000038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5" name="Straight Arrow Connector 4664">
          <a:extLst>
            <a:ext uri="{FF2B5EF4-FFF2-40B4-BE49-F238E27FC236}">
              <a16:creationId xmlns:a16="http://schemas.microsoft.com/office/drawing/2014/main" id="{00000000-0008-0000-1200-000039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66" name="Straight Arrow Connector 4665">
          <a:extLst>
            <a:ext uri="{FF2B5EF4-FFF2-40B4-BE49-F238E27FC236}">
              <a16:creationId xmlns:a16="http://schemas.microsoft.com/office/drawing/2014/main" id="{00000000-0008-0000-1200-00003A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7" name="Straight Arrow Connector 4666">
          <a:extLst>
            <a:ext uri="{FF2B5EF4-FFF2-40B4-BE49-F238E27FC236}">
              <a16:creationId xmlns:a16="http://schemas.microsoft.com/office/drawing/2014/main" id="{00000000-0008-0000-1200-00003B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68" name="Straight Arrow Connector 4667">
          <a:extLst>
            <a:ext uri="{FF2B5EF4-FFF2-40B4-BE49-F238E27FC236}">
              <a16:creationId xmlns:a16="http://schemas.microsoft.com/office/drawing/2014/main" id="{00000000-0008-0000-1200-00003C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69" name="Straight Arrow Connector 4668">
          <a:extLst>
            <a:ext uri="{FF2B5EF4-FFF2-40B4-BE49-F238E27FC236}">
              <a16:creationId xmlns:a16="http://schemas.microsoft.com/office/drawing/2014/main" id="{00000000-0008-0000-1200-00003D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70" name="Straight Arrow Connector 4669">
          <a:extLst>
            <a:ext uri="{FF2B5EF4-FFF2-40B4-BE49-F238E27FC236}">
              <a16:creationId xmlns:a16="http://schemas.microsoft.com/office/drawing/2014/main" id="{00000000-0008-0000-1200-00003E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71" name="Straight Arrow Connector 4670">
          <a:extLst>
            <a:ext uri="{FF2B5EF4-FFF2-40B4-BE49-F238E27FC236}">
              <a16:creationId xmlns:a16="http://schemas.microsoft.com/office/drawing/2014/main" id="{00000000-0008-0000-1200-00003F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72" name="Straight Arrow Connector 4671">
          <a:extLst>
            <a:ext uri="{FF2B5EF4-FFF2-40B4-BE49-F238E27FC236}">
              <a16:creationId xmlns:a16="http://schemas.microsoft.com/office/drawing/2014/main" id="{00000000-0008-0000-1200-000040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73" name="Straight Arrow Connector 4672">
          <a:extLst>
            <a:ext uri="{FF2B5EF4-FFF2-40B4-BE49-F238E27FC236}">
              <a16:creationId xmlns:a16="http://schemas.microsoft.com/office/drawing/2014/main" id="{00000000-0008-0000-1200-000041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74" name="Straight Arrow Connector 4673">
          <a:extLst>
            <a:ext uri="{FF2B5EF4-FFF2-40B4-BE49-F238E27FC236}">
              <a16:creationId xmlns:a16="http://schemas.microsoft.com/office/drawing/2014/main" id="{00000000-0008-0000-1200-000042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75" name="Straight Arrow Connector 4674">
          <a:extLst>
            <a:ext uri="{FF2B5EF4-FFF2-40B4-BE49-F238E27FC236}">
              <a16:creationId xmlns:a16="http://schemas.microsoft.com/office/drawing/2014/main" id="{00000000-0008-0000-1200-000043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76" name="Straight Arrow Connector 4675">
          <a:extLst>
            <a:ext uri="{FF2B5EF4-FFF2-40B4-BE49-F238E27FC236}">
              <a16:creationId xmlns:a16="http://schemas.microsoft.com/office/drawing/2014/main" id="{00000000-0008-0000-1200-000044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77" name="Straight Arrow Connector 4676">
          <a:extLst>
            <a:ext uri="{FF2B5EF4-FFF2-40B4-BE49-F238E27FC236}">
              <a16:creationId xmlns:a16="http://schemas.microsoft.com/office/drawing/2014/main" id="{00000000-0008-0000-1200-000045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78" name="Straight Arrow Connector 4677">
          <a:extLst>
            <a:ext uri="{FF2B5EF4-FFF2-40B4-BE49-F238E27FC236}">
              <a16:creationId xmlns:a16="http://schemas.microsoft.com/office/drawing/2014/main" id="{00000000-0008-0000-1200-000046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79" name="Straight Arrow Connector 4678">
          <a:extLst>
            <a:ext uri="{FF2B5EF4-FFF2-40B4-BE49-F238E27FC236}">
              <a16:creationId xmlns:a16="http://schemas.microsoft.com/office/drawing/2014/main" id="{00000000-0008-0000-1200-000047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80" name="Straight Arrow Connector 4679">
          <a:extLst>
            <a:ext uri="{FF2B5EF4-FFF2-40B4-BE49-F238E27FC236}">
              <a16:creationId xmlns:a16="http://schemas.microsoft.com/office/drawing/2014/main" id="{00000000-0008-0000-1200-000048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81" name="Straight Arrow Connector 4680">
          <a:extLst>
            <a:ext uri="{FF2B5EF4-FFF2-40B4-BE49-F238E27FC236}">
              <a16:creationId xmlns:a16="http://schemas.microsoft.com/office/drawing/2014/main" id="{00000000-0008-0000-1200-000049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1663</xdr:row>
      <xdr:rowOff>31750</xdr:rowOff>
    </xdr:from>
    <xdr:to>
      <xdr:col>16</xdr:col>
      <xdr:colOff>42334</xdr:colOff>
      <xdr:row>1670</xdr:row>
      <xdr:rowOff>63501</xdr:rowOff>
    </xdr:to>
    <xdr:cxnSp macro="">
      <xdr:nvCxnSpPr>
        <xdr:cNvPr id="4682" name="Straight Arrow Connector 4681">
          <a:extLst>
            <a:ext uri="{FF2B5EF4-FFF2-40B4-BE49-F238E27FC236}">
              <a16:creationId xmlns:a16="http://schemas.microsoft.com/office/drawing/2014/main" id="{00000000-0008-0000-1200-00004A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83" name="Straight Arrow Connector 4682">
          <a:extLst>
            <a:ext uri="{FF2B5EF4-FFF2-40B4-BE49-F238E27FC236}">
              <a16:creationId xmlns:a16="http://schemas.microsoft.com/office/drawing/2014/main" id="{00000000-0008-0000-1200-00004B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84" name="Straight Arrow Connector 4683">
          <a:extLst>
            <a:ext uri="{FF2B5EF4-FFF2-40B4-BE49-F238E27FC236}">
              <a16:creationId xmlns:a16="http://schemas.microsoft.com/office/drawing/2014/main" id="{00000000-0008-0000-1200-00004C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85" name="Straight Arrow Connector 4684">
          <a:extLst>
            <a:ext uri="{FF2B5EF4-FFF2-40B4-BE49-F238E27FC236}">
              <a16:creationId xmlns:a16="http://schemas.microsoft.com/office/drawing/2014/main" id="{00000000-0008-0000-1200-00004D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1663</xdr:row>
      <xdr:rowOff>31750</xdr:rowOff>
    </xdr:from>
    <xdr:to>
      <xdr:col>16</xdr:col>
      <xdr:colOff>42334</xdr:colOff>
      <xdr:row>1670</xdr:row>
      <xdr:rowOff>63501</xdr:rowOff>
    </xdr:to>
    <xdr:cxnSp macro="">
      <xdr:nvCxnSpPr>
        <xdr:cNvPr id="4686" name="Straight Arrow Connector 4685">
          <a:extLst>
            <a:ext uri="{FF2B5EF4-FFF2-40B4-BE49-F238E27FC236}">
              <a16:creationId xmlns:a16="http://schemas.microsoft.com/office/drawing/2014/main" id="{00000000-0008-0000-1200-00004E120000}"/>
            </a:ext>
          </a:extLst>
        </xdr:cNvPr>
        <xdr:cNvCxnSpPr/>
      </xdr:nvCxnSpPr>
      <xdr:spPr>
        <a:xfrm>
          <a:off x="11281833" y="310546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1676</xdr:row>
      <xdr:rowOff>31750</xdr:rowOff>
    </xdr:from>
    <xdr:to>
      <xdr:col>16</xdr:col>
      <xdr:colOff>21167</xdr:colOff>
      <xdr:row>1683</xdr:row>
      <xdr:rowOff>95250</xdr:rowOff>
    </xdr:to>
    <xdr:cxnSp macro="">
      <xdr:nvCxnSpPr>
        <xdr:cNvPr id="4687" name="Straight Arrow Connector 4686">
          <a:extLst>
            <a:ext uri="{FF2B5EF4-FFF2-40B4-BE49-F238E27FC236}">
              <a16:creationId xmlns:a16="http://schemas.microsoft.com/office/drawing/2014/main" id="{00000000-0008-0000-1200-00004F120000}"/>
            </a:ext>
          </a:extLst>
        </xdr:cNvPr>
        <xdr:cNvCxnSpPr/>
      </xdr:nvCxnSpPr>
      <xdr:spPr>
        <a:xfrm>
          <a:off x="11324166" y="313213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88" name="Straight Arrow Connector 4687">
          <a:extLst>
            <a:ext uri="{FF2B5EF4-FFF2-40B4-BE49-F238E27FC236}">
              <a16:creationId xmlns:a16="http://schemas.microsoft.com/office/drawing/2014/main" id="{00000000-0008-0000-1200-000050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1689</xdr:row>
      <xdr:rowOff>31750</xdr:rowOff>
    </xdr:from>
    <xdr:to>
      <xdr:col>16</xdr:col>
      <xdr:colOff>42334</xdr:colOff>
      <xdr:row>1696</xdr:row>
      <xdr:rowOff>63501</xdr:rowOff>
    </xdr:to>
    <xdr:cxnSp macro="">
      <xdr:nvCxnSpPr>
        <xdr:cNvPr id="4689" name="Straight Arrow Connector 4688">
          <a:extLst>
            <a:ext uri="{FF2B5EF4-FFF2-40B4-BE49-F238E27FC236}">
              <a16:creationId xmlns:a16="http://schemas.microsoft.com/office/drawing/2014/main" id="{00000000-0008-0000-1200-000051120000}"/>
            </a:ext>
          </a:extLst>
        </xdr:cNvPr>
        <xdr:cNvCxnSpPr/>
      </xdr:nvCxnSpPr>
      <xdr:spPr>
        <a:xfrm>
          <a:off x="11281833" y="315690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0" name="Straight Arrow Connector 4689">
          <a:extLst>
            <a:ext uri="{FF2B5EF4-FFF2-40B4-BE49-F238E27FC236}">
              <a16:creationId xmlns:a16="http://schemas.microsoft.com/office/drawing/2014/main" id="{00000000-0008-0000-1200-00005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1" name="Straight Arrow Connector 4690">
          <a:extLst>
            <a:ext uri="{FF2B5EF4-FFF2-40B4-BE49-F238E27FC236}">
              <a16:creationId xmlns:a16="http://schemas.microsoft.com/office/drawing/2014/main" id="{00000000-0008-0000-1200-00005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2" name="Straight Arrow Connector 4691">
          <a:extLst>
            <a:ext uri="{FF2B5EF4-FFF2-40B4-BE49-F238E27FC236}">
              <a16:creationId xmlns:a16="http://schemas.microsoft.com/office/drawing/2014/main" id="{00000000-0008-0000-1200-00005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3" name="Straight Arrow Connector 4692">
          <a:extLst>
            <a:ext uri="{FF2B5EF4-FFF2-40B4-BE49-F238E27FC236}">
              <a16:creationId xmlns:a16="http://schemas.microsoft.com/office/drawing/2014/main" id="{00000000-0008-0000-1200-000055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4" name="Straight Arrow Connector 4693">
          <a:extLst>
            <a:ext uri="{FF2B5EF4-FFF2-40B4-BE49-F238E27FC236}">
              <a16:creationId xmlns:a16="http://schemas.microsoft.com/office/drawing/2014/main" id="{00000000-0008-0000-1200-00005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5" name="Straight Arrow Connector 4694">
          <a:extLst>
            <a:ext uri="{FF2B5EF4-FFF2-40B4-BE49-F238E27FC236}">
              <a16:creationId xmlns:a16="http://schemas.microsoft.com/office/drawing/2014/main" id="{00000000-0008-0000-1200-00005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6" name="Straight Arrow Connector 4695">
          <a:extLst>
            <a:ext uri="{FF2B5EF4-FFF2-40B4-BE49-F238E27FC236}">
              <a16:creationId xmlns:a16="http://schemas.microsoft.com/office/drawing/2014/main" id="{00000000-0008-0000-1200-00005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697" name="Straight Arrow Connector 4696">
          <a:extLst>
            <a:ext uri="{FF2B5EF4-FFF2-40B4-BE49-F238E27FC236}">
              <a16:creationId xmlns:a16="http://schemas.microsoft.com/office/drawing/2014/main" id="{00000000-0008-0000-1200-000059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8" name="Straight Arrow Connector 4697">
          <a:extLst>
            <a:ext uri="{FF2B5EF4-FFF2-40B4-BE49-F238E27FC236}">
              <a16:creationId xmlns:a16="http://schemas.microsoft.com/office/drawing/2014/main" id="{00000000-0008-0000-1200-00005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699" name="Straight Arrow Connector 4698">
          <a:extLst>
            <a:ext uri="{FF2B5EF4-FFF2-40B4-BE49-F238E27FC236}">
              <a16:creationId xmlns:a16="http://schemas.microsoft.com/office/drawing/2014/main" id="{00000000-0008-0000-1200-00005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0" name="Straight Arrow Connector 4699">
          <a:extLst>
            <a:ext uri="{FF2B5EF4-FFF2-40B4-BE49-F238E27FC236}">
              <a16:creationId xmlns:a16="http://schemas.microsoft.com/office/drawing/2014/main" id="{00000000-0008-0000-1200-00005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01" name="Straight Arrow Connector 4700">
          <a:extLst>
            <a:ext uri="{FF2B5EF4-FFF2-40B4-BE49-F238E27FC236}">
              <a16:creationId xmlns:a16="http://schemas.microsoft.com/office/drawing/2014/main" id="{00000000-0008-0000-1200-00005D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2" name="Straight Arrow Connector 4701">
          <a:extLst>
            <a:ext uri="{FF2B5EF4-FFF2-40B4-BE49-F238E27FC236}">
              <a16:creationId xmlns:a16="http://schemas.microsoft.com/office/drawing/2014/main" id="{00000000-0008-0000-1200-00005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03" name="Straight Arrow Connector 4702">
          <a:extLst>
            <a:ext uri="{FF2B5EF4-FFF2-40B4-BE49-F238E27FC236}">
              <a16:creationId xmlns:a16="http://schemas.microsoft.com/office/drawing/2014/main" id="{00000000-0008-0000-1200-00005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4" name="Straight Arrow Connector 4703">
          <a:extLst>
            <a:ext uri="{FF2B5EF4-FFF2-40B4-BE49-F238E27FC236}">
              <a16:creationId xmlns:a16="http://schemas.microsoft.com/office/drawing/2014/main" id="{00000000-0008-0000-1200-00006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05" name="Straight Arrow Connector 4704">
          <a:extLst>
            <a:ext uri="{FF2B5EF4-FFF2-40B4-BE49-F238E27FC236}">
              <a16:creationId xmlns:a16="http://schemas.microsoft.com/office/drawing/2014/main" id="{00000000-0008-0000-1200-00006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6" name="Straight Arrow Connector 4705">
          <a:extLst>
            <a:ext uri="{FF2B5EF4-FFF2-40B4-BE49-F238E27FC236}">
              <a16:creationId xmlns:a16="http://schemas.microsoft.com/office/drawing/2014/main" id="{00000000-0008-0000-1200-00006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7" name="Straight Arrow Connector 4706">
          <a:extLst>
            <a:ext uri="{FF2B5EF4-FFF2-40B4-BE49-F238E27FC236}">
              <a16:creationId xmlns:a16="http://schemas.microsoft.com/office/drawing/2014/main" id="{00000000-0008-0000-1200-00006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08" name="Straight Arrow Connector 4707">
          <a:extLst>
            <a:ext uri="{FF2B5EF4-FFF2-40B4-BE49-F238E27FC236}">
              <a16:creationId xmlns:a16="http://schemas.microsoft.com/office/drawing/2014/main" id="{00000000-0008-0000-1200-00006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09" name="Straight Arrow Connector 4708">
          <a:extLst>
            <a:ext uri="{FF2B5EF4-FFF2-40B4-BE49-F238E27FC236}">
              <a16:creationId xmlns:a16="http://schemas.microsoft.com/office/drawing/2014/main" id="{00000000-0008-0000-1200-000065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0" name="Straight Arrow Connector 4709">
          <a:extLst>
            <a:ext uri="{FF2B5EF4-FFF2-40B4-BE49-F238E27FC236}">
              <a16:creationId xmlns:a16="http://schemas.microsoft.com/office/drawing/2014/main" id="{00000000-0008-0000-1200-00006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1" name="Straight Arrow Connector 4710">
          <a:extLst>
            <a:ext uri="{FF2B5EF4-FFF2-40B4-BE49-F238E27FC236}">
              <a16:creationId xmlns:a16="http://schemas.microsoft.com/office/drawing/2014/main" id="{00000000-0008-0000-1200-00006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2" name="Straight Arrow Connector 4711">
          <a:extLst>
            <a:ext uri="{FF2B5EF4-FFF2-40B4-BE49-F238E27FC236}">
              <a16:creationId xmlns:a16="http://schemas.microsoft.com/office/drawing/2014/main" id="{00000000-0008-0000-1200-00006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3" name="Straight Arrow Connector 4712">
          <a:extLst>
            <a:ext uri="{FF2B5EF4-FFF2-40B4-BE49-F238E27FC236}">
              <a16:creationId xmlns:a16="http://schemas.microsoft.com/office/drawing/2014/main" id="{00000000-0008-0000-1200-00006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14" name="Straight Arrow Connector 4713">
          <a:extLst>
            <a:ext uri="{FF2B5EF4-FFF2-40B4-BE49-F238E27FC236}">
              <a16:creationId xmlns:a16="http://schemas.microsoft.com/office/drawing/2014/main" id="{00000000-0008-0000-1200-00006A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5" name="Straight Arrow Connector 4714">
          <a:extLst>
            <a:ext uri="{FF2B5EF4-FFF2-40B4-BE49-F238E27FC236}">
              <a16:creationId xmlns:a16="http://schemas.microsoft.com/office/drawing/2014/main" id="{00000000-0008-0000-1200-00006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16" name="Straight Arrow Connector 4715">
          <a:extLst>
            <a:ext uri="{FF2B5EF4-FFF2-40B4-BE49-F238E27FC236}">
              <a16:creationId xmlns:a16="http://schemas.microsoft.com/office/drawing/2014/main" id="{00000000-0008-0000-1200-00006C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7" name="Straight Arrow Connector 4716">
          <a:extLst>
            <a:ext uri="{FF2B5EF4-FFF2-40B4-BE49-F238E27FC236}">
              <a16:creationId xmlns:a16="http://schemas.microsoft.com/office/drawing/2014/main" id="{00000000-0008-0000-1200-00006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18" name="Straight Arrow Connector 4717">
          <a:extLst>
            <a:ext uri="{FF2B5EF4-FFF2-40B4-BE49-F238E27FC236}">
              <a16:creationId xmlns:a16="http://schemas.microsoft.com/office/drawing/2014/main" id="{00000000-0008-0000-1200-00006E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19" name="Straight Arrow Connector 4718">
          <a:extLst>
            <a:ext uri="{FF2B5EF4-FFF2-40B4-BE49-F238E27FC236}">
              <a16:creationId xmlns:a16="http://schemas.microsoft.com/office/drawing/2014/main" id="{00000000-0008-0000-1200-00006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20" name="Straight Arrow Connector 4719">
          <a:extLst>
            <a:ext uri="{FF2B5EF4-FFF2-40B4-BE49-F238E27FC236}">
              <a16:creationId xmlns:a16="http://schemas.microsoft.com/office/drawing/2014/main" id="{00000000-0008-0000-1200-000070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1" name="Straight Arrow Connector 4720">
          <a:extLst>
            <a:ext uri="{FF2B5EF4-FFF2-40B4-BE49-F238E27FC236}">
              <a16:creationId xmlns:a16="http://schemas.microsoft.com/office/drawing/2014/main" id="{00000000-0008-0000-1200-000071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2" name="Straight Arrow Connector 4721">
          <a:extLst>
            <a:ext uri="{FF2B5EF4-FFF2-40B4-BE49-F238E27FC236}">
              <a16:creationId xmlns:a16="http://schemas.microsoft.com/office/drawing/2014/main" id="{00000000-0008-0000-1200-00007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3" name="Straight Arrow Connector 4722">
          <a:extLst>
            <a:ext uri="{FF2B5EF4-FFF2-40B4-BE49-F238E27FC236}">
              <a16:creationId xmlns:a16="http://schemas.microsoft.com/office/drawing/2014/main" id="{00000000-0008-0000-1200-00007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24" name="Straight Arrow Connector 4723">
          <a:extLst>
            <a:ext uri="{FF2B5EF4-FFF2-40B4-BE49-F238E27FC236}">
              <a16:creationId xmlns:a16="http://schemas.microsoft.com/office/drawing/2014/main" id="{00000000-0008-0000-1200-000074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5" name="Straight Arrow Connector 4724">
          <a:extLst>
            <a:ext uri="{FF2B5EF4-FFF2-40B4-BE49-F238E27FC236}">
              <a16:creationId xmlns:a16="http://schemas.microsoft.com/office/drawing/2014/main" id="{00000000-0008-0000-1200-000075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26" name="Straight Arrow Connector 4725">
          <a:extLst>
            <a:ext uri="{FF2B5EF4-FFF2-40B4-BE49-F238E27FC236}">
              <a16:creationId xmlns:a16="http://schemas.microsoft.com/office/drawing/2014/main" id="{00000000-0008-0000-1200-000076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7" name="Straight Arrow Connector 4726">
          <a:extLst>
            <a:ext uri="{FF2B5EF4-FFF2-40B4-BE49-F238E27FC236}">
              <a16:creationId xmlns:a16="http://schemas.microsoft.com/office/drawing/2014/main" id="{00000000-0008-0000-1200-00007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28" name="Straight Arrow Connector 4727">
          <a:extLst>
            <a:ext uri="{FF2B5EF4-FFF2-40B4-BE49-F238E27FC236}">
              <a16:creationId xmlns:a16="http://schemas.microsoft.com/office/drawing/2014/main" id="{00000000-0008-0000-1200-000078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29" name="Straight Arrow Connector 4728">
          <a:extLst>
            <a:ext uri="{FF2B5EF4-FFF2-40B4-BE49-F238E27FC236}">
              <a16:creationId xmlns:a16="http://schemas.microsoft.com/office/drawing/2014/main" id="{00000000-0008-0000-1200-00007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30" name="Straight Arrow Connector 4729">
          <a:extLst>
            <a:ext uri="{FF2B5EF4-FFF2-40B4-BE49-F238E27FC236}">
              <a16:creationId xmlns:a16="http://schemas.microsoft.com/office/drawing/2014/main" id="{00000000-0008-0000-1200-00007A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31" name="Straight Arrow Connector 4730">
          <a:extLst>
            <a:ext uri="{FF2B5EF4-FFF2-40B4-BE49-F238E27FC236}">
              <a16:creationId xmlns:a16="http://schemas.microsoft.com/office/drawing/2014/main" id="{00000000-0008-0000-1200-00007B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32" name="Straight Arrow Connector 4731">
          <a:extLst>
            <a:ext uri="{FF2B5EF4-FFF2-40B4-BE49-F238E27FC236}">
              <a16:creationId xmlns:a16="http://schemas.microsoft.com/office/drawing/2014/main" id="{00000000-0008-0000-1200-00007C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33" name="Straight Arrow Connector 4732">
          <a:extLst>
            <a:ext uri="{FF2B5EF4-FFF2-40B4-BE49-F238E27FC236}">
              <a16:creationId xmlns:a16="http://schemas.microsoft.com/office/drawing/2014/main" id="{00000000-0008-0000-1200-00007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34" name="Straight Arrow Connector 4733">
          <a:extLst>
            <a:ext uri="{FF2B5EF4-FFF2-40B4-BE49-F238E27FC236}">
              <a16:creationId xmlns:a16="http://schemas.microsoft.com/office/drawing/2014/main" id="{00000000-0008-0000-1200-00007E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35" name="Straight Arrow Connector 4734">
          <a:extLst>
            <a:ext uri="{FF2B5EF4-FFF2-40B4-BE49-F238E27FC236}">
              <a16:creationId xmlns:a16="http://schemas.microsoft.com/office/drawing/2014/main" id="{00000000-0008-0000-1200-00007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36" name="Straight Arrow Connector 4735">
          <a:extLst>
            <a:ext uri="{FF2B5EF4-FFF2-40B4-BE49-F238E27FC236}">
              <a16:creationId xmlns:a16="http://schemas.microsoft.com/office/drawing/2014/main" id="{00000000-0008-0000-1200-000080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37" name="Straight Arrow Connector 4736">
          <a:extLst>
            <a:ext uri="{FF2B5EF4-FFF2-40B4-BE49-F238E27FC236}">
              <a16:creationId xmlns:a16="http://schemas.microsoft.com/office/drawing/2014/main" id="{00000000-0008-0000-1200-000081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38" name="Straight Arrow Connector 4737">
          <a:extLst>
            <a:ext uri="{FF2B5EF4-FFF2-40B4-BE49-F238E27FC236}">
              <a16:creationId xmlns:a16="http://schemas.microsoft.com/office/drawing/2014/main" id="{00000000-0008-0000-1200-000082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39" name="Straight Arrow Connector 4738">
          <a:extLst>
            <a:ext uri="{FF2B5EF4-FFF2-40B4-BE49-F238E27FC236}">
              <a16:creationId xmlns:a16="http://schemas.microsoft.com/office/drawing/2014/main" id="{00000000-0008-0000-1200-00008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40" name="Straight Arrow Connector 4739">
          <a:extLst>
            <a:ext uri="{FF2B5EF4-FFF2-40B4-BE49-F238E27FC236}">
              <a16:creationId xmlns:a16="http://schemas.microsoft.com/office/drawing/2014/main" id="{00000000-0008-0000-1200-000084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1" name="Straight Arrow Connector 4740">
          <a:extLst>
            <a:ext uri="{FF2B5EF4-FFF2-40B4-BE49-F238E27FC236}">
              <a16:creationId xmlns:a16="http://schemas.microsoft.com/office/drawing/2014/main" id="{00000000-0008-0000-1200-000085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42" name="Straight Arrow Connector 4741">
          <a:extLst>
            <a:ext uri="{FF2B5EF4-FFF2-40B4-BE49-F238E27FC236}">
              <a16:creationId xmlns:a16="http://schemas.microsoft.com/office/drawing/2014/main" id="{00000000-0008-0000-1200-000086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3" name="Straight Arrow Connector 4742">
          <a:extLst>
            <a:ext uri="{FF2B5EF4-FFF2-40B4-BE49-F238E27FC236}">
              <a16:creationId xmlns:a16="http://schemas.microsoft.com/office/drawing/2014/main" id="{00000000-0008-0000-1200-00008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44" name="Straight Arrow Connector 4743">
          <a:extLst>
            <a:ext uri="{FF2B5EF4-FFF2-40B4-BE49-F238E27FC236}">
              <a16:creationId xmlns:a16="http://schemas.microsoft.com/office/drawing/2014/main" id="{00000000-0008-0000-1200-000088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5" name="Straight Arrow Connector 4744">
          <a:extLst>
            <a:ext uri="{FF2B5EF4-FFF2-40B4-BE49-F238E27FC236}">
              <a16:creationId xmlns:a16="http://schemas.microsoft.com/office/drawing/2014/main" id="{00000000-0008-0000-1200-00008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6" name="Straight Arrow Connector 4745">
          <a:extLst>
            <a:ext uri="{FF2B5EF4-FFF2-40B4-BE49-F238E27FC236}">
              <a16:creationId xmlns:a16="http://schemas.microsoft.com/office/drawing/2014/main" id="{00000000-0008-0000-1200-00008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7" name="Straight Arrow Connector 4746">
          <a:extLst>
            <a:ext uri="{FF2B5EF4-FFF2-40B4-BE49-F238E27FC236}">
              <a16:creationId xmlns:a16="http://schemas.microsoft.com/office/drawing/2014/main" id="{00000000-0008-0000-1200-00008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48" name="Straight Arrow Connector 4747">
          <a:extLst>
            <a:ext uri="{FF2B5EF4-FFF2-40B4-BE49-F238E27FC236}">
              <a16:creationId xmlns:a16="http://schemas.microsoft.com/office/drawing/2014/main" id="{00000000-0008-0000-1200-00008C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49" name="Straight Arrow Connector 4748">
          <a:extLst>
            <a:ext uri="{FF2B5EF4-FFF2-40B4-BE49-F238E27FC236}">
              <a16:creationId xmlns:a16="http://schemas.microsoft.com/office/drawing/2014/main" id="{00000000-0008-0000-1200-00008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0" name="Straight Arrow Connector 4749">
          <a:extLst>
            <a:ext uri="{FF2B5EF4-FFF2-40B4-BE49-F238E27FC236}">
              <a16:creationId xmlns:a16="http://schemas.microsoft.com/office/drawing/2014/main" id="{00000000-0008-0000-1200-00008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1" name="Straight Arrow Connector 4750">
          <a:extLst>
            <a:ext uri="{FF2B5EF4-FFF2-40B4-BE49-F238E27FC236}">
              <a16:creationId xmlns:a16="http://schemas.microsoft.com/office/drawing/2014/main" id="{00000000-0008-0000-1200-00008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2" name="Straight Arrow Connector 4751">
          <a:extLst>
            <a:ext uri="{FF2B5EF4-FFF2-40B4-BE49-F238E27FC236}">
              <a16:creationId xmlns:a16="http://schemas.microsoft.com/office/drawing/2014/main" id="{00000000-0008-0000-1200-00009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53" name="Straight Arrow Connector 4752">
          <a:extLst>
            <a:ext uri="{FF2B5EF4-FFF2-40B4-BE49-F238E27FC236}">
              <a16:creationId xmlns:a16="http://schemas.microsoft.com/office/drawing/2014/main" id="{00000000-0008-0000-1200-00009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4" name="Straight Arrow Connector 4753">
          <a:extLst>
            <a:ext uri="{FF2B5EF4-FFF2-40B4-BE49-F238E27FC236}">
              <a16:creationId xmlns:a16="http://schemas.microsoft.com/office/drawing/2014/main" id="{00000000-0008-0000-1200-00009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55" name="Straight Arrow Connector 4754">
          <a:extLst>
            <a:ext uri="{FF2B5EF4-FFF2-40B4-BE49-F238E27FC236}">
              <a16:creationId xmlns:a16="http://schemas.microsoft.com/office/drawing/2014/main" id="{00000000-0008-0000-1200-000093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6" name="Straight Arrow Connector 4755">
          <a:extLst>
            <a:ext uri="{FF2B5EF4-FFF2-40B4-BE49-F238E27FC236}">
              <a16:creationId xmlns:a16="http://schemas.microsoft.com/office/drawing/2014/main" id="{00000000-0008-0000-1200-00009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57" name="Straight Arrow Connector 4756">
          <a:extLst>
            <a:ext uri="{FF2B5EF4-FFF2-40B4-BE49-F238E27FC236}">
              <a16:creationId xmlns:a16="http://schemas.microsoft.com/office/drawing/2014/main" id="{00000000-0008-0000-1200-000095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58" name="Straight Arrow Connector 4757">
          <a:extLst>
            <a:ext uri="{FF2B5EF4-FFF2-40B4-BE49-F238E27FC236}">
              <a16:creationId xmlns:a16="http://schemas.microsoft.com/office/drawing/2014/main" id="{00000000-0008-0000-1200-00009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59" name="Straight Arrow Connector 4758">
          <a:extLst>
            <a:ext uri="{FF2B5EF4-FFF2-40B4-BE49-F238E27FC236}">
              <a16:creationId xmlns:a16="http://schemas.microsoft.com/office/drawing/2014/main" id="{00000000-0008-0000-1200-000097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0" name="Straight Arrow Connector 4759">
          <a:extLst>
            <a:ext uri="{FF2B5EF4-FFF2-40B4-BE49-F238E27FC236}">
              <a16:creationId xmlns:a16="http://schemas.microsoft.com/office/drawing/2014/main" id="{00000000-0008-0000-1200-00009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1" name="Straight Arrow Connector 4760">
          <a:extLst>
            <a:ext uri="{FF2B5EF4-FFF2-40B4-BE49-F238E27FC236}">
              <a16:creationId xmlns:a16="http://schemas.microsoft.com/office/drawing/2014/main" id="{00000000-0008-0000-1200-00009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2" name="Straight Arrow Connector 4761">
          <a:extLst>
            <a:ext uri="{FF2B5EF4-FFF2-40B4-BE49-F238E27FC236}">
              <a16:creationId xmlns:a16="http://schemas.microsoft.com/office/drawing/2014/main" id="{00000000-0008-0000-1200-00009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63" name="Straight Arrow Connector 4762">
          <a:extLst>
            <a:ext uri="{FF2B5EF4-FFF2-40B4-BE49-F238E27FC236}">
              <a16:creationId xmlns:a16="http://schemas.microsoft.com/office/drawing/2014/main" id="{00000000-0008-0000-1200-00009B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4" name="Straight Arrow Connector 4763">
          <a:extLst>
            <a:ext uri="{FF2B5EF4-FFF2-40B4-BE49-F238E27FC236}">
              <a16:creationId xmlns:a16="http://schemas.microsoft.com/office/drawing/2014/main" id="{00000000-0008-0000-1200-00009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65" name="Straight Arrow Connector 4764">
          <a:extLst>
            <a:ext uri="{FF2B5EF4-FFF2-40B4-BE49-F238E27FC236}">
              <a16:creationId xmlns:a16="http://schemas.microsoft.com/office/drawing/2014/main" id="{00000000-0008-0000-1200-00009D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6" name="Straight Arrow Connector 4765">
          <a:extLst>
            <a:ext uri="{FF2B5EF4-FFF2-40B4-BE49-F238E27FC236}">
              <a16:creationId xmlns:a16="http://schemas.microsoft.com/office/drawing/2014/main" id="{00000000-0008-0000-1200-00009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67" name="Straight Arrow Connector 4766">
          <a:extLst>
            <a:ext uri="{FF2B5EF4-FFF2-40B4-BE49-F238E27FC236}">
              <a16:creationId xmlns:a16="http://schemas.microsoft.com/office/drawing/2014/main" id="{00000000-0008-0000-1200-00009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68" name="Straight Arrow Connector 4767">
          <a:extLst>
            <a:ext uri="{FF2B5EF4-FFF2-40B4-BE49-F238E27FC236}">
              <a16:creationId xmlns:a16="http://schemas.microsoft.com/office/drawing/2014/main" id="{00000000-0008-0000-1200-0000A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69" name="Straight Arrow Connector 4768">
          <a:extLst>
            <a:ext uri="{FF2B5EF4-FFF2-40B4-BE49-F238E27FC236}">
              <a16:creationId xmlns:a16="http://schemas.microsoft.com/office/drawing/2014/main" id="{00000000-0008-0000-1200-0000A1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70" name="Straight Arrow Connector 4769">
          <a:extLst>
            <a:ext uri="{FF2B5EF4-FFF2-40B4-BE49-F238E27FC236}">
              <a16:creationId xmlns:a16="http://schemas.microsoft.com/office/drawing/2014/main" id="{00000000-0008-0000-1200-0000A2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1" name="Straight Arrow Connector 4770">
          <a:extLst>
            <a:ext uri="{FF2B5EF4-FFF2-40B4-BE49-F238E27FC236}">
              <a16:creationId xmlns:a16="http://schemas.microsoft.com/office/drawing/2014/main" id="{00000000-0008-0000-1200-0000A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2" name="Straight Arrow Connector 4771">
          <a:extLst>
            <a:ext uri="{FF2B5EF4-FFF2-40B4-BE49-F238E27FC236}">
              <a16:creationId xmlns:a16="http://schemas.microsoft.com/office/drawing/2014/main" id="{00000000-0008-0000-1200-0000A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3" name="Straight Arrow Connector 4772">
          <a:extLst>
            <a:ext uri="{FF2B5EF4-FFF2-40B4-BE49-F238E27FC236}">
              <a16:creationId xmlns:a16="http://schemas.microsoft.com/office/drawing/2014/main" id="{00000000-0008-0000-1200-0000A5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4" name="Straight Arrow Connector 4773">
          <a:extLst>
            <a:ext uri="{FF2B5EF4-FFF2-40B4-BE49-F238E27FC236}">
              <a16:creationId xmlns:a16="http://schemas.microsoft.com/office/drawing/2014/main" id="{00000000-0008-0000-1200-0000A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5" name="Straight Arrow Connector 4774">
          <a:extLst>
            <a:ext uri="{FF2B5EF4-FFF2-40B4-BE49-F238E27FC236}">
              <a16:creationId xmlns:a16="http://schemas.microsoft.com/office/drawing/2014/main" id="{00000000-0008-0000-1200-0000A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6" name="Straight Arrow Connector 4775">
          <a:extLst>
            <a:ext uri="{FF2B5EF4-FFF2-40B4-BE49-F238E27FC236}">
              <a16:creationId xmlns:a16="http://schemas.microsoft.com/office/drawing/2014/main" id="{00000000-0008-0000-1200-0000A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7" name="Straight Arrow Connector 4776">
          <a:extLst>
            <a:ext uri="{FF2B5EF4-FFF2-40B4-BE49-F238E27FC236}">
              <a16:creationId xmlns:a16="http://schemas.microsoft.com/office/drawing/2014/main" id="{00000000-0008-0000-1200-0000A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78" name="Straight Arrow Connector 4777">
          <a:extLst>
            <a:ext uri="{FF2B5EF4-FFF2-40B4-BE49-F238E27FC236}">
              <a16:creationId xmlns:a16="http://schemas.microsoft.com/office/drawing/2014/main" id="{00000000-0008-0000-1200-0000A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79" name="Straight Arrow Connector 4778">
          <a:extLst>
            <a:ext uri="{FF2B5EF4-FFF2-40B4-BE49-F238E27FC236}">
              <a16:creationId xmlns:a16="http://schemas.microsoft.com/office/drawing/2014/main" id="{00000000-0008-0000-1200-0000AB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0" name="Straight Arrow Connector 4779">
          <a:extLst>
            <a:ext uri="{FF2B5EF4-FFF2-40B4-BE49-F238E27FC236}">
              <a16:creationId xmlns:a16="http://schemas.microsoft.com/office/drawing/2014/main" id="{00000000-0008-0000-1200-0000A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81" name="Straight Arrow Connector 4780">
          <a:extLst>
            <a:ext uri="{FF2B5EF4-FFF2-40B4-BE49-F238E27FC236}">
              <a16:creationId xmlns:a16="http://schemas.microsoft.com/office/drawing/2014/main" id="{00000000-0008-0000-1200-0000AD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2" name="Straight Arrow Connector 4781">
          <a:extLst>
            <a:ext uri="{FF2B5EF4-FFF2-40B4-BE49-F238E27FC236}">
              <a16:creationId xmlns:a16="http://schemas.microsoft.com/office/drawing/2014/main" id="{00000000-0008-0000-1200-0000A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83" name="Straight Arrow Connector 4782">
          <a:extLst>
            <a:ext uri="{FF2B5EF4-FFF2-40B4-BE49-F238E27FC236}">
              <a16:creationId xmlns:a16="http://schemas.microsoft.com/office/drawing/2014/main" id="{00000000-0008-0000-1200-0000A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4" name="Straight Arrow Connector 4783">
          <a:extLst>
            <a:ext uri="{FF2B5EF4-FFF2-40B4-BE49-F238E27FC236}">
              <a16:creationId xmlns:a16="http://schemas.microsoft.com/office/drawing/2014/main" id="{00000000-0008-0000-1200-0000B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85" name="Straight Arrow Connector 4784">
          <a:extLst>
            <a:ext uri="{FF2B5EF4-FFF2-40B4-BE49-F238E27FC236}">
              <a16:creationId xmlns:a16="http://schemas.microsoft.com/office/drawing/2014/main" id="{00000000-0008-0000-1200-0000B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6" name="Straight Arrow Connector 4785">
          <a:extLst>
            <a:ext uri="{FF2B5EF4-FFF2-40B4-BE49-F238E27FC236}">
              <a16:creationId xmlns:a16="http://schemas.microsoft.com/office/drawing/2014/main" id="{00000000-0008-0000-1200-0000B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7" name="Straight Arrow Connector 4786">
          <a:extLst>
            <a:ext uri="{FF2B5EF4-FFF2-40B4-BE49-F238E27FC236}">
              <a16:creationId xmlns:a16="http://schemas.microsoft.com/office/drawing/2014/main" id="{00000000-0008-0000-1200-0000B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88" name="Straight Arrow Connector 4787">
          <a:extLst>
            <a:ext uri="{FF2B5EF4-FFF2-40B4-BE49-F238E27FC236}">
              <a16:creationId xmlns:a16="http://schemas.microsoft.com/office/drawing/2014/main" id="{00000000-0008-0000-1200-0000B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89" name="Straight Arrow Connector 4788">
          <a:extLst>
            <a:ext uri="{FF2B5EF4-FFF2-40B4-BE49-F238E27FC236}">
              <a16:creationId xmlns:a16="http://schemas.microsoft.com/office/drawing/2014/main" id="{00000000-0008-0000-1200-0000B5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90" name="Straight Arrow Connector 4789">
          <a:extLst>
            <a:ext uri="{FF2B5EF4-FFF2-40B4-BE49-F238E27FC236}">
              <a16:creationId xmlns:a16="http://schemas.microsoft.com/office/drawing/2014/main" id="{00000000-0008-0000-1200-0000B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91" name="Straight Arrow Connector 4790">
          <a:extLst>
            <a:ext uri="{FF2B5EF4-FFF2-40B4-BE49-F238E27FC236}">
              <a16:creationId xmlns:a16="http://schemas.microsoft.com/office/drawing/2014/main" id="{00000000-0008-0000-1200-0000B7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92" name="Straight Arrow Connector 4791">
          <a:extLst>
            <a:ext uri="{FF2B5EF4-FFF2-40B4-BE49-F238E27FC236}">
              <a16:creationId xmlns:a16="http://schemas.microsoft.com/office/drawing/2014/main" id="{00000000-0008-0000-1200-0000B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793" name="Straight Arrow Connector 4792">
          <a:extLst>
            <a:ext uri="{FF2B5EF4-FFF2-40B4-BE49-F238E27FC236}">
              <a16:creationId xmlns:a16="http://schemas.microsoft.com/office/drawing/2014/main" id="{00000000-0008-0000-1200-0000B9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94" name="Straight Arrow Connector 4793">
          <a:extLst>
            <a:ext uri="{FF2B5EF4-FFF2-40B4-BE49-F238E27FC236}">
              <a16:creationId xmlns:a16="http://schemas.microsoft.com/office/drawing/2014/main" id="{00000000-0008-0000-1200-0000B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95" name="Straight Arrow Connector 4794">
          <a:extLst>
            <a:ext uri="{FF2B5EF4-FFF2-40B4-BE49-F238E27FC236}">
              <a16:creationId xmlns:a16="http://schemas.microsoft.com/office/drawing/2014/main" id="{00000000-0008-0000-1200-0000BB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796" name="Straight Arrow Connector 4795">
          <a:extLst>
            <a:ext uri="{FF2B5EF4-FFF2-40B4-BE49-F238E27FC236}">
              <a16:creationId xmlns:a16="http://schemas.microsoft.com/office/drawing/2014/main" id="{00000000-0008-0000-1200-0000BC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97" name="Straight Arrow Connector 4796">
          <a:extLst>
            <a:ext uri="{FF2B5EF4-FFF2-40B4-BE49-F238E27FC236}">
              <a16:creationId xmlns:a16="http://schemas.microsoft.com/office/drawing/2014/main" id="{00000000-0008-0000-1200-0000BD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798" name="Straight Arrow Connector 4797">
          <a:extLst>
            <a:ext uri="{FF2B5EF4-FFF2-40B4-BE49-F238E27FC236}">
              <a16:creationId xmlns:a16="http://schemas.microsoft.com/office/drawing/2014/main" id="{00000000-0008-0000-1200-0000B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799" name="Straight Arrow Connector 4798">
          <a:extLst>
            <a:ext uri="{FF2B5EF4-FFF2-40B4-BE49-F238E27FC236}">
              <a16:creationId xmlns:a16="http://schemas.microsoft.com/office/drawing/2014/main" id="{00000000-0008-0000-1200-0000B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0" name="Straight Arrow Connector 4799">
          <a:extLst>
            <a:ext uri="{FF2B5EF4-FFF2-40B4-BE49-F238E27FC236}">
              <a16:creationId xmlns:a16="http://schemas.microsoft.com/office/drawing/2014/main" id="{00000000-0008-0000-1200-0000C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01" name="Straight Arrow Connector 4800">
          <a:extLst>
            <a:ext uri="{FF2B5EF4-FFF2-40B4-BE49-F238E27FC236}">
              <a16:creationId xmlns:a16="http://schemas.microsoft.com/office/drawing/2014/main" id="{00000000-0008-0000-1200-0000C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2" name="Straight Arrow Connector 4801">
          <a:extLst>
            <a:ext uri="{FF2B5EF4-FFF2-40B4-BE49-F238E27FC236}">
              <a16:creationId xmlns:a16="http://schemas.microsoft.com/office/drawing/2014/main" id="{00000000-0008-0000-1200-0000C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03" name="Straight Arrow Connector 4802">
          <a:extLst>
            <a:ext uri="{FF2B5EF4-FFF2-40B4-BE49-F238E27FC236}">
              <a16:creationId xmlns:a16="http://schemas.microsoft.com/office/drawing/2014/main" id="{00000000-0008-0000-1200-0000C3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4" name="Straight Arrow Connector 4803">
          <a:extLst>
            <a:ext uri="{FF2B5EF4-FFF2-40B4-BE49-F238E27FC236}">
              <a16:creationId xmlns:a16="http://schemas.microsoft.com/office/drawing/2014/main" id="{00000000-0008-0000-1200-0000C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05" name="Straight Arrow Connector 4804">
          <a:extLst>
            <a:ext uri="{FF2B5EF4-FFF2-40B4-BE49-F238E27FC236}">
              <a16:creationId xmlns:a16="http://schemas.microsoft.com/office/drawing/2014/main" id="{00000000-0008-0000-1200-0000C5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6" name="Straight Arrow Connector 4805">
          <a:extLst>
            <a:ext uri="{FF2B5EF4-FFF2-40B4-BE49-F238E27FC236}">
              <a16:creationId xmlns:a16="http://schemas.microsoft.com/office/drawing/2014/main" id="{00000000-0008-0000-1200-0000C6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07" name="Straight Arrow Connector 4806">
          <a:extLst>
            <a:ext uri="{FF2B5EF4-FFF2-40B4-BE49-F238E27FC236}">
              <a16:creationId xmlns:a16="http://schemas.microsoft.com/office/drawing/2014/main" id="{00000000-0008-0000-1200-0000C7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08" name="Straight Arrow Connector 4807">
          <a:extLst>
            <a:ext uri="{FF2B5EF4-FFF2-40B4-BE49-F238E27FC236}">
              <a16:creationId xmlns:a16="http://schemas.microsoft.com/office/drawing/2014/main" id="{00000000-0008-0000-1200-0000C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09" name="Straight Arrow Connector 4808">
          <a:extLst>
            <a:ext uri="{FF2B5EF4-FFF2-40B4-BE49-F238E27FC236}">
              <a16:creationId xmlns:a16="http://schemas.microsoft.com/office/drawing/2014/main" id="{00000000-0008-0000-1200-0000C9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0" name="Straight Arrow Connector 4809">
          <a:extLst>
            <a:ext uri="{FF2B5EF4-FFF2-40B4-BE49-F238E27FC236}">
              <a16:creationId xmlns:a16="http://schemas.microsoft.com/office/drawing/2014/main" id="{00000000-0008-0000-1200-0000C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11" name="Straight Arrow Connector 4810">
          <a:extLst>
            <a:ext uri="{FF2B5EF4-FFF2-40B4-BE49-F238E27FC236}">
              <a16:creationId xmlns:a16="http://schemas.microsoft.com/office/drawing/2014/main" id="{00000000-0008-0000-1200-0000CB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2" name="Straight Arrow Connector 4811">
          <a:extLst>
            <a:ext uri="{FF2B5EF4-FFF2-40B4-BE49-F238E27FC236}">
              <a16:creationId xmlns:a16="http://schemas.microsoft.com/office/drawing/2014/main" id="{00000000-0008-0000-1200-0000C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3" name="Straight Arrow Connector 4812">
          <a:extLst>
            <a:ext uri="{FF2B5EF4-FFF2-40B4-BE49-F238E27FC236}">
              <a16:creationId xmlns:a16="http://schemas.microsoft.com/office/drawing/2014/main" id="{00000000-0008-0000-1200-0000C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4" name="Straight Arrow Connector 4813">
          <a:extLst>
            <a:ext uri="{FF2B5EF4-FFF2-40B4-BE49-F238E27FC236}">
              <a16:creationId xmlns:a16="http://schemas.microsoft.com/office/drawing/2014/main" id="{00000000-0008-0000-1200-0000CE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15" name="Straight Arrow Connector 4814">
          <a:extLst>
            <a:ext uri="{FF2B5EF4-FFF2-40B4-BE49-F238E27FC236}">
              <a16:creationId xmlns:a16="http://schemas.microsoft.com/office/drawing/2014/main" id="{00000000-0008-0000-1200-0000CF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6" name="Straight Arrow Connector 4815">
          <a:extLst>
            <a:ext uri="{FF2B5EF4-FFF2-40B4-BE49-F238E27FC236}">
              <a16:creationId xmlns:a16="http://schemas.microsoft.com/office/drawing/2014/main" id="{00000000-0008-0000-1200-0000D0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17" name="Straight Arrow Connector 4816">
          <a:extLst>
            <a:ext uri="{FF2B5EF4-FFF2-40B4-BE49-F238E27FC236}">
              <a16:creationId xmlns:a16="http://schemas.microsoft.com/office/drawing/2014/main" id="{00000000-0008-0000-1200-0000D1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18" name="Straight Arrow Connector 4817">
          <a:extLst>
            <a:ext uri="{FF2B5EF4-FFF2-40B4-BE49-F238E27FC236}">
              <a16:creationId xmlns:a16="http://schemas.microsoft.com/office/drawing/2014/main" id="{00000000-0008-0000-1200-0000D2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19" name="Straight Arrow Connector 4818">
          <a:extLst>
            <a:ext uri="{FF2B5EF4-FFF2-40B4-BE49-F238E27FC236}">
              <a16:creationId xmlns:a16="http://schemas.microsoft.com/office/drawing/2014/main" id="{00000000-0008-0000-1200-0000D3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0" name="Straight Arrow Connector 4819">
          <a:extLst>
            <a:ext uri="{FF2B5EF4-FFF2-40B4-BE49-F238E27FC236}">
              <a16:creationId xmlns:a16="http://schemas.microsoft.com/office/drawing/2014/main" id="{00000000-0008-0000-1200-0000D4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21" name="Straight Arrow Connector 4820">
          <a:extLst>
            <a:ext uri="{FF2B5EF4-FFF2-40B4-BE49-F238E27FC236}">
              <a16:creationId xmlns:a16="http://schemas.microsoft.com/office/drawing/2014/main" id="{00000000-0008-0000-1200-0000D5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22" name="Straight Arrow Connector 4821">
          <a:extLst>
            <a:ext uri="{FF2B5EF4-FFF2-40B4-BE49-F238E27FC236}">
              <a16:creationId xmlns:a16="http://schemas.microsoft.com/office/drawing/2014/main" id="{00000000-0008-0000-1200-0000D6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3" name="Straight Arrow Connector 4822">
          <a:extLst>
            <a:ext uri="{FF2B5EF4-FFF2-40B4-BE49-F238E27FC236}">
              <a16:creationId xmlns:a16="http://schemas.microsoft.com/office/drawing/2014/main" id="{00000000-0008-0000-1200-0000D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4" name="Straight Arrow Connector 4823">
          <a:extLst>
            <a:ext uri="{FF2B5EF4-FFF2-40B4-BE49-F238E27FC236}">
              <a16:creationId xmlns:a16="http://schemas.microsoft.com/office/drawing/2014/main" id="{00000000-0008-0000-1200-0000D8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5" name="Straight Arrow Connector 4824">
          <a:extLst>
            <a:ext uri="{FF2B5EF4-FFF2-40B4-BE49-F238E27FC236}">
              <a16:creationId xmlns:a16="http://schemas.microsoft.com/office/drawing/2014/main" id="{00000000-0008-0000-1200-0000D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6" name="Straight Arrow Connector 4825">
          <a:extLst>
            <a:ext uri="{FF2B5EF4-FFF2-40B4-BE49-F238E27FC236}">
              <a16:creationId xmlns:a16="http://schemas.microsoft.com/office/drawing/2014/main" id="{00000000-0008-0000-1200-0000DA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7" name="Straight Arrow Connector 4826">
          <a:extLst>
            <a:ext uri="{FF2B5EF4-FFF2-40B4-BE49-F238E27FC236}">
              <a16:creationId xmlns:a16="http://schemas.microsoft.com/office/drawing/2014/main" id="{00000000-0008-0000-1200-0000D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8" name="Straight Arrow Connector 4827">
          <a:extLst>
            <a:ext uri="{FF2B5EF4-FFF2-40B4-BE49-F238E27FC236}">
              <a16:creationId xmlns:a16="http://schemas.microsoft.com/office/drawing/2014/main" id="{00000000-0008-0000-1200-0000DC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29" name="Straight Arrow Connector 4828">
          <a:extLst>
            <a:ext uri="{FF2B5EF4-FFF2-40B4-BE49-F238E27FC236}">
              <a16:creationId xmlns:a16="http://schemas.microsoft.com/office/drawing/2014/main" id="{00000000-0008-0000-1200-0000D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30" name="Straight Arrow Connector 4829">
          <a:extLst>
            <a:ext uri="{FF2B5EF4-FFF2-40B4-BE49-F238E27FC236}">
              <a16:creationId xmlns:a16="http://schemas.microsoft.com/office/drawing/2014/main" id="{00000000-0008-0000-1200-0000DE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31" name="Straight Arrow Connector 4830">
          <a:extLst>
            <a:ext uri="{FF2B5EF4-FFF2-40B4-BE49-F238E27FC236}">
              <a16:creationId xmlns:a16="http://schemas.microsoft.com/office/drawing/2014/main" id="{00000000-0008-0000-1200-0000D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32" name="Straight Arrow Connector 4831">
          <a:extLst>
            <a:ext uri="{FF2B5EF4-FFF2-40B4-BE49-F238E27FC236}">
              <a16:creationId xmlns:a16="http://schemas.microsoft.com/office/drawing/2014/main" id="{00000000-0008-0000-1200-0000E0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33" name="Straight Arrow Connector 4832">
          <a:extLst>
            <a:ext uri="{FF2B5EF4-FFF2-40B4-BE49-F238E27FC236}">
              <a16:creationId xmlns:a16="http://schemas.microsoft.com/office/drawing/2014/main" id="{00000000-0008-0000-1200-0000E1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34" name="Straight Arrow Connector 4833">
          <a:extLst>
            <a:ext uri="{FF2B5EF4-FFF2-40B4-BE49-F238E27FC236}">
              <a16:creationId xmlns:a16="http://schemas.microsoft.com/office/drawing/2014/main" id="{00000000-0008-0000-1200-0000E2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35" name="Straight Arrow Connector 4834">
          <a:extLst>
            <a:ext uri="{FF2B5EF4-FFF2-40B4-BE49-F238E27FC236}">
              <a16:creationId xmlns:a16="http://schemas.microsoft.com/office/drawing/2014/main" id="{00000000-0008-0000-1200-0000E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36" name="Straight Arrow Connector 4835">
          <a:extLst>
            <a:ext uri="{FF2B5EF4-FFF2-40B4-BE49-F238E27FC236}">
              <a16:creationId xmlns:a16="http://schemas.microsoft.com/office/drawing/2014/main" id="{00000000-0008-0000-1200-0000E4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37" name="Straight Arrow Connector 4836">
          <a:extLst>
            <a:ext uri="{FF2B5EF4-FFF2-40B4-BE49-F238E27FC236}">
              <a16:creationId xmlns:a16="http://schemas.microsoft.com/office/drawing/2014/main" id="{00000000-0008-0000-1200-0000E5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38" name="Straight Arrow Connector 4837">
          <a:extLst>
            <a:ext uri="{FF2B5EF4-FFF2-40B4-BE49-F238E27FC236}">
              <a16:creationId xmlns:a16="http://schemas.microsoft.com/office/drawing/2014/main" id="{00000000-0008-0000-1200-0000E6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39" name="Straight Arrow Connector 4838">
          <a:extLst>
            <a:ext uri="{FF2B5EF4-FFF2-40B4-BE49-F238E27FC236}">
              <a16:creationId xmlns:a16="http://schemas.microsoft.com/office/drawing/2014/main" id="{00000000-0008-0000-1200-0000E7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40" name="Straight Arrow Connector 4839">
          <a:extLst>
            <a:ext uri="{FF2B5EF4-FFF2-40B4-BE49-F238E27FC236}">
              <a16:creationId xmlns:a16="http://schemas.microsoft.com/office/drawing/2014/main" id="{00000000-0008-0000-1200-0000E8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1" name="Straight Arrow Connector 4840">
          <a:extLst>
            <a:ext uri="{FF2B5EF4-FFF2-40B4-BE49-F238E27FC236}">
              <a16:creationId xmlns:a16="http://schemas.microsoft.com/office/drawing/2014/main" id="{00000000-0008-0000-1200-0000E9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42" name="Straight Arrow Connector 4841">
          <a:extLst>
            <a:ext uri="{FF2B5EF4-FFF2-40B4-BE49-F238E27FC236}">
              <a16:creationId xmlns:a16="http://schemas.microsoft.com/office/drawing/2014/main" id="{00000000-0008-0000-1200-0000EA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3" name="Straight Arrow Connector 4842">
          <a:extLst>
            <a:ext uri="{FF2B5EF4-FFF2-40B4-BE49-F238E27FC236}">
              <a16:creationId xmlns:a16="http://schemas.microsoft.com/office/drawing/2014/main" id="{00000000-0008-0000-1200-0000EB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44" name="Straight Arrow Connector 4843">
          <a:extLst>
            <a:ext uri="{FF2B5EF4-FFF2-40B4-BE49-F238E27FC236}">
              <a16:creationId xmlns:a16="http://schemas.microsoft.com/office/drawing/2014/main" id="{00000000-0008-0000-1200-0000EC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5" name="Straight Arrow Connector 4844">
          <a:extLst>
            <a:ext uri="{FF2B5EF4-FFF2-40B4-BE49-F238E27FC236}">
              <a16:creationId xmlns:a16="http://schemas.microsoft.com/office/drawing/2014/main" id="{00000000-0008-0000-1200-0000ED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1719</xdr:row>
      <xdr:rowOff>31750</xdr:rowOff>
    </xdr:from>
    <xdr:to>
      <xdr:col>16</xdr:col>
      <xdr:colOff>42334</xdr:colOff>
      <xdr:row>1726</xdr:row>
      <xdr:rowOff>63501</xdr:rowOff>
    </xdr:to>
    <xdr:cxnSp macro="">
      <xdr:nvCxnSpPr>
        <xdr:cNvPr id="4846" name="Straight Arrow Connector 4845">
          <a:extLst>
            <a:ext uri="{FF2B5EF4-FFF2-40B4-BE49-F238E27FC236}">
              <a16:creationId xmlns:a16="http://schemas.microsoft.com/office/drawing/2014/main" id="{00000000-0008-0000-1200-0000EE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7" name="Straight Arrow Connector 4846">
          <a:extLst>
            <a:ext uri="{FF2B5EF4-FFF2-40B4-BE49-F238E27FC236}">
              <a16:creationId xmlns:a16="http://schemas.microsoft.com/office/drawing/2014/main" id="{00000000-0008-0000-1200-0000EF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48" name="Straight Arrow Connector 4847">
          <a:extLst>
            <a:ext uri="{FF2B5EF4-FFF2-40B4-BE49-F238E27FC236}">
              <a16:creationId xmlns:a16="http://schemas.microsoft.com/office/drawing/2014/main" id="{00000000-0008-0000-1200-0000F0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49" name="Straight Arrow Connector 4848">
          <a:extLst>
            <a:ext uri="{FF2B5EF4-FFF2-40B4-BE49-F238E27FC236}">
              <a16:creationId xmlns:a16="http://schemas.microsoft.com/office/drawing/2014/main" id="{00000000-0008-0000-1200-0000F1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1719</xdr:row>
      <xdr:rowOff>31750</xdr:rowOff>
    </xdr:from>
    <xdr:to>
      <xdr:col>16</xdr:col>
      <xdr:colOff>42334</xdr:colOff>
      <xdr:row>1726</xdr:row>
      <xdr:rowOff>63501</xdr:rowOff>
    </xdr:to>
    <xdr:cxnSp macro="">
      <xdr:nvCxnSpPr>
        <xdr:cNvPr id="4850" name="Straight Arrow Connector 4849">
          <a:extLst>
            <a:ext uri="{FF2B5EF4-FFF2-40B4-BE49-F238E27FC236}">
              <a16:creationId xmlns:a16="http://schemas.microsoft.com/office/drawing/2014/main" id="{00000000-0008-0000-1200-0000F2120000}"/>
            </a:ext>
          </a:extLst>
        </xdr:cNvPr>
        <xdr:cNvCxnSpPr/>
      </xdr:nvCxnSpPr>
      <xdr:spPr>
        <a:xfrm>
          <a:off x="11281833" y="321405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1732</xdr:row>
      <xdr:rowOff>31750</xdr:rowOff>
    </xdr:from>
    <xdr:to>
      <xdr:col>16</xdr:col>
      <xdr:colOff>21167</xdr:colOff>
      <xdr:row>1739</xdr:row>
      <xdr:rowOff>95250</xdr:rowOff>
    </xdr:to>
    <xdr:cxnSp macro="">
      <xdr:nvCxnSpPr>
        <xdr:cNvPr id="4851" name="Straight Arrow Connector 4850">
          <a:extLst>
            <a:ext uri="{FF2B5EF4-FFF2-40B4-BE49-F238E27FC236}">
              <a16:creationId xmlns:a16="http://schemas.microsoft.com/office/drawing/2014/main" id="{00000000-0008-0000-1200-0000F3120000}"/>
            </a:ext>
          </a:extLst>
        </xdr:cNvPr>
        <xdr:cNvCxnSpPr/>
      </xdr:nvCxnSpPr>
      <xdr:spPr>
        <a:xfrm>
          <a:off x="11324166" y="3240722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52" name="Straight Arrow Connector 4851">
          <a:extLst>
            <a:ext uri="{FF2B5EF4-FFF2-40B4-BE49-F238E27FC236}">
              <a16:creationId xmlns:a16="http://schemas.microsoft.com/office/drawing/2014/main" id="{00000000-0008-0000-1200-0000F4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1745</xdr:row>
      <xdr:rowOff>31750</xdr:rowOff>
    </xdr:from>
    <xdr:to>
      <xdr:col>16</xdr:col>
      <xdr:colOff>42334</xdr:colOff>
      <xdr:row>1752</xdr:row>
      <xdr:rowOff>63501</xdr:rowOff>
    </xdr:to>
    <xdr:cxnSp macro="">
      <xdr:nvCxnSpPr>
        <xdr:cNvPr id="4853" name="Straight Arrow Connector 4852">
          <a:extLst>
            <a:ext uri="{FF2B5EF4-FFF2-40B4-BE49-F238E27FC236}">
              <a16:creationId xmlns:a16="http://schemas.microsoft.com/office/drawing/2014/main" id="{00000000-0008-0000-1200-0000F5120000}"/>
            </a:ext>
          </a:extLst>
        </xdr:cNvPr>
        <xdr:cNvCxnSpPr/>
      </xdr:nvCxnSpPr>
      <xdr:spPr>
        <a:xfrm>
          <a:off x="11281833" y="326548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54" name="Straight Arrow Connector 4853">
          <a:extLst>
            <a:ext uri="{FF2B5EF4-FFF2-40B4-BE49-F238E27FC236}">
              <a16:creationId xmlns:a16="http://schemas.microsoft.com/office/drawing/2014/main" id="{00000000-0008-0000-1200-0000F6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55" name="Straight Arrow Connector 4854">
          <a:extLst>
            <a:ext uri="{FF2B5EF4-FFF2-40B4-BE49-F238E27FC236}">
              <a16:creationId xmlns:a16="http://schemas.microsoft.com/office/drawing/2014/main" id="{00000000-0008-0000-1200-0000F7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56" name="Straight Arrow Connector 4855">
          <a:extLst>
            <a:ext uri="{FF2B5EF4-FFF2-40B4-BE49-F238E27FC236}">
              <a16:creationId xmlns:a16="http://schemas.microsoft.com/office/drawing/2014/main" id="{00000000-0008-0000-1200-0000F8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57" name="Straight Arrow Connector 4856">
          <a:extLst>
            <a:ext uri="{FF2B5EF4-FFF2-40B4-BE49-F238E27FC236}">
              <a16:creationId xmlns:a16="http://schemas.microsoft.com/office/drawing/2014/main" id="{00000000-0008-0000-1200-0000F9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58" name="Straight Arrow Connector 4857">
          <a:extLst>
            <a:ext uri="{FF2B5EF4-FFF2-40B4-BE49-F238E27FC236}">
              <a16:creationId xmlns:a16="http://schemas.microsoft.com/office/drawing/2014/main" id="{00000000-0008-0000-1200-0000FA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59" name="Straight Arrow Connector 4858">
          <a:extLst>
            <a:ext uri="{FF2B5EF4-FFF2-40B4-BE49-F238E27FC236}">
              <a16:creationId xmlns:a16="http://schemas.microsoft.com/office/drawing/2014/main" id="{00000000-0008-0000-1200-0000FB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60" name="Straight Arrow Connector 4859">
          <a:extLst>
            <a:ext uri="{FF2B5EF4-FFF2-40B4-BE49-F238E27FC236}">
              <a16:creationId xmlns:a16="http://schemas.microsoft.com/office/drawing/2014/main" id="{00000000-0008-0000-1200-0000FC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1" name="Straight Arrow Connector 4860">
          <a:extLst>
            <a:ext uri="{FF2B5EF4-FFF2-40B4-BE49-F238E27FC236}">
              <a16:creationId xmlns:a16="http://schemas.microsoft.com/office/drawing/2014/main" id="{00000000-0008-0000-1200-0000FD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862" name="Straight Arrow Connector 4861">
          <a:extLst>
            <a:ext uri="{FF2B5EF4-FFF2-40B4-BE49-F238E27FC236}">
              <a16:creationId xmlns:a16="http://schemas.microsoft.com/office/drawing/2014/main" id="{00000000-0008-0000-1200-0000FE12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3" name="Straight Arrow Connector 4862">
          <a:extLst>
            <a:ext uri="{FF2B5EF4-FFF2-40B4-BE49-F238E27FC236}">
              <a16:creationId xmlns:a16="http://schemas.microsoft.com/office/drawing/2014/main" id="{00000000-0008-0000-1200-0000FF12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64" name="Straight Arrow Connector 4863">
          <a:extLst>
            <a:ext uri="{FF2B5EF4-FFF2-40B4-BE49-F238E27FC236}">
              <a16:creationId xmlns:a16="http://schemas.microsoft.com/office/drawing/2014/main" id="{00000000-0008-0000-1200-00000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5" name="Straight Arrow Connector 4864">
          <a:extLst>
            <a:ext uri="{FF2B5EF4-FFF2-40B4-BE49-F238E27FC236}">
              <a16:creationId xmlns:a16="http://schemas.microsoft.com/office/drawing/2014/main" id="{00000000-0008-0000-1200-00000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66" name="Straight Arrow Connector 4865">
          <a:extLst>
            <a:ext uri="{FF2B5EF4-FFF2-40B4-BE49-F238E27FC236}">
              <a16:creationId xmlns:a16="http://schemas.microsoft.com/office/drawing/2014/main" id="{00000000-0008-0000-1200-00000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7" name="Straight Arrow Connector 4866">
          <a:extLst>
            <a:ext uri="{FF2B5EF4-FFF2-40B4-BE49-F238E27FC236}">
              <a16:creationId xmlns:a16="http://schemas.microsoft.com/office/drawing/2014/main" id="{00000000-0008-0000-1200-00000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68" name="Straight Arrow Connector 4867">
          <a:extLst>
            <a:ext uri="{FF2B5EF4-FFF2-40B4-BE49-F238E27FC236}">
              <a16:creationId xmlns:a16="http://schemas.microsoft.com/office/drawing/2014/main" id="{00000000-0008-0000-1200-00000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69" name="Straight Arrow Connector 4868">
          <a:extLst>
            <a:ext uri="{FF2B5EF4-FFF2-40B4-BE49-F238E27FC236}">
              <a16:creationId xmlns:a16="http://schemas.microsoft.com/office/drawing/2014/main" id="{00000000-0008-0000-1200-00000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0" name="Straight Arrow Connector 4869">
          <a:extLst>
            <a:ext uri="{FF2B5EF4-FFF2-40B4-BE49-F238E27FC236}">
              <a16:creationId xmlns:a16="http://schemas.microsoft.com/office/drawing/2014/main" id="{00000000-0008-0000-1200-00000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1" name="Straight Arrow Connector 4870">
          <a:extLst>
            <a:ext uri="{FF2B5EF4-FFF2-40B4-BE49-F238E27FC236}">
              <a16:creationId xmlns:a16="http://schemas.microsoft.com/office/drawing/2014/main" id="{00000000-0008-0000-1200-00000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72" name="Straight Arrow Connector 4871">
          <a:extLst>
            <a:ext uri="{FF2B5EF4-FFF2-40B4-BE49-F238E27FC236}">
              <a16:creationId xmlns:a16="http://schemas.microsoft.com/office/drawing/2014/main" id="{00000000-0008-0000-1200-00000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3" name="Straight Arrow Connector 4872">
          <a:extLst>
            <a:ext uri="{FF2B5EF4-FFF2-40B4-BE49-F238E27FC236}">
              <a16:creationId xmlns:a16="http://schemas.microsoft.com/office/drawing/2014/main" id="{00000000-0008-0000-1200-00000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4" name="Straight Arrow Connector 4873">
          <a:extLst>
            <a:ext uri="{FF2B5EF4-FFF2-40B4-BE49-F238E27FC236}">
              <a16:creationId xmlns:a16="http://schemas.microsoft.com/office/drawing/2014/main" id="{00000000-0008-0000-1200-00000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5" name="Straight Arrow Connector 4874">
          <a:extLst>
            <a:ext uri="{FF2B5EF4-FFF2-40B4-BE49-F238E27FC236}">
              <a16:creationId xmlns:a16="http://schemas.microsoft.com/office/drawing/2014/main" id="{00000000-0008-0000-1200-00000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76" name="Straight Arrow Connector 4875">
          <a:extLst>
            <a:ext uri="{FF2B5EF4-FFF2-40B4-BE49-F238E27FC236}">
              <a16:creationId xmlns:a16="http://schemas.microsoft.com/office/drawing/2014/main" id="{00000000-0008-0000-1200-00000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7" name="Straight Arrow Connector 4876">
          <a:extLst>
            <a:ext uri="{FF2B5EF4-FFF2-40B4-BE49-F238E27FC236}">
              <a16:creationId xmlns:a16="http://schemas.microsoft.com/office/drawing/2014/main" id="{00000000-0008-0000-1200-00000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8" name="Straight Arrow Connector 4877">
          <a:extLst>
            <a:ext uri="{FF2B5EF4-FFF2-40B4-BE49-F238E27FC236}">
              <a16:creationId xmlns:a16="http://schemas.microsoft.com/office/drawing/2014/main" id="{00000000-0008-0000-1200-00000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79" name="Straight Arrow Connector 4878">
          <a:extLst>
            <a:ext uri="{FF2B5EF4-FFF2-40B4-BE49-F238E27FC236}">
              <a16:creationId xmlns:a16="http://schemas.microsoft.com/office/drawing/2014/main" id="{00000000-0008-0000-1200-00000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80" name="Straight Arrow Connector 4879">
          <a:extLst>
            <a:ext uri="{FF2B5EF4-FFF2-40B4-BE49-F238E27FC236}">
              <a16:creationId xmlns:a16="http://schemas.microsoft.com/office/drawing/2014/main" id="{00000000-0008-0000-1200-00001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1" name="Straight Arrow Connector 4880">
          <a:extLst>
            <a:ext uri="{FF2B5EF4-FFF2-40B4-BE49-F238E27FC236}">
              <a16:creationId xmlns:a16="http://schemas.microsoft.com/office/drawing/2014/main" id="{00000000-0008-0000-1200-00001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82" name="Straight Arrow Connector 4881">
          <a:extLst>
            <a:ext uri="{FF2B5EF4-FFF2-40B4-BE49-F238E27FC236}">
              <a16:creationId xmlns:a16="http://schemas.microsoft.com/office/drawing/2014/main" id="{00000000-0008-0000-1200-00001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3" name="Straight Arrow Connector 4882">
          <a:extLst>
            <a:ext uri="{FF2B5EF4-FFF2-40B4-BE49-F238E27FC236}">
              <a16:creationId xmlns:a16="http://schemas.microsoft.com/office/drawing/2014/main" id="{00000000-0008-0000-1200-00001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84" name="Straight Arrow Connector 4883">
          <a:extLst>
            <a:ext uri="{FF2B5EF4-FFF2-40B4-BE49-F238E27FC236}">
              <a16:creationId xmlns:a16="http://schemas.microsoft.com/office/drawing/2014/main" id="{00000000-0008-0000-1200-00001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5" name="Straight Arrow Connector 4884">
          <a:extLst>
            <a:ext uri="{FF2B5EF4-FFF2-40B4-BE49-F238E27FC236}">
              <a16:creationId xmlns:a16="http://schemas.microsoft.com/office/drawing/2014/main" id="{00000000-0008-0000-1200-00001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6" name="Straight Arrow Connector 4885">
          <a:extLst>
            <a:ext uri="{FF2B5EF4-FFF2-40B4-BE49-F238E27FC236}">
              <a16:creationId xmlns:a16="http://schemas.microsoft.com/office/drawing/2014/main" id="{00000000-0008-0000-1200-00001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7" name="Straight Arrow Connector 4886">
          <a:extLst>
            <a:ext uri="{FF2B5EF4-FFF2-40B4-BE49-F238E27FC236}">
              <a16:creationId xmlns:a16="http://schemas.microsoft.com/office/drawing/2014/main" id="{00000000-0008-0000-1200-00001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88" name="Straight Arrow Connector 4887">
          <a:extLst>
            <a:ext uri="{FF2B5EF4-FFF2-40B4-BE49-F238E27FC236}">
              <a16:creationId xmlns:a16="http://schemas.microsoft.com/office/drawing/2014/main" id="{00000000-0008-0000-1200-00001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89" name="Straight Arrow Connector 4888">
          <a:extLst>
            <a:ext uri="{FF2B5EF4-FFF2-40B4-BE49-F238E27FC236}">
              <a16:creationId xmlns:a16="http://schemas.microsoft.com/office/drawing/2014/main" id="{00000000-0008-0000-1200-00001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0" name="Straight Arrow Connector 4889">
          <a:extLst>
            <a:ext uri="{FF2B5EF4-FFF2-40B4-BE49-F238E27FC236}">
              <a16:creationId xmlns:a16="http://schemas.microsoft.com/office/drawing/2014/main" id="{00000000-0008-0000-1200-00001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1" name="Straight Arrow Connector 4890">
          <a:extLst>
            <a:ext uri="{FF2B5EF4-FFF2-40B4-BE49-F238E27FC236}">
              <a16:creationId xmlns:a16="http://schemas.microsoft.com/office/drawing/2014/main" id="{00000000-0008-0000-1200-00001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2" name="Straight Arrow Connector 4891">
          <a:extLst>
            <a:ext uri="{FF2B5EF4-FFF2-40B4-BE49-F238E27FC236}">
              <a16:creationId xmlns:a16="http://schemas.microsoft.com/office/drawing/2014/main" id="{00000000-0008-0000-1200-00001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93" name="Straight Arrow Connector 4892">
          <a:extLst>
            <a:ext uri="{FF2B5EF4-FFF2-40B4-BE49-F238E27FC236}">
              <a16:creationId xmlns:a16="http://schemas.microsoft.com/office/drawing/2014/main" id="{00000000-0008-0000-1200-00001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4" name="Straight Arrow Connector 4893">
          <a:extLst>
            <a:ext uri="{FF2B5EF4-FFF2-40B4-BE49-F238E27FC236}">
              <a16:creationId xmlns:a16="http://schemas.microsoft.com/office/drawing/2014/main" id="{00000000-0008-0000-1200-00001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95" name="Straight Arrow Connector 4894">
          <a:extLst>
            <a:ext uri="{FF2B5EF4-FFF2-40B4-BE49-F238E27FC236}">
              <a16:creationId xmlns:a16="http://schemas.microsoft.com/office/drawing/2014/main" id="{00000000-0008-0000-1200-00001F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6" name="Straight Arrow Connector 4895">
          <a:extLst>
            <a:ext uri="{FF2B5EF4-FFF2-40B4-BE49-F238E27FC236}">
              <a16:creationId xmlns:a16="http://schemas.microsoft.com/office/drawing/2014/main" id="{00000000-0008-0000-1200-00002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97" name="Straight Arrow Connector 4896">
          <a:extLst>
            <a:ext uri="{FF2B5EF4-FFF2-40B4-BE49-F238E27FC236}">
              <a16:creationId xmlns:a16="http://schemas.microsoft.com/office/drawing/2014/main" id="{00000000-0008-0000-1200-000021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898" name="Straight Arrow Connector 4897">
          <a:extLst>
            <a:ext uri="{FF2B5EF4-FFF2-40B4-BE49-F238E27FC236}">
              <a16:creationId xmlns:a16="http://schemas.microsoft.com/office/drawing/2014/main" id="{00000000-0008-0000-1200-00002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899" name="Straight Arrow Connector 4898">
          <a:extLst>
            <a:ext uri="{FF2B5EF4-FFF2-40B4-BE49-F238E27FC236}">
              <a16:creationId xmlns:a16="http://schemas.microsoft.com/office/drawing/2014/main" id="{00000000-0008-0000-1200-000023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0" name="Straight Arrow Connector 4899">
          <a:extLst>
            <a:ext uri="{FF2B5EF4-FFF2-40B4-BE49-F238E27FC236}">
              <a16:creationId xmlns:a16="http://schemas.microsoft.com/office/drawing/2014/main" id="{00000000-0008-0000-1200-00002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1" name="Straight Arrow Connector 4900">
          <a:extLst>
            <a:ext uri="{FF2B5EF4-FFF2-40B4-BE49-F238E27FC236}">
              <a16:creationId xmlns:a16="http://schemas.microsoft.com/office/drawing/2014/main" id="{00000000-0008-0000-1200-00002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2" name="Straight Arrow Connector 4901">
          <a:extLst>
            <a:ext uri="{FF2B5EF4-FFF2-40B4-BE49-F238E27FC236}">
              <a16:creationId xmlns:a16="http://schemas.microsoft.com/office/drawing/2014/main" id="{00000000-0008-0000-1200-00002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03" name="Straight Arrow Connector 4902">
          <a:extLst>
            <a:ext uri="{FF2B5EF4-FFF2-40B4-BE49-F238E27FC236}">
              <a16:creationId xmlns:a16="http://schemas.microsoft.com/office/drawing/2014/main" id="{00000000-0008-0000-1200-000027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4" name="Straight Arrow Connector 4903">
          <a:extLst>
            <a:ext uri="{FF2B5EF4-FFF2-40B4-BE49-F238E27FC236}">
              <a16:creationId xmlns:a16="http://schemas.microsoft.com/office/drawing/2014/main" id="{00000000-0008-0000-1200-00002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05" name="Straight Arrow Connector 4904">
          <a:extLst>
            <a:ext uri="{FF2B5EF4-FFF2-40B4-BE49-F238E27FC236}">
              <a16:creationId xmlns:a16="http://schemas.microsoft.com/office/drawing/2014/main" id="{00000000-0008-0000-1200-00002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6" name="Straight Arrow Connector 4905">
          <a:extLst>
            <a:ext uri="{FF2B5EF4-FFF2-40B4-BE49-F238E27FC236}">
              <a16:creationId xmlns:a16="http://schemas.microsoft.com/office/drawing/2014/main" id="{00000000-0008-0000-1200-00002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07" name="Straight Arrow Connector 4906">
          <a:extLst>
            <a:ext uri="{FF2B5EF4-FFF2-40B4-BE49-F238E27FC236}">
              <a16:creationId xmlns:a16="http://schemas.microsoft.com/office/drawing/2014/main" id="{00000000-0008-0000-1200-00002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08" name="Straight Arrow Connector 4907">
          <a:extLst>
            <a:ext uri="{FF2B5EF4-FFF2-40B4-BE49-F238E27FC236}">
              <a16:creationId xmlns:a16="http://schemas.microsoft.com/office/drawing/2014/main" id="{00000000-0008-0000-1200-00002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09" name="Straight Arrow Connector 4908">
          <a:extLst>
            <a:ext uri="{FF2B5EF4-FFF2-40B4-BE49-F238E27FC236}">
              <a16:creationId xmlns:a16="http://schemas.microsoft.com/office/drawing/2014/main" id="{00000000-0008-0000-1200-00002D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10" name="Straight Arrow Connector 4909">
          <a:extLst>
            <a:ext uri="{FF2B5EF4-FFF2-40B4-BE49-F238E27FC236}">
              <a16:creationId xmlns:a16="http://schemas.microsoft.com/office/drawing/2014/main" id="{00000000-0008-0000-1200-00002E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1" name="Straight Arrow Connector 4910">
          <a:extLst>
            <a:ext uri="{FF2B5EF4-FFF2-40B4-BE49-F238E27FC236}">
              <a16:creationId xmlns:a16="http://schemas.microsoft.com/office/drawing/2014/main" id="{00000000-0008-0000-1200-00002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2" name="Straight Arrow Connector 4911">
          <a:extLst>
            <a:ext uri="{FF2B5EF4-FFF2-40B4-BE49-F238E27FC236}">
              <a16:creationId xmlns:a16="http://schemas.microsoft.com/office/drawing/2014/main" id="{00000000-0008-0000-1200-00003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3" name="Straight Arrow Connector 4912">
          <a:extLst>
            <a:ext uri="{FF2B5EF4-FFF2-40B4-BE49-F238E27FC236}">
              <a16:creationId xmlns:a16="http://schemas.microsoft.com/office/drawing/2014/main" id="{00000000-0008-0000-1200-00003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4" name="Straight Arrow Connector 4913">
          <a:extLst>
            <a:ext uri="{FF2B5EF4-FFF2-40B4-BE49-F238E27FC236}">
              <a16:creationId xmlns:a16="http://schemas.microsoft.com/office/drawing/2014/main" id="{00000000-0008-0000-1200-00003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5" name="Straight Arrow Connector 4914">
          <a:extLst>
            <a:ext uri="{FF2B5EF4-FFF2-40B4-BE49-F238E27FC236}">
              <a16:creationId xmlns:a16="http://schemas.microsoft.com/office/drawing/2014/main" id="{00000000-0008-0000-1200-00003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6" name="Straight Arrow Connector 4915">
          <a:extLst>
            <a:ext uri="{FF2B5EF4-FFF2-40B4-BE49-F238E27FC236}">
              <a16:creationId xmlns:a16="http://schemas.microsoft.com/office/drawing/2014/main" id="{00000000-0008-0000-1200-00003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7" name="Straight Arrow Connector 4916">
          <a:extLst>
            <a:ext uri="{FF2B5EF4-FFF2-40B4-BE49-F238E27FC236}">
              <a16:creationId xmlns:a16="http://schemas.microsoft.com/office/drawing/2014/main" id="{00000000-0008-0000-1200-00003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18" name="Straight Arrow Connector 4917">
          <a:extLst>
            <a:ext uri="{FF2B5EF4-FFF2-40B4-BE49-F238E27FC236}">
              <a16:creationId xmlns:a16="http://schemas.microsoft.com/office/drawing/2014/main" id="{00000000-0008-0000-1200-000036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19" name="Straight Arrow Connector 4918">
          <a:extLst>
            <a:ext uri="{FF2B5EF4-FFF2-40B4-BE49-F238E27FC236}">
              <a16:creationId xmlns:a16="http://schemas.microsoft.com/office/drawing/2014/main" id="{00000000-0008-0000-1200-00003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0" name="Straight Arrow Connector 4919">
          <a:extLst>
            <a:ext uri="{FF2B5EF4-FFF2-40B4-BE49-F238E27FC236}">
              <a16:creationId xmlns:a16="http://schemas.microsoft.com/office/drawing/2014/main" id="{00000000-0008-0000-1200-00003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1" name="Straight Arrow Connector 4920">
          <a:extLst>
            <a:ext uri="{FF2B5EF4-FFF2-40B4-BE49-F238E27FC236}">
              <a16:creationId xmlns:a16="http://schemas.microsoft.com/office/drawing/2014/main" id="{00000000-0008-0000-1200-00003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22" name="Straight Arrow Connector 4921">
          <a:extLst>
            <a:ext uri="{FF2B5EF4-FFF2-40B4-BE49-F238E27FC236}">
              <a16:creationId xmlns:a16="http://schemas.microsoft.com/office/drawing/2014/main" id="{00000000-0008-0000-1200-00003A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3" name="Straight Arrow Connector 4922">
          <a:extLst>
            <a:ext uri="{FF2B5EF4-FFF2-40B4-BE49-F238E27FC236}">
              <a16:creationId xmlns:a16="http://schemas.microsoft.com/office/drawing/2014/main" id="{00000000-0008-0000-1200-00003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24" name="Straight Arrow Connector 4923">
          <a:extLst>
            <a:ext uri="{FF2B5EF4-FFF2-40B4-BE49-F238E27FC236}">
              <a16:creationId xmlns:a16="http://schemas.microsoft.com/office/drawing/2014/main" id="{00000000-0008-0000-1200-00003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5" name="Straight Arrow Connector 4924">
          <a:extLst>
            <a:ext uri="{FF2B5EF4-FFF2-40B4-BE49-F238E27FC236}">
              <a16:creationId xmlns:a16="http://schemas.microsoft.com/office/drawing/2014/main" id="{00000000-0008-0000-1200-00003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26" name="Straight Arrow Connector 4925">
          <a:extLst>
            <a:ext uri="{FF2B5EF4-FFF2-40B4-BE49-F238E27FC236}">
              <a16:creationId xmlns:a16="http://schemas.microsoft.com/office/drawing/2014/main" id="{00000000-0008-0000-1200-00003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7" name="Straight Arrow Connector 4926">
          <a:extLst>
            <a:ext uri="{FF2B5EF4-FFF2-40B4-BE49-F238E27FC236}">
              <a16:creationId xmlns:a16="http://schemas.microsoft.com/office/drawing/2014/main" id="{00000000-0008-0000-1200-00003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8" name="Straight Arrow Connector 4927">
          <a:extLst>
            <a:ext uri="{FF2B5EF4-FFF2-40B4-BE49-F238E27FC236}">
              <a16:creationId xmlns:a16="http://schemas.microsoft.com/office/drawing/2014/main" id="{00000000-0008-0000-1200-00004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29" name="Straight Arrow Connector 4928">
          <a:extLst>
            <a:ext uri="{FF2B5EF4-FFF2-40B4-BE49-F238E27FC236}">
              <a16:creationId xmlns:a16="http://schemas.microsoft.com/office/drawing/2014/main" id="{00000000-0008-0000-1200-00004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30" name="Straight Arrow Connector 4929">
          <a:extLst>
            <a:ext uri="{FF2B5EF4-FFF2-40B4-BE49-F238E27FC236}">
              <a16:creationId xmlns:a16="http://schemas.microsoft.com/office/drawing/2014/main" id="{00000000-0008-0000-1200-00004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1" name="Straight Arrow Connector 4930">
          <a:extLst>
            <a:ext uri="{FF2B5EF4-FFF2-40B4-BE49-F238E27FC236}">
              <a16:creationId xmlns:a16="http://schemas.microsoft.com/office/drawing/2014/main" id="{00000000-0008-0000-1200-00004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2" name="Straight Arrow Connector 4931">
          <a:extLst>
            <a:ext uri="{FF2B5EF4-FFF2-40B4-BE49-F238E27FC236}">
              <a16:creationId xmlns:a16="http://schemas.microsoft.com/office/drawing/2014/main" id="{00000000-0008-0000-1200-00004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3" name="Straight Arrow Connector 4932">
          <a:extLst>
            <a:ext uri="{FF2B5EF4-FFF2-40B4-BE49-F238E27FC236}">
              <a16:creationId xmlns:a16="http://schemas.microsoft.com/office/drawing/2014/main" id="{00000000-0008-0000-1200-00004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4" name="Straight Arrow Connector 4933">
          <a:extLst>
            <a:ext uri="{FF2B5EF4-FFF2-40B4-BE49-F238E27FC236}">
              <a16:creationId xmlns:a16="http://schemas.microsoft.com/office/drawing/2014/main" id="{00000000-0008-0000-1200-00004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35" name="Straight Arrow Connector 4934">
          <a:extLst>
            <a:ext uri="{FF2B5EF4-FFF2-40B4-BE49-F238E27FC236}">
              <a16:creationId xmlns:a16="http://schemas.microsoft.com/office/drawing/2014/main" id="{00000000-0008-0000-1200-000047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6" name="Straight Arrow Connector 4935">
          <a:extLst>
            <a:ext uri="{FF2B5EF4-FFF2-40B4-BE49-F238E27FC236}">
              <a16:creationId xmlns:a16="http://schemas.microsoft.com/office/drawing/2014/main" id="{00000000-0008-0000-1200-00004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37" name="Straight Arrow Connector 4936">
          <a:extLst>
            <a:ext uri="{FF2B5EF4-FFF2-40B4-BE49-F238E27FC236}">
              <a16:creationId xmlns:a16="http://schemas.microsoft.com/office/drawing/2014/main" id="{00000000-0008-0000-1200-00004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38" name="Straight Arrow Connector 4937">
          <a:extLst>
            <a:ext uri="{FF2B5EF4-FFF2-40B4-BE49-F238E27FC236}">
              <a16:creationId xmlns:a16="http://schemas.microsoft.com/office/drawing/2014/main" id="{00000000-0008-0000-1200-00004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39" name="Straight Arrow Connector 4938">
          <a:extLst>
            <a:ext uri="{FF2B5EF4-FFF2-40B4-BE49-F238E27FC236}">
              <a16:creationId xmlns:a16="http://schemas.microsoft.com/office/drawing/2014/main" id="{00000000-0008-0000-1200-00004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0" name="Straight Arrow Connector 4939">
          <a:extLst>
            <a:ext uri="{FF2B5EF4-FFF2-40B4-BE49-F238E27FC236}">
              <a16:creationId xmlns:a16="http://schemas.microsoft.com/office/drawing/2014/main" id="{00000000-0008-0000-1200-00004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41" name="Straight Arrow Connector 4940">
          <a:extLst>
            <a:ext uri="{FF2B5EF4-FFF2-40B4-BE49-F238E27FC236}">
              <a16:creationId xmlns:a16="http://schemas.microsoft.com/office/drawing/2014/main" id="{00000000-0008-0000-1200-00004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2" name="Straight Arrow Connector 4941">
          <a:extLst>
            <a:ext uri="{FF2B5EF4-FFF2-40B4-BE49-F238E27FC236}">
              <a16:creationId xmlns:a16="http://schemas.microsoft.com/office/drawing/2014/main" id="{00000000-0008-0000-1200-00004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3" name="Straight Arrow Connector 4942">
          <a:extLst>
            <a:ext uri="{FF2B5EF4-FFF2-40B4-BE49-F238E27FC236}">
              <a16:creationId xmlns:a16="http://schemas.microsoft.com/office/drawing/2014/main" id="{00000000-0008-0000-1200-00004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4" name="Straight Arrow Connector 4943">
          <a:extLst>
            <a:ext uri="{FF2B5EF4-FFF2-40B4-BE49-F238E27FC236}">
              <a16:creationId xmlns:a16="http://schemas.microsoft.com/office/drawing/2014/main" id="{00000000-0008-0000-1200-00005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45" name="Straight Arrow Connector 4944">
          <a:extLst>
            <a:ext uri="{FF2B5EF4-FFF2-40B4-BE49-F238E27FC236}">
              <a16:creationId xmlns:a16="http://schemas.microsoft.com/office/drawing/2014/main" id="{00000000-0008-0000-1200-000051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6" name="Straight Arrow Connector 4945">
          <a:extLst>
            <a:ext uri="{FF2B5EF4-FFF2-40B4-BE49-F238E27FC236}">
              <a16:creationId xmlns:a16="http://schemas.microsoft.com/office/drawing/2014/main" id="{00000000-0008-0000-1200-00005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47" name="Straight Arrow Connector 4946">
          <a:extLst>
            <a:ext uri="{FF2B5EF4-FFF2-40B4-BE49-F238E27FC236}">
              <a16:creationId xmlns:a16="http://schemas.microsoft.com/office/drawing/2014/main" id="{00000000-0008-0000-1200-000053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48" name="Straight Arrow Connector 4947">
          <a:extLst>
            <a:ext uri="{FF2B5EF4-FFF2-40B4-BE49-F238E27FC236}">
              <a16:creationId xmlns:a16="http://schemas.microsoft.com/office/drawing/2014/main" id="{00000000-0008-0000-1200-00005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49" name="Straight Arrow Connector 4948">
          <a:extLst>
            <a:ext uri="{FF2B5EF4-FFF2-40B4-BE49-F238E27FC236}">
              <a16:creationId xmlns:a16="http://schemas.microsoft.com/office/drawing/2014/main" id="{00000000-0008-0000-1200-000055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50" name="Straight Arrow Connector 4949">
          <a:extLst>
            <a:ext uri="{FF2B5EF4-FFF2-40B4-BE49-F238E27FC236}">
              <a16:creationId xmlns:a16="http://schemas.microsoft.com/office/drawing/2014/main" id="{00000000-0008-0000-1200-00005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51" name="Straight Arrow Connector 4950">
          <a:extLst>
            <a:ext uri="{FF2B5EF4-FFF2-40B4-BE49-F238E27FC236}">
              <a16:creationId xmlns:a16="http://schemas.microsoft.com/office/drawing/2014/main" id="{00000000-0008-0000-1200-000057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52" name="Straight Arrow Connector 4951">
          <a:extLst>
            <a:ext uri="{FF2B5EF4-FFF2-40B4-BE49-F238E27FC236}">
              <a16:creationId xmlns:a16="http://schemas.microsoft.com/office/drawing/2014/main" id="{00000000-0008-0000-1200-000058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53" name="Straight Arrow Connector 4952">
          <a:extLst>
            <a:ext uri="{FF2B5EF4-FFF2-40B4-BE49-F238E27FC236}">
              <a16:creationId xmlns:a16="http://schemas.microsoft.com/office/drawing/2014/main" id="{00000000-0008-0000-1200-00005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54" name="Straight Arrow Connector 4953">
          <a:extLst>
            <a:ext uri="{FF2B5EF4-FFF2-40B4-BE49-F238E27FC236}">
              <a16:creationId xmlns:a16="http://schemas.microsoft.com/office/drawing/2014/main" id="{00000000-0008-0000-1200-00005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55" name="Straight Arrow Connector 4954">
          <a:extLst>
            <a:ext uri="{FF2B5EF4-FFF2-40B4-BE49-F238E27FC236}">
              <a16:creationId xmlns:a16="http://schemas.microsoft.com/office/drawing/2014/main" id="{00000000-0008-0000-1200-00005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56" name="Straight Arrow Connector 4955">
          <a:extLst>
            <a:ext uri="{FF2B5EF4-FFF2-40B4-BE49-F238E27FC236}">
              <a16:creationId xmlns:a16="http://schemas.microsoft.com/office/drawing/2014/main" id="{00000000-0008-0000-1200-00005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57" name="Straight Arrow Connector 4956">
          <a:extLst>
            <a:ext uri="{FF2B5EF4-FFF2-40B4-BE49-F238E27FC236}">
              <a16:creationId xmlns:a16="http://schemas.microsoft.com/office/drawing/2014/main" id="{00000000-0008-0000-1200-00005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58" name="Straight Arrow Connector 4957">
          <a:extLst>
            <a:ext uri="{FF2B5EF4-FFF2-40B4-BE49-F238E27FC236}">
              <a16:creationId xmlns:a16="http://schemas.microsoft.com/office/drawing/2014/main" id="{00000000-0008-0000-1200-00005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59" name="Straight Arrow Connector 4958">
          <a:extLst>
            <a:ext uri="{FF2B5EF4-FFF2-40B4-BE49-F238E27FC236}">
              <a16:creationId xmlns:a16="http://schemas.microsoft.com/office/drawing/2014/main" id="{00000000-0008-0000-1200-00005F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0" name="Straight Arrow Connector 4959">
          <a:extLst>
            <a:ext uri="{FF2B5EF4-FFF2-40B4-BE49-F238E27FC236}">
              <a16:creationId xmlns:a16="http://schemas.microsoft.com/office/drawing/2014/main" id="{00000000-0008-0000-1200-00006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4961" name="Straight Arrow Connector 4960">
          <a:extLst>
            <a:ext uri="{FF2B5EF4-FFF2-40B4-BE49-F238E27FC236}">
              <a16:creationId xmlns:a16="http://schemas.microsoft.com/office/drawing/2014/main" id="{00000000-0008-0000-1200-000061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2" name="Straight Arrow Connector 4961">
          <a:extLst>
            <a:ext uri="{FF2B5EF4-FFF2-40B4-BE49-F238E27FC236}">
              <a16:creationId xmlns:a16="http://schemas.microsoft.com/office/drawing/2014/main" id="{00000000-0008-0000-1200-00006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63" name="Straight Arrow Connector 4962">
          <a:extLst>
            <a:ext uri="{FF2B5EF4-FFF2-40B4-BE49-F238E27FC236}">
              <a16:creationId xmlns:a16="http://schemas.microsoft.com/office/drawing/2014/main" id="{00000000-0008-0000-1200-000063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4" name="Straight Arrow Connector 4963">
          <a:extLst>
            <a:ext uri="{FF2B5EF4-FFF2-40B4-BE49-F238E27FC236}">
              <a16:creationId xmlns:a16="http://schemas.microsoft.com/office/drawing/2014/main" id="{00000000-0008-0000-1200-00006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65" name="Straight Arrow Connector 4964">
          <a:extLst>
            <a:ext uri="{FF2B5EF4-FFF2-40B4-BE49-F238E27FC236}">
              <a16:creationId xmlns:a16="http://schemas.microsoft.com/office/drawing/2014/main" id="{00000000-0008-0000-1200-000065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6" name="Straight Arrow Connector 4965">
          <a:extLst>
            <a:ext uri="{FF2B5EF4-FFF2-40B4-BE49-F238E27FC236}">
              <a16:creationId xmlns:a16="http://schemas.microsoft.com/office/drawing/2014/main" id="{00000000-0008-0000-1200-00006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7" name="Straight Arrow Connector 4966">
          <a:extLst>
            <a:ext uri="{FF2B5EF4-FFF2-40B4-BE49-F238E27FC236}">
              <a16:creationId xmlns:a16="http://schemas.microsoft.com/office/drawing/2014/main" id="{00000000-0008-0000-1200-00006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68" name="Straight Arrow Connector 4967">
          <a:extLst>
            <a:ext uri="{FF2B5EF4-FFF2-40B4-BE49-F238E27FC236}">
              <a16:creationId xmlns:a16="http://schemas.microsoft.com/office/drawing/2014/main" id="{00000000-0008-0000-1200-00006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69" name="Straight Arrow Connector 4968">
          <a:extLst>
            <a:ext uri="{FF2B5EF4-FFF2-40B4-BE49-F238E27FC236}">
              <a16:creationId xmlns:a16="http://schemas.microsoft.com/office/drawing/2014/main" id="{00000000-0008-0000-1200-00006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0" name="Straight Arrow Connector 4969">
          <a:extLst>
            <a:ext uri="{FF2B5EF4-FFF2-40B4-BE49-F238E27FC236}">
              <a16:creationId xmlns:a16="http://schemas.microsoft.com/office/drawing/2014/main" id="{00000000-0008-0000-1200-00006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1" name="Straight Arrow Connector 4970">
          <a:extLst>
            <a:ext uri="{FF2B5EF4-FFF2-40B4-BE49-F238E27FC236}">
              <a16:creationId xmlns:a16="http://schemas.microsoft.com/office/drawing/2014/main" id="{00000000-0008-0000-1200-00006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2" name="Straight Arrow Connector 4971">
          <a:extLst>
            <a:ext uri="{FF2B5EF4-FFF2-40B4-BE49-F238E27FC236}">
              <a16:creationId xmlns:a16="http://schemas.microsoft.com/office/drawing/2014/main" id="{00000000-0008-0000-1200-00006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3" name="Straight Arrow Connector 4972">
          <a:extLst>
            <a:ext uri="{FF2B5EF4-FFF2-40B4-BE49-F238E27FC236}">
              <a16:creationId xmlns:a16="http://schemas.microsoft.com/office/drawing/2014/main" id="{00000000-0008-0000-1200-00006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74" name="Straight Arrow Connector 4973">
          <a:extLst>
            <a:ext uri="{FF2B5EF4-FFF2-40B4-BE49-F238E27FC236}">
              <a16:creationId xmlns:a16="http://schemas.microsoft.com/office/drawing/2014/main" id="{00000000-0008-0000-1200-00006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5" name="Straight Arrow Connector 4974">
          <a:extLst>
            <a:ext uri="{FF2B5EF4-FFF2-40B4-BE49-F238E27FC236}">
              <a16:creationId xmlns:a16="http://schemas.microsoft.com/office/drawing/2014/main" id="{00000000-0008-0000-1200-00006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76" name="Straight Arrow Connector 4975">
          <a:extLst>
            <a:ext uri="{FF2B5EF4-FFF2-40B4-BE49-F238E27FC236}">
              <a16:creationId xmlns:a16="http://schemas.microsoft.com/office/drawing/2014/main" id="{00000000-0008-0000-1200-00007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7" name="Straight Arrow Connector 4976">
          <a:extLst>
            <a:ext uri="{FF2B5EF4-FFF2-40B4-BE49-F238E27FC236}">
              <a16:creationId xmlns:a16="http://schemas.microsoft.com/office/drawing/2014/main" id="{00000000-0008-0000-1200-00007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78" name="Straight Arrow Connector 4977">
          <a:extLst>
            <a:ext uri="{FF2B5EF4-FFF2-40B4-BE49-F238E27FC236}">
              <a16:creationId xmlns:a16="http://schemas.microsoft.com/office/drawing/2014/main" id="{00000000-0008-0000-1200-00007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79" name="Straight Arrow Connector 4978">
          <a:extLst>
            <a:ext uri="{FF2B5EF4-FFF2-40B4-BE49-F238E27FC236}">
              <a16:creationId xmlns:a16="http://schemas.microsoft.com/office/drawing/2014/main" id="{00000000-0008-0000-1200-00007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80" name="Straight Arrow Connector 4979">
          <a:extLst>
            <a:ext uri="{FF2B5EF4-FFF2-40B4-BE49-F238E27FC236}">
              <a16:creationId xmlns:a16="http://schemas.microsoft.com/office/drawing/2014/main" id="{00000000-0008-0000-1200-00007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1" name="Straight Arrow Connector 4980">
          <a:extLst>
            <a:ext uri="{FF2B5EF4-FFF2-40B4-BE49-F238E27FC236}">
              <a16:creationId xmlns:a16="http://schemas.microsoft.com/office/drawing/2014/main" id="{00000000-0008-0000-1200-00007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2" name="Straight Arrow Connector 4981">
          <a:extLst>
            <a:ext uri="{FF2B5EF4-FFF2-40B4-BE49-F238E27FC236}">
              <a16:creationId xmlns:a16="http://schemas.microsoft.com/office/drawing/2014/main" id="{00000000-0008-0000-1200-00007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3" name="Straight Arrow Connector 4982">
          <a:extLst>
            <a:ext uri="{FF2B5EF4-FFF2-40B4-BE49-F238E27FC236}">
              <a16:creationId xmlns:a16="http://schemas.microsoft.com/office/drawing/2014/main" id="{00000000-0008-0000-1200-00007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84" name="Straight Arrow Connector 4983">
          <a:extLst>
            <a:ext uri="{FF2B5EF4-FFF2-40B4-BE49-F238E27FC236}">
              <a16:creationId xmlns:a16="http://schemas.microsoft.com/office/drawing/2014/main" id="{00000000-0008-0000-1200-00007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5" name="Straight Arrow Connector 4984">
          <a:extLst>
            <a:ext uri="{FF2B5EF4-FFF2-40B4-BE49-F238E27FC236}">
              <a16:creationId xmlns:a16="http://schemas.microsoft.com/office/drawing/2014/main" id="{00000000-0008-0000-1200-00007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86" name="Straight Arrow Connector 4985">
          <a:extLst>
            <a:ext uri="{FF2B5EF4-FFF2-40B4-BE49-F238E27FC236}">
              <a16:creationId xmlns:a16="http://schemas.microsoft.com/office/drawing/2014/main" id="{00000000-0008-0000-1200-00007A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7" name="Straight Arrow Connector 4986">
          <a:extLst>
            <a:ext uri="{FF2B5EF4-FFF2-40B4-BE49-F238E27FC236}">
              <a16:creationId xmlns:a16="http://schemas.microsoft.com/office/drawing/2014/main" id="{00000000-0008-0000-1200-00007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4988" name="Straight Arrow Connector 4987">
          <a:extLst>
            <a:ext uri="{FF2B5EF4-FFF2-40B4-BE49-F238E27FC236}">
              <a16:creationId xmlns:a16="http://schemas.microsoft.com/office/drawing/2014/main" id="{00000000-0008-0000-1200-00007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89" name="Straight Arrow Connector 4988">
          <a:extLst>
            <a:ext uri="{FF2B5EF4-FFF2-40B4-BE49-F238E27FC236}">
              <a16:creationId xmlns:a16="http://schemas.microsoft.com/office/drawing/2014/main" id="{00000000-0008-0000-1200-00007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90" name="Straight Arrow Connector 4989">
          <a:extLst>
            <a:ext uri="{FF2B5EF4-FFF2-40B4-BE49-F238E27FC236}">
              <a16:creationId xmlns:a16="http://schemas.microsoft.com/office/drawing/2014/main" id="{00000000-0008-0000-1200-00007E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4991" name="Straight Arrow Connector 4990">
          <a:extLst>
            <a:ext uri="{FF2B5EF4-FFF2-40B4-BE49-F238E27FC236}">
              <a16:creationId xmlns:a16="http://schemas.microsoft.com/office/drawing/2014/main" id="{00000000-0008-0000-1200-00007F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2" name="Straight Arrow Connector 4991">
          <a:extLst>
            <a:ext uri="{FF2B5EF4-FFF2-40B4-BE49-F238E27FC236}">
              <a16:creationId xmlns:a16="http://schemas.microsoft.com/office/drawing/2014/main" id="{00000000-0008-0000-1200-00008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3" name="Straight Arrow Connector 4992">
          <a:extLst>
            <a:ext uri="{FF2B5EF4-FFF2-40B4-BE49-F238E27FC236}">
              <a16:creationId xmlns:a16="http://schemas.microsoft.com/office/drawing/2014/main" id="{00000000-0008-0000-1200-00008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4" name="Straight Arrow Connector 4993">
          <a:extLst>
            <a:ext uri="{FF2B5EF4-FFF2-40B4-BE49-F238E27FC236}">
              <a16:creationId xmlns:a16="http://schemas.microsoft.com/office/drawing/2014/main" id="{00000000-0008-0000-1200-000082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5" name="Straight Arrow Connector 4994">
          <a:extLst>
            <a:ext uri="{FF2B5EF4-FFF2-40B4-BE49-F238E27FC236}">
              <a16:creationId xmlns:a16="http://schemas.microsoft.com/office/drawing/2014/main" id="{00000000-0008-0000-1200-00008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6" name="Straight Arrow Connector 4995">
          <a:extLst>
            <a:ext uri="{FF2B5EF4-FFF2-40B4-BE49-F238E27FC236}">
              <a16:creationId xmlns:a16="http://schemas.microsoft.com/office/drawing/2014/main" id="{00000000-0008-0000-1200-00008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7" name="Straight Arrow Connector 4996">
          <a:extLst>
            <a:ext uri="{FF2B5EF4-FFF2-40B4-BE49-F238E27FC236}">
              <a16:creationId xmlns:a16="http://schemas.microsoft.com/office/drawing/2014/main" id="{00000000-0008-0000-1200-00008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8" name="Straight Arrow Connector 4997">
          <a:extLst>
            <a:ext uri="{FF2B5EF4-FFF2-40B4-BE49-F238E27FC236}">
              <a16:creationId xmlns:a16="http://schemas.microsoft.com/office/drawing/2014/main" id="{00000000-0008-0000-1200-00008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4999" name="Straight Arrow Connector 4998">
          <a:extLst>
            <a:ext uri="{FF2B5EF4-FFF2-40B4-BE49-F238E27FC236}">
              <a16:creationId xmlns:a16="http://schemas.microsoft.com/office/drawing/2014/main" id="{00000000-0008-0000-1200-00008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00" name="Straight Arrow Connector 4999">
          <a:extLst>
            <a:ext uri="{FF2B5EF4-FFF2-40B4-BE49-F238E27FC236}">
              <a16:creationId xmlns:a16="http://schemas.microsoft.com/office/drawing/2014/main" id="{00000000-0008-0000-1200-00008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1" name="Straight Arrow Connector 5000">
          <a:extLst>
            <a:ext uri="{FF2B5EF4-FFF2-40B4-BE49-F238E27FC236}">
              <a16:creationId xmlns:a16="http://schemas.microsoft.com/office/drawing/2014/main" id="{00000000-0008-0000-1200-00008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02" name="Straight Arrow Connector 5001">
          <a:extLst>
            <a:ext uri="{FF2B5EF4-FFF2-40B4-BE49-F238E27FC236}">
              <a16:creationId xmlns:a16="http://schemas.microsoft.com/office/drawing/2014/main" id="{00000000-0008-0000-1200-00008A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3" name="Straight Arrow Connector 5002">
          <a:extLst>
            <a:ext uri="{FF2B5EF4-FFF2-40B4-BE49-F238E27FC236}">
              <a16:creationId xmlns:a16="http://schemas.microsoft.com/office/drawing/2014/main" id="{00000000-0008-0000-1200-00008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04" name="Straight Arrow Connector 5003">
          <a:extLst>
            <a:ext uri="{FF2B5EF4-FFF2-40B4-BE49-F238E27FC236}">
              <a16:creationId xmlns:a16="http://schemas.microsoft.com/office/drawing/2014/main" id="{00000000-0008-0000-1200-00008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5" name="Straight Arrow Connector 5004">
          <a:extLst>
            <a:ext uri="{FF2B5EF4-FFF2-40B4-BE49-F238E27FC236}">
              <a16:creationId xmlns:a16="http://schemas.microsoft.com/office/drawing/2014/main" id="{00000000-0008-0000-1200-00008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06" name="Straight Arrow Connector 5005">
          <a:extLst>
            <a:ext uri="{FF2B5EF4-FFF2-40B4-BE49-F238E27FC236}">
              <a16:creationId xmlns:a16="http://schemas.microsoft.com/office/drawing/2014/main" id="{00000000-0008-0000-1200-00008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7" name="Straight Arrow Connector 5006">
          <a:extLst>
            <a:ext uri="{FF2B5EF4-FFF2-40B4-BE49-F238E27FC236}">
              <a16:creationId xmlns:a16="http://schemas.microsoft.com/office/drawing/2014/main" id="{00000000-0008-0000-1200-00008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8" name="Straight Arrow Connector 5007">
          <a:extLst>
            <a:ext uri="{FF2B5EF4-FFF2-40B4-BE49-F238E27FC236}">
              <a16:creationId xmlns:a16="http://schemas.microsoft.com/office/drawing/2014/main" id="{00000000-0008-0000-1200-00009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09" name="Straight Arrow Connector 5008">
          <a:extLst>
            <a:ext uri="{FF2B5EF4-FFF2-40B4-BE49-F238E27FC236}">
              <a16:creationId xmlns:a16="http://schemas.microsoft.com/office/drawing/2014/main" id="{00000000-0008-0000-1200-00009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10" name="Straight Arrow Connector 5009">
          <a:extLst>
            <a:ext uri="{FF2B5EF4-FFF2-40B4-BE49-F238E27FC236}">
              <a16:creationId xmlns:a16="http://schemas.microsoft.com/office/drawing/2014/main" id="{00000000-0008-0000-1200-00009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11" name="Straight Arrow Connector 5010">
          <a:extLst>
            <a:ext uri="{FF2B5EF4-FFF2-40B4-BE49-F238E27FC236}">
              <a16:creationId xmlns:a16="http://schemas.microsoft.com/office/drawing/2014/main" id="{00000000-0008-0000-1200-00009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12" name="Straight Arrow Connector 5011">
          <a:extLst>
            <a:ext uri="{FF2B5EF4-FFF2-40B4-BE49-F238E27FC236}">
              <a16:creationId xmlns:a16="http://schemas.microsoft.com/office/drawing/2014/main" id="{00000000-0008-0000-1200-00009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13" name="Straight Arrow Connector 5012">
          <a:extLst>
            <a:ext uri="{FF2B5EF4-FFF2-40B4-BE49-F238E27FC236}">
              <a16:creationId xmlns:a16="http://schemas.microsoft.com/office/drawing/2014/main" id="{00000000-0008-0000-1200-00009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14" name="Straight Arrow Connector 5013">
          <a:extLst>
            <a:ext uri="{FF2B5EF4-FFF2-40B4-BE49-F238E27FC236}">
              <a16:creationId xmlns:a16="http://schemas.microsoft.com/office/drawing/2014/main" id="{00000000-0008-0000-1200-000096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15" name="Straight Arrow Connector 5014">
          <a:extLst>
            <a:ext uri="{FF2B5EF4-FFF2-40B4-BE49-F238E27FC236}">
              <a16:creationId xmlns:a16="http://schemas.microsoft.com/office/drawing/2014/main" id="{00000000-0008-0000-1200-00009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16" name="Straight Arrow Connector 5015">
          <a:extLst>
            <a:ext uri="{FF2B5EF4-FFF2-40B4-BE49-F238E27FC236}">
              <a16:creationId xmlns:a16="http://schemas.microsoft.com/office/drawing/2014/main" id="{00000000-0008-0000-1200-000098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17" name="Straight Arrow Connector 5016">
          <a:extLst>
            <a:ext uri="{FF2B5EF4-FFF2-40B4-BE49-F238E27FC236}">
              <a16:creationId xmlns:a16="http://schemas.microsoft.com/office/drawing/2014/main" id="{00000000-0008-0000-1200-000099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18" name="Straight Arrow Connector 5017">
          <a:extLst>
            <a:ext uri="{FF2B5EF4-FFF2-40B4-BE49-F238E27FC236}">
              <a16:creationId xmlns:a16="http://schemas.microsoft.com/office/drawing/2014/main" id="{00000000-0008-0000-1200-00009A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19" name="Straight Arrow Connector 5018">
          <a:extLst>
            <a:ext uri="{FF2B5EF4-FFF2-40B4-BE49-F238E27FC236}">
              <a16:creationId xmlns:a16="http://schemas.microsoft.com/office/drawing/2014/main" id="{00000000-0008-0000-1200-00009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20" name="Straight Arrow Connector 5019">
          <a:extLst>
            <a:ext uri="{FF2B5EF4-FFF2-40B4-BE49-F238E27FC236}">
              <a16:creationId xmlns:a16="http://schemas.microsoft.com/office/drawing/2014/main" id="{00000000-0008-0000-1200-00009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1" name="Straight Arrow Connector 5020">
          <a:extLst>
            <a:ext uri="{FF2B5EF4-FFF2-40B4-BE49-F238E27FC236}">
              <a16:creationId xmlns:a16="http://schemas.microsoft.com/office/drawing/2014/main" id="{00000000-0008-0000-1200-00009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22" name="Straight Arrow Connector 5021">
          <a:extLst>
            <a:ext uri="{FF2B5EF4-FFF2-40B4-BE49-F238E27FC236}">
              <a16:creationId xmlns:a16="http://schemas.microsoft.com/office/drawing/2014/main" id="{00000000-0008-0000-1200-00009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3" name="Straight Arrow Connector 5022">
          <a:extLst>
            <a:ext uri="{FF2B5EF4-FFF2-40B4-BE49-F238E27FC236}">
              <a16:creationId xmlns:a16="http://schemas.microsoft.com/office/drawing/2014/main" id="{00000000-0008-0000-1200-00009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24" name="Straight Arrow Connector 5023">
          <a:extLst>
            <a:ext uri="{FF2B5EF4-FFF2-40B4-BE49-F238E27FC236}">
              <a16:creationId xmlns:a16="http://schemas.microsoft.com/office/drawing/2014/main" id="{00000000-0008-0000-1200-0000A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5" name="Straight Arrow Connector 5024">
          <a:extLst>
            <a:ext uri="{FF2B5EF4-FFF2-40B4-BE49-F238E27FC236}">
              <a16:creationId xmlns:a16="http://schemas.microsoft.com/office/drawing/2014/main" id="{00000000-0008-0000-1200-0000A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26" name="Straight Arrow Connector 5025">
          <a:extLst>
            <a:ext uri="{FF2B5EF4-FFF2-40B4-BE49-F238E27FC236}">
              <a16:creationId xmlns:a16="http://schemas.microsoft.com/office/drawing/2014/main" id="{00000000-0008-0000-1200-0000A2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7" name="Straight Arrow Connector 5026">
          <a:extLst>
            <a:ext uri="{FF2B5EF4-FFF2-40B4-BE49-F238E27FC236}">
              <a16:creationId xmlns:a16="http://schemas.microsoft.com/office/drawing/2014/main" id="{00000000-0008-0000-1200-0000A3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28" name="Straight Arrow Connector 5027">
          <a:extLst>
            <a:ext uri="{FF2B5EF4-FFF2-40B4-BE49-F238E27FC236}">
              <a16:creationId xmlns:a16="http://schemas.microsoft.com/office/drawing/2014/main" id="{00000000-0008-0000-1200-0000A4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29" name="Straight Arrow Connector 5028">
          <a:extLst>
            <a:ext uri="{FF2B5EF4-FFF2-40B4-BE49-F238E27FC236}">
              <a16:creationId xmlns:a16="http://schemas.microsoft.com/office/drawing/2014/main" id="{00000000-0008-0000-1200-0000A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30" name="Straight Arrow Connector 5029">
          <a:extLst>
            <a:ext uri="{FF2B5EF4-FFF2-40B4-BE49-F238E27FC236}">
              <a16:creationId xmlns:a16="http://schemas.microsoft.com/office/drawing/2014/main" id="{00000000-0008-0000-1200-0000A6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1" name="Straight Arrow Connector 5030">
          <a:extLst>
            <a:ext uri="{FF2B5EF4-FFF2-40B4-BE49-F238E27FC236}">
              <a16:creationId xmlns:a16="http://schemas.microsoft.com/office/drawing/2014/main" id="{00000000-0008-0000-1200-0000A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32" name="Straight Arrow Connector 5031">
          <a:extLst>
            <a:ext uri="{FF2B5EF4-FFF2-40B4-BE49-F238E27FC236}">
              <a16:creationId xmlns:a16="http://schemas.microsoft.com/office/drawing/2014/main" id="{00000000-0008-0000-1200-0000A8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3" name="Straight Arrow Connector 5032">
          <a:extLst>
            <a:ext uri="{FF2B5EF4-FFF2-40B4-BE49-F238E27FC236}">
              <a16:creationId xmlns:a16="http://schemas.microsoft.com/office/drawing/2014/main" id="{00000000-0008-0000-1200-0000A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4" name="Straight Arrow Connector 5033">
          <a:extLst>
            <a:ext uri="{FF2B5EF4-FFF2-40B4-BE49-F238E27FC236}">
              <a16:creationId xmlns:a16="http://schemas.microsoft.com/office/drawing/2014/main" id="{00000000-0008-0000-1200-0000A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5" name="Straight Arrow Connector 5034">
          <a:extLst>
            <a:ext uri="{FF2B5EF4-FFF2-40B4-BE49-F238E27FC236}">
              <a16:creationId xmlns:a16="http://schemas.microsoft.com/office/drawing/2014/main" id="{00000000-0008-0000-1200-0000AB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36" name="Straight Arrow Connector 5035">
          <a:extLst>
            <a:ext uri="{FF2B5EF4-FFF2-40B4-BE49-F238E27FC236}">
              <a16:creationId xmlns:a16="http://schemas.microsoft.com/office/drawing/2014/main" id="{00000000-0008-0000-1200-0000AC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7" name="Straight Arrow Connector 5036">
          <a:extLst>
            <a:ext uri="{FF2B5EF4-FFF2-40B4-BE49-F238E27FC236}">
              <a16:creationId xmlns:a16="http://schemas.microsoft.com/office/drawing/2014/main" id="{00000000-0008-0000-1200-0000AD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38" name="Straight Arrow Connector 5037">
          <a:extLst>
            <a:ext uri="{FF2B5EF4-FFF2-40B4-BE49-F238E27FC236}">
              <a16:creationId xmlns:a16="http://schemas.microsoft.com/office/drawing/2014/main" id="{00000000-0008-0000-1200-0000AE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39" name="Straight Arrow Connector 5038">
          <a:extLst>
            <a:ext uri="{FF2B5EF4-FFF2-40B4-BE49-F238E27FC236}">
              <a16:creationId xmlns:a16="http://schemas.microsoft.com/office/drawing/2014/main" id="{00000000-0008-0000-1200-0000AF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40" name="Straight Arrow Connector 5039">
          <a:extLst>
            <a:ext uri="{FF2B5EF4-FFF2-40B4-BE49-F238E27FC236}">
              <a16:creationId xmlns:a16="http://schemas.microsoft.com/office/drawing/2014/main" id="{00000000-0008-0000-1200-0000B0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1" name="Straight Arrow Connector 5040">
          <a:extLst>
            <a:ext uri="{FF2B5EF4-FFF2-40B4-BE49-F238E27FC236}">
              <a16:creationId xmlns:a16="http://schemas.microsoft.com/office/drawing/2014/main" id="{00000000-0008-0000-1200-0000B1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42" name="Straight Arrow Connector 5041">
          <a:extLst>
            <a:ext uri="{FF2B5EF4-FFF2-40B4-BE49-F238E27FC236}">
              <a16:creationId xmlns:a16="http://schemas.microsoft.com/office/drawing/2014/main" id="{00000000-0008-0000-1200-0000B2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43" name="Straight Arrow Connector 5042">
          <a:extLst>
            <a:ext uri="{FF2B5EF4-FFF2-40B4-BE49-F238E27FC236}">
              <a16:creationId xmlns:a16="http://schemas.microsoft.com/office/drawing/2014/main" id="{00000000-0008-0000-1200-0000B3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4" name="Straight Arrow Connector 5043">
          <a:extLst>
            <a:ext uri="{FF2B5EF4-FFF2-40B4-BE49-F238E27FC236}">
              <a16:creationId xmlns:a16="http://schemas.microsoft.com/office/drawing/2014/main" id="{00000000-0008-0000-1200-0000B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5" name="Straight Arrow Connector 5044">
          <a:extLst>
            <a:ext uri="{FF2B5EF4-FFF2-40B4-BE49-F238E27FC236}">
              <a16:creationId xmlns:a16="http://schemas.microsoft.com/office/drawing/2014/main" id="{00000000-0008-0000-1200-0000B5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6" name="Straight Arrow Connector 5045">
          <a:extLst>
            <a:ext uri="{FF2B5EF4-FFF2-40B4-BE49-F238E27FC236}">
              <a16:creationId xmlns:a16="http://schemas.microsoft.com/office/drawing/2014/main" id="{00000000-0008-0000-1200-0000B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7" name="Straight Arrow Connector 5046">
          <a:extLst>
            <a:ext uri="{FF2B5EF4-FFF2-40B4-BE49-F238E27FC236}">
              <a16:creationId xmlns:a16="http://schemas.microsoft.com/office/drawing/2014/main" id="{00000000-0008-0000-1200-0000B7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8" name="Straight Arrow Connector 5047">
          <a:extLst>
            <a:ext uri="{FF2B5EF4-FFF2-40B4-BE49-F238E27FC236}">
              <a16:creationId xmlns:a16="http://schemas.microsoft.com/office/drawing/2014/main" id="{00000000-0008-0000-1200-0000B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49" name="Straight Arrow Connector 5048">
          <a:extLst>
            <a:ext uri="{FF2B5EF4-FFF2-40B4-BE49-F238E27FC236}">
              <a16:creationId xmlns:a16="http://schemas.microsoft.com/office/drawing/2014/main" id="{00000000-0008-0000-1200-0000B9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50" name="Straight Arrow Connector 5049">
          <a:extLst>
            <a:ext uri="{FF2B5EF4-FFF2-40B4-BE49-F238E27FC236}">
              <a16:creationId xmlns:a16="http://schemas.microsoft.com/office/drawing/2014/main" id="{00000000-0008-0000-1200-0000B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51" name="Straight Arrow Connector 5050">
          <a:extLst>
            <a:ext uri="{FF2B5EF4-FFF2-40B4-BE49-F238E27FC236}">
              <a16:creationId xmlns:a16="http://schemas.microsoft.com/office/drawing/2014/main" id="{00000000-0008-0000-1200-0000B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52" name="Straight Arrow Connector 5051">
          <a:extLst>
            <a:ext uri="{FF2B5EF4-FFF2-40B4-BE49-F238E27FC236}">
              <a16:creationId xmlns:a16="http://schemas.microsoft.com/office/drawing/2014/main" id="{00000000-0008-0000-1200-0000B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53" name="Straight Arrow Connector 5052">
          <a:extLst>
            <a:ext uri="{FF2B5EF4-FFF2-40B4-BE49-F238E27FC236}">
              <a16:creationId xmlns:a16="http://schemas.microsoft.com/office/drawing/2014/main" id="{00000000-0008-0000-1200-0000B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54" name="Straight Arrow Connector 5053">
          <a:extLst>
            <a:ext uri="{FF2B5EF4-FFF2-40B4-BE49-F238E27FC236}">
              <a16:creationId xmlns:a16="http://schemas.microsoft.com/office/drawing/2014/main" id="{00000000-0008-0000-1200-0000B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55" name="Straight Arrow Connector 5054">
          <a:extLst>
            <a:ext uri="{FF2B5EF4-FFF2-40B4-BE49-F238E27FC236}">
              <a16:creationId xmlns:a16="http://schemas.microsoft.com/office/drawing/2014/main" id="{00000000-0008-0000-1200-0000BF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56" name="Straight Arrow Connector 5055">
          <a:extLst>
            <a:ext uri="{FF2B5EF4-FFF2-40B4-BE49-F238E27FC236}">
              <a16:creationId xmlns:a16="http://schemas.microsoft.com/office/drawing/2014/main" id="{00000000-0008-0000-1200-0000C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57" name="Straight Arrow Connector 5056">
          <a:extLst>
            <a:ext uri="{FF2B5EF4-FFF2-40B4-BE49-F238E27FC236}">
              <a16:creationId xmlns:a16="http://schemas.microsoft.com/office/drawing/2014/main" id="{00000000-0008-0000-1200-0000C1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58" name="Straight Arrow Connector 5057">
          <a:extLst>
            <a:ext uri="{FF2B5EF4-FFF2-40B4-BE49-F238E27FC236}">
              <a16:creationId xmlns:a16="http://schemas.microsoft.com/office/drawing/2014/main" id="{00000000-0008-0000-1200-0000C2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59" name="Straight Arrow Connector 5058">
          <a:extLst>
            <a:ext uri="{FF2B5EF4-FFF2-40B4-BE49-F238E27FC236}">
              <a16:creationId xmlns:a16="http://schemas.microsoft.com/office/drawing/2014/main" id="{00000000-0008-0000-1200-0000C3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0" name="Straight Arrow Connector 5059">
          <a:extLst>
            <a:ext uri="{FF2B5EF4-FFF2-40B4-BE49-F238E27FC236}">
              <a16:creationId xmlns:a16="http://schemas.microsoft.com/office/drawing/2014/main" id="{00000000-0008-0000-1200-0000C4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61" name="Straight Arrow Connector 5060">
          <a:extLst>
            <a:ext uri="{FF2B5EF4-FFF2-40B4-BE49-F238E27FC236}">
              <a16:creationId xmlns:a16="http://schemas.microsoft.com/office/drawing/2014/main" id="{00000000-0008-0000-1200-0000C5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2" name="Straight Arrow Connector 5061">
          <a:extLst>
            <a:ext uri="{FF2B5EF4-FFF2-40B4-BE49-F238E27FC236}">
              <a16:creationId xmlns:a16="http://schemas.microsoft.com/office/drawing/2014/main" id="{00000000-0008-0000-1200-0000C6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63" name="Straight Arrow Connector 5062">
          <a:extLst>
            <a:ext uri="{FF2B5EF4-FFF2-40B4-BE49-F238E27FC236}">
              <a16:creationId xmlns:a16="http://schemas.microsoft.com/office/drawing/2014/main" id="{00000000-0008-0000-1200-0000C7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4" name="Straight Arrow Connector 5063">
          <a:extLst>
            <a:ext uri="{FF2B5EF4-FFF2-40B4-BE49-F238E27FC236}">
              <a16:creationId xmlns:a16="http://schemas.microsoft.com/office/drawing/2014/main" id="{00000000-0008-0000-1200-0000C8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65" name="Straight Arrow Connector 5064">
          <a:extLst>
            <a:ext uri="{FF2B5EF4-FFF2-40B4-BE49-F238E27FC236}">
              <a16:creationId xmlns:a16="http://schemas.microsoft.com/office/drawing/2014/main" id="{00000000-0008-0000-1200-0000C9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6" name="Straight Arrow Connector 5065">
          <a:extLst>
            <a:ext uri="{FF2B5EF4-FFF2-40B4-BE49-F238E27FC236}">
              <a16:creationId xmlns:a16="http://schemas.microsoft.com/office/drawing/2014/main" id="{00000000-0008-0000-1200-0000CA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1143000</xdr:colOff>
      <xdr:row>1775</xdr:row>
      <xdr:rowOff>31750</xdr:rowOff>
    </xdr:from>
    <xdr:to>
      <xdr:col>16</xdr:col>
      <xdr:colOff>42334</xdr:colOff>
      <xdr:row>1782</xdr:row>
      <xdr:rowOff>63501</xdr:rowOff>
    </xdr:to>
    <xdr:cxnSp macro="">
      <xdr:nvCxnSpPr>
        <xdr:cNvPr id="5067" name="Straight Arrow Connector 5066">
          <a:extLst>
            <a:ext uri="{FF2B5EF4-FFF2-40B4-BE49-F238E27FC236}">
              <a16:creationId xmlns:a16="http://schemas.microsoft.com/office/drawing/2014/main" id="{00000000-0008-0000-1200-0000CB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68" name="Straight Arrow Connector 5067">
          <a:extLst>
            <a:ext uri="{FF2B5EF4-FFF2-40B4-BE49-F238E27FC236}">
              <a16:creationId xmlns:a16="http://schemas.microsoft.com/office/drawing/2014/main" id="{00000000-0008-0000-1200-0000CC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69" name="Straight Arrow Connector 5068">
          <a:extLst>
            <a:ext uri="{FF2B5EF4-FFF2-40B4-BE49-F238E27FC236}">
              <a16:creationId xmlns:a16="http://schemas.microsoft.com/office/drawing/2014/main" id="{00000000-0008-0000-1200-0000CD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70" name="Straight Arrow Connector 5069">
          <a:extLst>
            <a:ext uri="{FF2B5EF4-FFF2-40B4-BE49-F238E27FC236}">
              <a16:creationId xmlns:a16="http://schemas.microsoft.com/office/drawing/2014/main" id="{00000000-0008-0000-1200-0000CE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1775</xdr:row>
      <xdr:rowOff>31750</xdr:rowOff>
    </xdr:from>
    <xdr:to>
      <xdr:col>16</xdr:col>
      <xdr:colOff>42334</xdr:colOff>
      <xdr:row>1782</xdr:row>
      <xdr:rowOff>63501</xdr:rowOff>
    </xdr:to>
    <xdr:cxnSp macro="">
      <xdr:nvCxnSpPr>
        <xdr:cNvPr id="5071" name="Straight Arrow Connector 5070">
          <a:extLst>
            <a:ext uri="{FF2B5EF4-FFF2-40B4-BE49-F238E27FC236}">
              <a16:creationId xmlns:a16="http://schemas.microsoft.com/office/drawing/2014/main" id="{00000000-0008-0000-1200-0000CF130000}"/>
            </a:ext>
          </a:extLst>
        </xdr:cNvPr>
        <xdr:cNvCxnSpPr/>
      </xdr:nvCxnSpPr>
      <xdr:spPr>
        <a:xfrm>
          <a:off x="11281833" y="3322637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42333</xdr:colOff>
      <xdr:row>1788</xdr:row>
      <xdr:rowOff>31750</xdr:rowOff>
    </xdr:from>
    <xdr:to>
      <xdr:col>16</xdr:col>
      <xdr:colOff>21167</xdr:colOff>
      <xdr:row>1795</xdr:row>
      <xdr:rowOff>95250</xdr:rowOff>
    </xdr:to>
    <xdr:cxnSp macro="">
      <xdr:nvCxnSpPr>
        <xdr:cNvPr id="5072" name="Straight Arrow Connector 5071">
          <a:extLst>
            <a:ext uri="{FF2B5EF4-FFF2-40B4-BE49-F238E27FC236}">
              <a16:creationId xmlns:a16="http://schemas.microsoft.com/office/drawing/2014/main" id="{00000000-0008-0000-1200-0000D0130000}"/>
            </a:ext>
          </a:extLst>
        </xdr:cNvPr>
        <xdr:cNvCxnSpPr/>
      </xdr:nvCxnSpPr>
      <xdr:spPr>
        <a:xfrm>
          <a:off x="11324166" y="334930750"/>
          <a:ext cx="592668" cy="13970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73" name="Straight Arrow Connector 5072">
          <a:extLst>
            <a:ext uri="{FF2B5EF4-FFF2-40B4-BE49-F238E27FC236}">
              <a16:creationId xmlns:a16="http://schemas.microsoft.com/office/drawing/2014/main" id="{00000000-0008-0000-1200-0000D1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0</xdr:colOff>
      <xdr:row>1801</xdr:row>
      <xdr:rowOff>31750</xdr:rowOff>
    </xdr:from>
    <xdr:to>
      <xdr:col>16</xdr:col>
      <xdr:colOff>42334</xdr:colOff>
      <xdr:row>1808</xdr:row>
      <xdr:rowOff>63501</xdr:rowOff>
    </xdr:to>
    <xdr:cxnSp macro="">
      <xdr:nvCxnSpPr>
        <xdr:cNvPr id="5074" name="Straight Arrow Connector 5073">
          <a:extLst>
            <a:ext uri="{FF2B5EF4-FFF2-40B4-BE49-F238E27FC236}">
              <a16:creationId xmlns:a16="http://schemas.microsoft.com/office/drawing/2014/main" id="{00000000-0008-0000-1200-0000D2130000}"/>
            </a:ext>
          </a:extLst>
        </xdr:cNvPr>
        <xdr:cNvCxnSpPr/>
      </xdr:nvCxnSpPr>
      <xdr:spPr>
        <a:xfrm>
          <a:off x="11281833" y="337407250"/>
          <a:ext cx="656168" cy="13652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545465</xdr:colOff>
      <xdr:row>12</xdr:row>
      <xdr:rowOff>99695</xdr:rowOff>
    </xdr:from>
    <xdr:to>
      <xdr:col>13</xdr:col>
      <xdr:colOff>206375</xdr:colOff>
      <xdr:row>27</xdr:row>
      <xdr:rowOff>80645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8562109" cy="5818909"/>
    <xdr:graphicFrame macro="">
      <xdr:nvGraphicFramePr>
        <xdr:cNvPr id="2" name="Chart 1">
          <a:extLst>
            <a:ext uri="{FF2B5EF4-FFF2-40B4-BE49-F238E27FC236}">
              <a16:creationId xmlns:a16="http://schemas.microsoft.com/office/drawing/2014/main" id="{CBCE8DC7-E47F-4337-4C7E-31B30C4B727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562109" cy="5818909"/>
    <xdr:graphicFrame macro="">
      <xdr:nvGraphicFramePr>
        <xdr:cNvPr id="2" name="Chart 1">
          <a:extLst>
            <a:ext uri="{FF2B5EF4-FFF2-40B4-BE49-F238E27FC236}">
              <a16:creationId xmlns:a16="http://schemas.microsoft.com/office/drawing/2014/main" id="{9A8ABC0D-1073-B6DC-9237-263F31DF7DA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0.429</cdr:x>
      <cdr:y>0.51425</cdr:y>
    </cdr:from>
    <cdr:to>
      <cdr:x>0.43975</cdr:x>
      <cdr:y>0.55075</cdr:y>
    </cdr:to>
    <cdr:sp macro="" textlink="">
      <cdr:nvSpPr>
        <cdr:cNvPr id="9217" name="Text Box 1"/>
        <cdr:cNvSpPr txBox="1">
          <a:spLocks xmlns:a="http://schemas.openxmlformats.org/drawingml/2006/main" noChangeArrowheads="1"/>
        </cdr:cNvSpPr>
      </cdr:nvSpPr>
      <cdr:spPr bwMode="auto">
        <a:xfrm xmlns:a="http://schemas.openxmlformats.org/drawingml/2006/main">
          <a:off x="3692416" y="3008455"/>
          <a:ext cx="92257" cy="21165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GB" sz="925" b="0" i="0" u="none" strike="noStrike" baseline="0">
              <a:solidFill>
                <a:srgbClr val="000000"/>
              </a:solidFill>
              <a:latin typeface="Arial"/>
              <a:cs typeface="Arial"/>
            </a:rPr>
            <a:t>  </a:t>
          </a:r>
        </a:p>
      </cdr:txBody>
    </cdr:sp>
  </cdr:relSizeAnchor>
</c:userShapes>
</file>

<file path=xl/drawings/drawing14.xml><?xml version="1.0" encoding="utf-8"?>
<xdr:wsDr xmlns:xdr="http://schemas.openxmlformats.org/drawingml/2006/spreadsheetDrawing" xmlns:a="http://schemas.openxmlformats.org/drawingml/2006/main">
  <xdr:twoCellAnchor>
    <xdr:from>
      <xdr:col>1</xdr:col>
      <xdr:colOff>19050</xdr:colOff>
      <xdr:row>49</xdr:row>
      <xdr:rowOff>76199</xdr:rowOff>
    </xdr:from>
    <xdr:to>
      <xdr:col>13</xdr:col>
      <xdr:colOff>71967</xdr:colOff>
      <xdr:row>96</xdr:row>
      <xdr:rowOff>160867</xdr:rowOff>
    </xdr:to>
    <xdr:graphicFrame macro="">
      <xdr:nvGraphicFramePr>
        <xdr:cNvPr id="2" name="Chart 1">
          <a:extLst>
            <a:ext uri="{FF2B5EF4-FFF2-40B4-BE49-F238E27FC236}">
              <a16:creationId xmlns:a16="http://schemas.microsoft.com/office/drawing/2014/main" id="{5C852218-3DD9-41CE-85A9-597CACCE11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76200</xdr:colOff>
      <xdr:row>2</xdr:row>
      <xdr:rowOff>68580</xdr:rowOff>
    </xdr:from>
    <xdr:to>
      <xdr:col>15</xdr:col>
      <xdr:colOff>273050</xdr:colOff>
      <xdr:row>25</xdr:row>
      <xdr:rowOff>146050</xdr:rowOff>
    </xdr:to>
    <xdr:graphicFrame macro="">
      <xdr:nvGraphicFramePr>
        <xdr:cNvPr id="2" name="Chart 1">
          <a:extLst>
            <a:ext uri="{FF2B5EF4-FFF2-40B4-BE49-F238E27FC236}">
              <a16:creationId xmlns:a16="http://schemas.microsoft.com/office/drawing/2014/main" id="{933CAE35-BDA9-4659-AAFA-6776430C16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19050</xdr:colOff>
      <xdr:row>49</xdr:row>
      <xdr:rowOff>76199</xdr:rowOff>
    </xdr:from>
    <xdr:to>
      <xdr:col>13</xdr:col>
      <xdr:colOff>71967</xdr:colOff>
      <xdr:row>96</xdr:row>
      <xdr:rowOff>160867</xdr:rowOff>
    </xdr:to>
    <xdr:graphicFrame macro="">
      <xdr:nvGraphicFramePr>
        <xdr:cNvPr id="2" name="Chart 1">
          <a:extLst>
            <a:ext uri="{FF2B5EF4-FFF2-40B4-BE49-F238E27FC236}">
              <a16:creationId xmlns:a16="http://schemas.microsoft.com/office/drawing/2014/main" id="{04201CEE-42E7-4B1B-8323-14110485F0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iara/Documents/Backup%20-%20Wits/Pregnancy%20Grant%20-%20Aisha/Draft%20Model/Latest/PSA/Probabilistic%20sensitivity%20analysis%20v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Decision tree"/>
      <sheetName val="Analysis"/>
      <sheetName val="Simulation"/>
      <sheetName val="inc CE plane"/>
      <sheetName val="CEA curve"/>
    </sheetNames>
    <sheetDataSet>
      <sheetData sheetId="0">
        <row r="93">
          <cell r="B93">
            <v>0.30400000000000005</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hyperlink" Target="http://childrencount.uct.ac.za/indicator.php?domain=2&amp;indicator=10"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healthcostinstitute.org/health-care-cost-and-utilization-report/annual-report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workbookViewId="0">
      <selection activeCell="C29" sqref="C29"/>
    </sheetView>
  </sheetViews>
  <sheetFormatPr defaultRowHeight="14.4" x14ac:dyDescent="0.3"/>
  <cols>
    <col min="1" max="1" width="16.21875" bestFit="1" customWidth="1"/>
  </cols>
  <sheetData>
    <row r="1" spans="1:2" x14ac:dyDescent="0.3">
      <c r="A1" s="4" t="s">
        <v>13</v>
      </c>
    </row>
    <row r="4" spans="1:2" x14ac:dyDescent="0.3">
      <c r="A4" s="5" t="s">
        <v>33</v>
      </c>
    </row>
    <row r="5" spans="1:2" x14ac:dyDescent="0.3">
      <c r="A5" s="6" t="s">
        <v>26</v>
      </c>
      <c r="B5" t="s">
        <v>27</v>
      </c>
    </row>
    <row r="6" spans="1:2" x14ac:dyDescent="0.3">
      <c r="A6" s="6" t="s">
        <v>14</v>
      </c>
      <c r="B6" t="s">
        <v>15</v>
      </c>
    </row>
    <row r="7" spans="1:2" x14ac:dyDescent="0.3">
      <c r="A7" s="6" t="s">
        <v>10</v>
      </c>
      <c r="B7" t="s">
        <v>16</v>
      </c>
    </row>
    <row r="8" spans="1:2" x14ac:dyDescent="0.3">
      <c r="A8" s="6" t="s">
        <v>17</v>
      </c>
      <c r="B8" t="s">
        <v>19</v>
      </c>
    </row>
    <row r="9" spans="1:2" x14ac:dyDescent="0.3">
      <c r="A9" s="6" t="s">
        <v>12</v>
      </c>
      <c r="B9" t="s">
        <v>18</v>
      </c>
    </row>
    <row r="11" spans="1:2" x14ac:dyDescent="0.3">
      <c r="A11" s="10" t="s">
        <v>28</v>
      </c>
    </row>
    <row r="12" spans="1:2" x14ac:dyDescent="0.3">
      <c r="A12" t="s">
        <v>29</v>
      </c>
    </row>
    <row r="13" spans="1:2" x14ac:dyDescent="0.3">
      <c r="A13" t="s">
        <v>30</v>
      </c>
    </row>
  </sheetData>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126"/>
  <sheetViews>
    <sheetView topLeftCell="A64" workbookViewId="0">
      <selection activeCell="I84" sqref="I84"/>
    </sheetView>
  </sheetViews>
  <sheetFormatPr defaultRowHeight="14.4" x14ac:dyDescent="0.3"/>
  <sheetData>
    <row r="1" spans="1:1" s="19" customFormat="1" x14ac:dyDescent="0.3">
      <c r="A1" s="19" t="s">
        <v>90</v>
      </c>
    </row>
    <row r="3" spans="1:1" x14ac:dyDescent="0.3">
      <c r="A3" t="s">
        <v>91</v>
      </c>
    </row>
    <row r="4" spans="1:1" x14ac:dyDescent="0.3">
      <c r="A4" t="s">
        <v>92</v>
      </c>
    </row>
    <row r="5" spans="1:1" x14ac:dyDescent="0.3">
      <c r="A5" t="s">
        <v>93</v>
      </c>
    </row>
    <row r="6" spans="1:1" x14ac:dyDescent="0.3">
      <c r="A6" t="s">
        <v>94</v>
      </c>
    </row>
    <row r="7" spans="1:1" x14ac:dyDescent="0.3">
      <c r="A7" t="s">
        <v>95</v>
      </c>
    </row>
    <row r="9" spans="1:1" s="19" customFormat="1" x14ac:dyDescent="0.3">
      <c r="A9" s="19" t="s">
        <v>96</v>
      </c>
    </row>
    <row r="11" spans="1:1" x14ac:dyDescent="0.3">
      <c r="A11" t="s">
        <v>97</v>
      </c>
    </row>
    <row r="12" spans="1:1" x14ac:dyDescent="0.3">
      <c r="A12" t="s">
        <v>98</v>
      </c>
    </row>
    <row r="13" spans="1:1" x14ac:dyDescent="0.3">
      <c r="A13" t="s">
        <v>99</v>
      </c>
    </row>
    <row r="14" spans="1:1" x14ac:dyDescent="0.3">
      <c r="A14" t="s">
        <v>100</v>
      </c>
    </row>
    <row r="15" spans="1:1" x14ac:dyDescent="0.3">
      <c r="A15" t="s">
        <v>101</v>
      </c>
    </row>
    <row r="16" spans="1:1" x14ac:dyDescent="0.3">
      <c r="A16" t="s">
        <v>102</v>
      </c>
    </row>
    <row r="17" spans="1:1" x14ac:dyDescent="0.3">
      <c r="A17" t="s">
        <v>103</v>
      </c>
    </row>
    <row r="18" spans="1:1" x14ac:dyDescent="0.3">
      <c r="A18" t="s">
        <v>104</v>
      </c>
    </row>
    <row r="20" spans="1:1" s="19" customFormat="1" x14ac:dyDescent="0.3">
      <c r="A20" s="19" t="s">
        <v>105</v>
      </c>
    </row>
    <row r="22" spans="1:1" x14ac:dyDescent="0.3">
      <c r="A22" t="s">
        <v>106</v>
      </c>
    </row>
    <row r="23" spans="1:1" x14ac:dyDescent="0.3">
      <c r="A23" t="s">
        <v>107</v>
      </c>
    </row>
    <row r="24" spans="1:1" x14ac:dyDescent="0.3">
      <c r="A24" t="s">
        <v>108</v>
      </c>
    </row>
    <row r="25" spans="1:1" x14ac:dyDescent="0.3">
      <c r="A25" t="s">
        <v>109</v>
      </c>
    </row>
    <row r="26" spans="1:1" x14ac:dyDescent="0.3">
      <c r="A26" t="s">
        <v>110</v>
      </c>
    </row>
    <row r="27" spans="1:1" x14ac:dyDescent="0.3">
      <c r="A27" t="s">
        <v>111</v>
      </c>
    </row>
    <row r="28" spans="1:1" x14ac:dyDescent="0.3">
      <c r="A28" t="s">
        <v>112</v>
      </c>
    </row>
    <row r="29" spans="1:1" x14ac:dyDescent="0.3">
      <c r="A29" t="s">
        <v>113</v>
      </c>
    </row>
    <row r="30" spans="1:1" x14ac:dyDescent="0.3">
      <c r="A30" t="s">
        <v>114</v>
      </c>
    </row>
    <row r="31" spans="1:1" x14ac:dyDescent="0.3">
      <c r="A31" t="s">
        <v>115</v>
      </c>
    </row>
    <row r="32" spans="1:1" x14ac:dyDescent="0.3">
      <c r="A32" t="s">
        <v>116</v>
      </c>
    </row>
    <row r="33" spans="1:1" x14ac:dyDescent="0.3">
      <c r="A33" t="s">
        <v>117</v>
      </c>
    </row>
    <row r="34" spans="1:1" x14ac:dyDescent="0.3">
      <c r="A34" t="s">
        <v>118</v>
      </c>
    </row>
    <row r="35" spans="1:1" x14ac:dyDescent="0.3">
      <c r="A35" t="s">
        <v>119</v>
      </c>
    </row>
    <row r="37" spans="1:1" s="19" customFormat="1" x14ac:dyDescent="0.3">
      <c r="A37" s="19" t="s">
        <v>131</v>
      </c>
    </row>
    <row r="39" spans="1:1" x14ac:dyDescent="0.3">
      <c r="A39" t="s">
        <v>132</v>
      </c>
    </row>
    <row r="40" spans="1:1" x14ac:dyDescent="0.3">
      <c r="A40" t="s">
        <v>133</v>
      </c>
    </row>
    <row r="41" spans="1:1" x14ac:dyDescent="0.3">
      <c r="A41" t="s">
        <v>134</v>
      </c>
    </row>
    <row r="42" spans="1:1" x14ac:dyDescent="0.3">
      <c r="A42" t="s">
        <v>135</v>
      </c>
    </row>
    <row r="43" spans="1:1" x14ac:dyDescent="0.3">
      <c r="A43" t="s">
        <v>136</v>
      </c>
    </row>
    <row r="44" spans="1:1" x14ac:dyDescent="0.3">
      <c r="A44" t="s">
        <v>137</v>
      </c>
    </row>
    <row r="45" spans="1:1" x14ac:dyDescent="0.3">
      <c r="A45" t="s">
        <v>138</v>
      </c>
    </row>
    <row r="46" spans="1:1" x14ac:dyDescent="0.3">
      <c r="A46" t="s">
        <v>139</v>
      </c>
    </row>
    <row r="47" spans="1:1" x14ac:dyDescent="0.3">
      <c r="A47" t="s">
        <v>140</v>
      </c>
    </row>
    <row r="48" spans="1:1" x14ac:dyDescent="0.3">
      <c r="A48" t="s">
        <v>141</v>
      </c>
    </row>
    <row r="49" spans="1:1" x14ac:dyDescent="0.3">
      <c r="A49" t="s">
        <v>142</v>
      </c>
    </row>
    <row r="50" spans="1:1" x14ac:dyDescent="0.3">
      <c r="A50" t="s">
        <v>143</v>
      </c>
    </row>
    <row r="51" spans="1:1" x14ac:dyDescent="0.3">
      <c r="A51" t="s">
        <v>144</v>
      </c>
    </row>
    <row r="53" spans="1:1" x14ac:dyDescent="0.3">
      <c r="A53" t="s">
        <v>145</v>
      </c>
    </row>
    <row r="54" spans="1:1" x14ac:dyDescent="0.3">
      <c r="A54" t="s">
        <v>146</v>
      </c>
    </row>
    <row r="55" spans="1:1" x14ac:dyDescent="0.3">
      <c r="A55" t="s">
        <v>147</v>
      </c>
    </row>
    <row r="56" spans="1:1" x14ac:dyDescent="0.3">
      <c r="A56" t="s">
        <v>148</v>
      </c>
    </row>
    <row r="57" spans="1:1" x14ac:dyDescent="0.3">
      <c r="A57" t="s">
        <v>149</v>
      </c>
    </row>
    <row r="58" spans="1:1" x14ac:dyDescent="0.3">
      <c r="A58" t="s">
        <v>150</v>
      </c>
    </row>
    <row r="59" spans="1:1" x14ac:dyDescent="0.3">
      <c r="A59" t="s">
        <v>151</v>
      </c>
    </row>
    <row r="60" spans="1:1" x14ac:dyDescent="0.3">
      <c r="A60" t="s">
        <v>152</v>
      </c>
    </row>
    <row r="61" spans="1:1" x14ac:dyDescent="0.3">
      <c r="A61" t="s">
        <v>153</v>
      </c>
    </row>
    <row r="62" spans="1:1" x14ac:dyDescent="0.3">
      <c r="A62" t="s">
        <v>154</v>
      </c>
    </row>
    <row r="63" spans="1:1" x14ac:dyDescent="0.3">
      <c r="A63" t="s">
        <v>155</v>
      </c>
    </row>
    <row r="64" spans="1:1" x14ac:dyDescent="0.3">
      <c r="A64" t="s">
        <v>156</v>
      </c>
    </row>
    <row r="65" spans="1:1" x14ac:dyDescent="0.3">
      <c r="A65" t="s">
        <v>157</v>
      </c>
    </row>
    <row r="66" spans="1:1" x14ac:dyDescent="0.3">
      <c r="A66" t="s">
        <v>158</v>
      </c>
    </row>
    <row r="67" spans="1:1" x14ac:dyDescent="0.3">
      <c r="A67" t="s">
        <v>159</v>
      </c>
    </row>
    <row r="69" spans="1:1" s="36" customFormat="1" x14ac:dyDescent="0.3">
      <c r="A69" s="36" t="s">
        <v>173</v>
      </c>
    </row>
    <row r="71" spans="1:1" x14ac:dyDescent="0.3">
      <c r="A71" t="s">
        <v>174</v>
      </c>
    </row>
    <row r="72" spans="1:1" x14ac:dyDescent="0.3">
      <c r="A72" t="s">
        <v>175</v>
      </c>
    </row>
    <row r="73" spans="1:1" x14ac:dyDescent="0.3">
      <c r="A73" t="s">
        <v>176</v>
      </c>
    </row>
    <row r="74" spans="1:1" x14ac:dyDescent="0.3">
      <c r="A74" t="s">
        <v>177</v>
      </c>
    </row>
    <row r="75" spans="1:1" x14ac:dyDescent="0.3">
      <c r="A75" t="s">
        <v>178</v>
      </c>
    </row>
    <row r="76" spans="1:1" x14ac:dyDescent="0.3">
      <c r="A76" t="s">
        <v>179</v>
      </c>
    </row>
    <row r="77" spans="1:1" x14ac:dyDescent="0.3">
      <c r="A77" t="s">
        <v>180</v>
      </c>
    </row>
    <row r="78" spans="1:1" x14ac:dyDescent="0.3">
      <c r="A78" t="s">
        <v>181</v>
      </c>
    </row>
    <row r="79" spans="1:1" x14ac:dyDescent="0.3">
      <c r="A79" t="s">
        <v>182</v>
      </c>
    </row>
    <row r="80" spans="1:1" x14ac:dyDescent="0.3">
      <c r="A80" t="s">
        <v>183</v>
      </c>
    </row>
    <row r="81" spans="1:1" x14ac:dyDescent="0.3">
      <c r="A81" t="s">
        <v>184</v>
      </c>
    </row>
    <row r="82" spans="1:1" x14ac:dyDescent="0.3">
      <c r="A82" t="s">
        <v>185</v>
      </c>
    </row>
    <row r="83" spans="1:1" x14ac:dyDescent="0.3">
      <c r="A83" t="s">
        <v>186</v>
      </c>
    </row>
    <row r="84" spans="1:1" x14ac:dyDescent="0.3">
      <c r="A84" t="s">
        <v>187</v>
      </c>
    </row>
    <row r="85" spans="1:1" x14ac:dyDescent="0.3">
      <c r="A85" t="s">
        <v>188</v>
      </c>
    </row>
    <row r="86" spans="1:1" x14ac:dyDescent="0.3">
      <c r="A86" t="s">
        <v>189</v>
      </c>
    </row>
    <row r="87" spans="1:1" x14ac:dyDescent="0.3">
      <c r="A87" t="s">
        <v>190</v>
      </c>
    </row>
    <row r="88" spans="1:1" x14ac:dyDescent="0.3">
      <c r="A88" t="s">
        <v>191</v>
      </c>
    </row>
    <row r="90" spans="1:1" s="19" customFormat="1" x14ac:dyDescent="0.3">
      <c r="A90" s="19" t="s">
        <v>160</v>
      </c>
    </row>
    <row r="91" spans="1:1" x14ac:dyDescent="0.3">
      <c r="A91" t="s">
        <v>89</v>
      </c>
    </row>
    <row r="93" spans="1:1" s="19" customFormat="1" x14ac:dyDescent="0.3">
      <c r="A93" s="19" t="s">
        <v>120</v>
      </c>
    </row>
    <row r="95" spans="1:1" x14ac:dyDescent="0.3">
      <c r="A95" t="s">
        <v>121</v>
      </c>
    </row>
    <row r="96" spans="1:1" x14ac:dyDescent="0.3">
      <c r="A96" t="s">
        <v>122</v>
      </c>
    </row>
    <row r="97" spans="1:1" x14ac:dyDescent="0.3">
      <c r="A97" t="s">
        <v>123</v>
      </c>
    </row>
    <row r="98" spans="1:1" x14ac:dyDescent="0.3">
      <c r="A98" t="s">
        <v>124</v>
      </c>
    </row>
    <row r="99" spans="1:1" x14ac:dyDescent="0.3">
      <c r="A99" t="s">
        <v>125</v>
      </c>
    </row>
    <row r="100" spans="1:1" x14ac:dyDescent="0.3">
      <c r="A100" t="s">
        <v>126</v>
      </c>
    </row>
    <row r="101" spans="1:1" x14ac:dyDescent="0.3">
      <c r="A101" t="s">
        <v>127</v>
      </c>
    </row>
    <row r="102" spans="1:1" x14ac:dyDescent="0.3">
      <c r="A102" t="s">
        <v>128</v>
      </c>
    </row>
    <row r="103" spans="1:1" x14ac:dyDescent="0.3">
      <c r="A103" t="s">
        <v>129</v>
      </c>
    </row>
    <row r="104" spans="1:1" x14ac:dyDescent="0.3">
      <c r="A104" t="s">
        <v>130</v>
      </c>
    </row>
    <row r="106" spans="1:1" s="19" customFormat="1" x14ac:dyDescent="0.3">
      <c r="A106" s="19" t="s">
        <v>71</v>
      </c>
    </row>
    <row r="108" spans="1:1" x14ac:dyDescent="0.3">
      <c r="A108" t="s">
        <v>72</v>
      </c>
    </row>
    <row r="109" spans="1:1" x14ac:dyDescent="0.3">
      <c r="A109" t="s">
        <v>73</v>
      </c>
    </row>
    <row r="110" spans="1:1" x14ac:dyDescent="0.3">
      <c r="A110" t="s">
        <v>74</v>
      </c>
    </row>
    <row r="111" spans="1:1" x14ac:dyDescent="0.3">
      <c r="A111" t="s">
        <v>75</v>
      </c>
    </row>
    <row r="112" spans="1:1" x14ac:dyDescent="0.3">
      <c r="A112" t="s">
        <v>76</v>
      </c>
    </row>
    <row r="113" spans="1:1" x14ac:dyDescent="0.3">
      <c r="A113" t="s">
        <v>77</v>
      </c>
    </row>
    <row r="114" spans="1:1" x14ac:dyDescent="0.3">
      <c r="A114" t="s">
        <v>78</v>
      </c>
    </row>
    <row r="115" spans="1:1" x14ac:dyDescent="0.3">
      <c r="A115" t="s">
        <v>79</v>
      </c>
    </row>
    <row r="117" spans="1:1" x14ac:dyDescent="0.3">
      <c r="A117" t="s">
        <v>80</v>
      </c>
    </row>
    <row r="118" spans="1:1" x14ac:dyDescent="0.3">
      <c r="A118" t="s">
        <v>81</v>
      </c>
    </row>
    <row r="119" spans="1:1" x14ac:dyDescent="0.3">
      <c r="A119" t="s">
        <v>82</v>
      </c>
    </row>
    <row r="120" spans="1:1" x14ac:dyDescent="0.3">
      <c r="A120" t="s">
        <v>83</v>
      </c>
    </row>
    <row r="122" spans="1:1" x14ac:dyDescent="0.3">
      <c r="A122" t="s">
        <v>84</v>
      </c>
    </row>
    <row r="123" spans="1:1" x14ac:dyDescent="0.3">
      <c r="A123" t="s">
        <v>85</v>
      </c>
    </row>
    <row r="124" spans="1:1" x14ac:dyDescent="0.3">
      <c r="A124" t="s">
        <v>86</v>
      </c>
    </row>
    <row r="125" spans="1:1" x14ac:dyDescent="0.3">
      <c r="A125" t="s">
        <v>87</v>
      </c>
    </row>
    <row r="126" spans="1:1" x14ac:dyDescent="0.3">
      <c r="A126" t="s">
        <v>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32:A190"/>
  <sheetViews>
    <sheetView zoomScale="50" zoomScaleNormal="50" workbookViewId="0">
      <selection activeCell="V59" sqref="V59"/>
    </sheetView>
  </sheetViews>
  <sheetFormatPr defaultColWidth="8.88671875" defaultRowHeight="14.4" x14ac:dyDescent="0.3"/>
  <cols>
    <col min="1" max="16384" width="8.88671875" style="24"/>
  </cols>
  <sheetData>
    <row r="132" ht="17.399999999999999" customHeight="1" x14ac:dyDescent="0.3"/>
    <row r="186" ht="12.6" customHeight="1" x14ac:dyDescent="0.3"/>
    <row r="187" ht="12.6" customHeight="1" x14ac:dyDescent="0.3"/>
    <row r="188" ht="12.6" customHeight="1" x14ac:dyDescent="0.3"/>
    <row r="189" ht="12.6" customHeight="1" x14ac:dyDescent="0.3"/>
    <row r="190" ht="12.6" customHeight="1"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topLeftCell="A148" zoomScale="50" zoomScaleNormal="50" workbookViewId="0">
      <selection activeCell="AC186" sqref="AC186"/>
    </sheetView>
  </sheetViews>
  <sheetFormatPr defaultColWidth="8.88671875" defaultRowHeight="14.4" x14ac:dyDescent="0.3"/>
  <cols>
    <col min="1" max="16384" width="8.88671875" style="24"/>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8"/>
  <sheetViews>
    <sheetView zoomScaleNormal="100" workbookViewId="0">
      <selection activeCell="B19" sqref="B19"/>
    </sheetView>
  </sheetViews>
  <sheetFormatPr defaultRowHeight="14.4" x14ac:dyDescent="0.3"/>
  <cols>
    <col min="1" max="1" width="27.21875" bestFit="1" customWidth="1"/>
    <col min="2" max="2" width="15.5546875" customWidth="1"/>
  </cols>
  <sheetData>
    <row r="1" spans="1:4" x14ac:dyDescent="0.3">
      <c r="A1" s="65" t="s">
        <v>270</v>
      </c>
    </row>
    <row r="2" spans="1:4" x14ac:dyDescent="0.3">
      <c r="A2" s="20" t="s">
        <v>44</v>
      </c>
      <c r="B2" s="20"/>
      <c r="C2" s="20"/>
      <c r="D2" s="20" t="s">
        <v>32</v>
      </c>
    </row>
    <row r="4" spans="1:4" x14ac:dyDescent="0.3">
      <c r="A4" t="s">
        <v>46</v>
      </c>
      <c r="B4" s="75">
        <v>59622350</v>
      </c>
      <c r="C4" s="75"/>
      <c r="D4" t="s">
        <v>344</v>
      </c>
    </row>
    <row r="5" spans="1:4" x14ac:dyDescent="0.3">
      <c r="A5" t="s">
        <v>47</v>
      </c>
      <c r="B5" s="75">
        <v>30493475</v>
      </c>
      <c r="C5" s="75"/>
      <c r="D5" t="s">
        <v>45</v>
      </c>
    </row>
    <row r="6" spans="1:4" x14ac:dyDescent="0.3">
      <c r="A6" t="s">
        <v>324</v>
      </c>
      <c r="B6" s="75">
        <v>899303</v>
      </c>
      <c r="D6" t="s">
        <v>340</v>
      </c>
    </row>
    <row r="7" spans="1:4" x14ac:dyDescent="0.3">
      <c r="A7" t="s">
        <v>342</v>
      </c>
      <c r="B7" s="75">
        <v>33899</v>
      </c>
      <c r="D7" t="s">
        <v>341</v>
      </c>
    </row>
    <row r="8" spans="1:4" x14ac:dyDescent="0.3">
      <c r="A8" t="s">
        <v>343</v>
      </c>
      <c r="B8" s="75">
        <f>B6-B7</f>
        <v>865404</v>
      </c>
      <c r="D8" t="s">
        <v>274</v>
      </c>
    </row>
    <row r="9" spans="1:4" x14ac:dyDescent="0.3">
      <c r="A9" t="s">
        <v>345</v>
      </c>
      <c r="B9" s="76">
        <v>62.5</v>
      </c>
      <c r="D9" t="s">
        <v>344</v>
      </c>
    </row>
    <row r="10" spans="1:4" x14ac:dyDescent="0.3">
      <c r="A10" t="s">
        <v>346</v>
      </c>
      <c r="B10" s="76">
        <v>68.5</v>
      </c>
      <c r="D10" t="s">
        <v>344</v>
      </c>
    </row>
    <row r="11" spans="1:4" x14ac:dyDescent="0.3">
      <c r="A11" t="s">
        <v>347</v>
      </c>
      <c r="B11" s="76">
        <f>(B9+B10)/2</f>
        <v>65.5</v>
      </c>
      <c r="D11" t="s">
        <v>274</v>
      </c>
    </row>
    <row r="12" spans="1:4" x14ac:dyDescent="0.3">
      <c r="A12" t="s">
        <v>53</v>
      </c>
      <c r="B12" s="76">
        <v>12992678</v>
      </c>
      <c r="C12" s="76"/>
      <c r="D12" s="76" t="s">
        <v>54</v>
      </c>
    </row>
    <row r="13" spans="1:4" x14ac:dyDescent="0.3">
      <c r="A13" t="s">
        <v>349</v>
      </c>
      <c r="B13" s="106">
        <v>1111572</v>
      </c>
      <c r="D13" t="s">
        <v>48</v>
      </c>
    </row>
    <row r="14" spans="1:4" x14ac:dyDescent="0.3">
      <c r="A14" t="s">
        <v>326</v>
      </c>
      <c r="B14" s="105">
        <v>22600399.895306885</v>
      </c>
      <c r="D14" t="s">
        <v>48</v>
      </c>
    </row>
    <row r="15" spans="1:4" x14ac:dyDescent="0.3">
      <c r="A15" t="s">
        <v>325</v>
      </c>
      <c r="B15" s="22">
        <v>0.83099999999999996</v>
      </c>
      <c r="C15" t="s">
        <v>351</v>
      </c>
      <c r="D15" t="s">
        <v>352</v>
      </c>
    </row>
    <row r="16" spans="1:4" x14ac:dyDescent="0.3">
      <c r="A16" t="s">
        <v>49</v>
      </c>
      <c r="B16" s="106">
        <f>(B13/B15)*1</f>
        <v>1337631.7689530686</v>
      </c>
      <c r="D16" t="s">
        <v>274</v>
      </c>
    </row>
    <row r="17" spans="1:4" x14ac:dyDescent="0.3">
      <c r="A17" t="s">
        <v>814</v>
      </c>
      <c r="B17" s="21">
        <v>0.25</v>
      </c>
      <c r="C17">
        <f>Total_pregnancies/100*25</f>
        <v>334407.94223826716</v>
      </c>
      <c r="D17" t="s">
        <v>815</v>
      </c>
    </row>
    <row r="18" spans="1:4" x14ac:dyDescent="0.3">
      <c r="A18" t="s">
        <v>816</v>
      </c>
      <c r="B18" s="77">
        <f>(Total_pregnancies-C17)/100*44</f>
        <v>441418.48375451268</v>
      </c>
    </row>
  </sheetData>
  <hyperlinks>
    <hyperlink ref="D12" r:id="rId1"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87"/>
  <sheetViews>
    <sheetView zoomScaleNormal="100" workbookViewId="0">
      <pane ySplit="1" topLeftCell="A19" activePane="bottomLeft" state="frozen"/>
      <selection pane="bottomLeft" activeCell="D24" sqref="D24:D29"/>
    </sheetView>
  </sheetViews>
  <sheetFormatPr defaultRowHeight="14.4" x14ac:dyDescent="0.3"/>
  <cols>
    <col min="1" max="1" width="48.21875" customWidth="1"/>
    <col min="2" max="2" width="14.33203125" style="42" bestFit="1" customWidth="1"/>
    <col min="3" max="3" width="14.33203125" bestFit="1" customWidth="1"/>
    <col min="4" max="4" width="17" bestFit="1" customWidth="1"/>
    <col min="5" max="5" width="78.33203125" bestFit="1" customWidth="1"/>
  </cols>
  <sheetData>
    <row r="1" spans="1:5" ht="43.2" x14ac:dyDescent="0.3">
      <c r="A1" s="64" t="s">
        <v>330</v>
      </c>
      <c r="B1" s="71" t="s">
        <v>216</v>
      </c>
      <c r="C1" s="34" t="s">
        <v>70</v>
      </c>
      <c r="D1" s="37" t="s">
        <v>69</v>
      </c>
      <c r="E1" s="34" t="s">
        <v>167</v>
      </c>
    </row>
    <row r="2" spans="1:5" x14ac:dyDescent="0.3">
      <c r="A2" s="19" t="s">
        <v>336</v>
      </c>
      <c r="B2" s="72"/>
      <c r="C2" s="19"/>
      <c r="D2" s="32"/>
      <c r="E2" s="73" t="s">
        <v>734</v>
      </c>
    </row>
    <row r="3" spans="1:5" x14ac:dyDescent="0.3">
      <c r="D3" s="32"/>
    </row>
    <row r="4" spans="1:5" x14ac:dyDescent="0.3">
      <c r="A4" s="35" t="s">
        <v>192</v>
      </c>
      <c r="B4" s="42">
        <v>460</v>
      </c>
      <c r="C4">
        <v>5</v>
      </c>
      <c r="D4" s="38">
        <f>B4*C4</f>
        <v>2300</v>
      </c>
      <c r="E4" t="s">
        <v>328</v>
      </c>
    </row>
    <row r="5" spans="1:5" x14ac:dyDescent="0.3">
      <c r="A5" s="35" t="s">
        <v>738</v>
      </c>
      <c r="B5" s="42">
        <v>460</v>
      </c>
      <c r="C5">
        <v>24</v>
      </c>
      <c r="D5" s="38">
        <f>B5*C5</f>
        <v>11040</v>
      </c>
    </row>
    <row r="6" spans="1:5" x14ac:dyDescent="0.3">
      <c r="A6" s="35"/>
      <c r="D6" s="38"/>
    </row>
    <row r="7" spans="1:5" x14ac:dyDescent="0.3">
      <c r="A7" s="19" t="s">
        <v>208</v>
      </c>
      <c r="B7" s="72"/>
      <c r="C7" s="19"/>
      <c r="D7" s="38"/>
    </row>
    <row r="8" spans="1:5" x14ac:dyDescent="0.3">
      <c r="D8" s="38"/>
    </row>
    <row r="9" spans="1:5" x14ac:dyDescent="0.3">
      <c r="A9" t="s">
        <v>209</v>
      </c>
      <c r="B9" s="42">
        <f>108+69</f>
        <v>177</v>
      </c>
      <c r="C9">
        <v>1</v>
      </c>
      <c r="D9" s="38">
        <f>B9*C9</f>
        <v>177</v>
      </c>
      <c r="E9" t="s">
        <v>233</v>
      </c>
    </row>
    <row r="10" spans="1:5" x14ac:dyDescent="0.3">
      <c r="D10" s="32"/>
    </row>
    <row r="11" spans="1:5" x14ac:dyDescent="0.3">
      <c r="A11" s="19" t="s">
        <v>3</v>
      </c>
      <c r="B11" s="72"/>
      <c r="C11" s="19"/>
      <c r="D11" s="32"/>
    </row>
    <row r="12" spans="1:5" x14ac:dyDescent="0.3">
      <c r="D12" s="32"/>
    </row>
    <row r="13" spans="1:5" x14ac:dyDescent="0.3">
      <c r="A13" t="s">
        <v>331</v>
      </c>
      <c r="B13" s="42">
        <f>(7*224)+224</f>
        <v>1792</v>
      </c>
      <c r="C13">
        <v>1</v>
      </c>
      <c r="D13" s="38">
        <f>B13*C13</f>
        <v>1792</v>
      </c>
      <c r="E13" t="s">
        <v>689</v>
      </c>
    </row>
    <row r="14" spans="1:5" x14ac:dyDescent="0.3">
      <c r="D14" s="32"/>
    </row>
    <row r="15" spans="1:5" x14ac:dyDescent="0.3">
      <c r="A15" s="19" t="s">
        <v>10</v>
      </c>
      <c r="B15" s="72"/>
      <c r="C15" s="19"/>
      <c r="D15" s="32"/>
    </row>
    <row r="16" spans="1:5" x14ac:dyDescent="0.3">
      <c r="D16" s="32"/>
    </row>
    <row r="17" spans="1:5" x14ac:dyDescent="0.3">
      <c r="A17" t="s">
        <v>234</v>
      </c>
      <c r="B17" s="42">
        <f>262+182</f>
        <v>444</v>
      </c>
      <c r="C17">
        <v>1</v>
      </c>
      <c r="D17" s="38">
        <f>B17*C17</f>
        <v>444</v>
      </c>
      <c r="E17" t="s">
        <v>235</v>
      </c>
    </row>
    <row r="18" spans="1:5" x14ac:dyDescent="0.3">
      <c r="A18" t="s">
        <v>733</v>
      </c>
      <c r="B18" s="42">
        <f>48</f>
        <v>48</v>
      </c>
      <c r="C18">
        <v>2</v>
      </c>
      <c r="D18" s="38">
        <f>B18*C18</f>
        <v>96</v>
      </c>
    </row>
    <row r="19" spans="1:5" x14ac:dyDescent="0.3">
      <c r="A19" t="s">
        <v>193</v>
      </c>
      <c r="B19" s="42">
        <f>((40.18/500)*20)/(1+$B$87)^(2021-2020)</f>
        <v>1.5513513513513513</v>
      </c>
      <c r="C19">
        <v>6</v>
      </c>
      <c r="D19" s="38">
        <f>B19*C19</f>
        <v>9.3081081081081081</v>
      </c>
      <c r="E19" t="s">
        <v>237</v>
      </c>
    </row>
    <row r="20" spans="1:5" x14ac:dyDescent="0.3">
      <c r="A20" t="s">
        <v>194</v>
      </c>
      <c r="B20" s="42">
        <f>4.6*(1+$B$87)^(2021-2020)</f>
        <v>4.7656000000000001</v>
      </c>
      <c r="C20">
        <v>6</v>
      </c>
      <c r="D20" s="38">
        <f t="shared" ref="D20:D77" si="0">B20*C20</f>
        <v>28.593600000000002</v>
      </c>
      <c r="E20" t="s">
        <v>236</v>
      </c>
    </row>
    <row r="21" spans="1:5" x14ac:dyDescent="0.3">
      <c r="D21" s="32"/>
    </row>
    <row r="22" spans="1:5" x14ac:dyDescent="0.3">
      <c r="A22" s="19" t="s">
        <v>717</v>
      </c>
      <c r="B22" s="72"/>
      <c r="C22" s="19"/>
      <c r="D22" s="32"/>
    </row>
    <row r="23" spans="1:5" x14ac:dyDescent="0.3">
      <c r="D23" s="32"/>
    </row>
    <row r="24" spans="1:5" x14ac:dyDescent="0.3">
      <c r="A24" t="s">
        <v>718</v>
      </c>
      <c r="B24" s="42">
        <f>(9490+807)*2</f>
        <v>20594</v>
      </c>
      <c r="C24">
        <v>46</v>
      </c>
      <c r="D24" s="38">
        <f t="shared" ref="D24:D29" si="1">B24*C24</f>
        <v>947324</v>
      </c>
      <c r="E24" t="s">
        <v>238</v>
      </c>
    </row>
    <row r="25" spans="1:5" x14ac:dyDescent="0.3">
      <c r="A25" t="s">
        <v>719</v>
      </c>
      <c r="B25" s="42">
        <f>(9490+807)*2</f>
        <v>20594</v>
      </c>
      <c r="C25">
        <v>13</v>
      </c>
      <c r="D25" s="38">
        <f t="shared" si="1"/>
        <v>267722</v>
      </c>
      <c r="E25" t="s">
        <v>238</v>
      </c>
    </row>
    <row r="26" spans="1:5" x14ac:dyDescent="0.3">
      <c r="A26" t="s">
        <v>720</v>
      </c>
      <c r="B26" s="42">
        <f>(9490+807)*2</f>
        <v>20594</v>
      </c>
      <c r="C26">
        <v>0</v>
      </c>
      <c r="D26" s="38">
        <f t="shared" si="1"/>
        <v>0</v>
      </c>
      <c r="E26" t="s">
        <v>238</v>
      </c>
    </row>
    <row r="27" spans="1:5" x14ac:dyDescent="0.3">
      <c r="A27" t="s">
        <v>721</v>
      </c>
      <c r="B27" s="42">
        <f>(2434+181)*2</f>
        <v>5230</v>
      </c>
      <c r="C27">
        <v>8</v>
      </c>
      <c r="D27" s="38">
        <f t="shared" si="1"/>
        <v>41840</v>
      </c>
      <c r="E27" t="s">
        <v>239</v>
      </c>
    </row>
    <row r="28" spans="1:5" x14ac:dyDescent="0.3">
      <c r="A28" t="s">
        <v>722</v>
      </c>
      <c r="B28" s="42">
        <f>(2434+181)*2</f>
        <v>5230</v>
      </c>
      <c r="C28">
        <v>8</v>
      </c>
      <c r="D28" s="38">
        <f t="shared" si="1"/>
        <v>41840</v>
      </c>
      <c r="E28" t="s">
        <v>239</v>
      </c>
    </row>
    <row r="29" spans="1:5" x14ac:dyDescent="0.3">
      <c r="A29" t="s">
        <v>723</v>
      </c>
      <c r="B29" s="42">
        <f>(2434+181)*2</f>
        <v>5230</v>
      </c>
      <c r="C29">
        <v>8</v>
      </c>
      <c r="D29" s="38">
        <f t="shared" si="1"/>
        <v>41840</v>
      </c>
      <c r="E29" t="s">
        <v>239</v>
      </c>
    </row>
    <row r="30" spans="1:5" x14ac:dyDescent="0.3">
      <c r="A30" t="s">
        <v>724</v>
      </c>
      <c r="B30" s="107" t="s">
        <v>725</v>
      </c>
      <c r="C30" s="40">
        <v>0.85</v>
      </c>
      <c r="D30" s="38"/>
    </row>
    <row r="31" spans="1:5" x14ac:dyDescent="0.3">
      <c r="A31" t="s">
        <v>726</v>
      </c>
      <c r="B31" s="107" t="s">
        <v>725</v>
      </c>
      <c r="C31" s="40">
        <f>30%*0.75+70%*0.3</f>
        <v>0.43499999999999994</v>
      </c>
      <c r="D31" s="38"/>
    </row>
    <row r="32" spans="1:5" x14ac:dyDescent="0.3">
      <c r="A32" t="s">
        <v>727</v>
      </c>
      <c r="B32" s="107" t="s">
        <v>725</v>
      </c>
      <c r="C32" s="40">
        <v>0.03</v>
      </c>
      <c r="D32" s="38"/>
    </row>
    <row r="33" spans="1:5" x14ac:dyDescent="0.3">
      <c r="A33" t="s">
        <v>728</v>
      </c>
      <c r="B33" s="107" t="s">
        <v>725</v>
      </c>
      <c r="C33" s="40">
        <v>0.17</v>
      </c>
      <c r="D33" s="38"/>
    </row>
    <row r="34" spans="1:5" x14ac:dyDescent="0.3">
      <c r="A34" t="s">
        <v>729</v>
      </c>
      <c r="B34" s="107" t="s">
        <v>725</v>
      </c>
      <c r="C34" s="40">
        <f>1-C33</f>
        <v>0.83</v>
      </c>
      <c r="D34" s="38"/>
    </row>
    <row r="35" spans="1:5" x14ac:dyDescent="0.3">
      <c r="D35" s="38"/>
    </row>
    <row r="36" spans="1:5" x14ac:dyDescent="0.3">
      <c r="A36" s="19" t="s">
        <v>9</v>
      </c>
      <c r="B36" s="72"/>
      <c r="C36" s="19"/>
      <c r="D36" s="32"/>
    </row>
    <row r="37" spans="1:5" x14ac:dyDescent="0.3">
      <c r="D37" s="32"/>
    </row>
    <row r="38" spans="1:5" x14ac:dyDescent="0.3">
      <c r="A38" t="s">
        <v>735</v>
      </c>
      <c r="B38" s="42">
        <f>48</f>
        <v>48</v>
      </c>
      <c r="C38">
        <v>1</v>
      </c>
      <c r="D38" s="38">
        <f t="shared" si="0"/>
        <v>48</v>
      </c>
    </row>
    <row r="39" spans="1:5" x14ac:dyDescent="0.3">
      <c r="A39" t="s">
        <v>169</v>
      </c>
      <c r="B39" s="42">
        <f>1388*(1+$B$87)^(2021-2011)</f>
        <v>1976.9105551673285</v>
      </c>
      <c r="C39">
        <v>2</v>
      </c>
      <c r="D39" s="38">
        <f t="shared" si="0"/>
        <v>3953.8211103346571</v>
      </c>
      <c r="E39" t="s">
        <v>737</v>
      </c>
    </row>
    <row r="40" spans="1:5" x14ac:dyDescent="0.3">
      <c r="A40" t="s">
        <v>168</v>
      </c>
      <c r="B40" s="42">
        <f>((300*B81)*(1+$B$87)^(2021-2003))</f>
        <v>8379.7890378709799</v>
      </c>
      <c r="C40">
        <v>1</v>
      </c>
      <c r="D40" s="38">
        <f t="shared" si="0"/>
        <v>8379.7890378709799</v>
      </c>
      <c r="E40" t="s">
        <v>736</v>
      </c>
    </row>
    <row r="41" spans="1:5" x14ac:dyDescent="0.3">
      <c r="A41" s="35" t="s">
        <v>170</v>
      </c>
      <c r="B41" s="42">
        <f>729+572</f>
        <v>1301</v>
      </c>
      <c r="C41">
        <v>14</v>
      </c>
      <c r="D41" s="38">
        <f t="shared" si="0"/>
        <v>18214</v>
      </c>
      <c r="E41" t="s">
        <v>250</v>
      </c>
    </row>
    <row r="42" spans="1:5" x14ac:dyDescent="0.3">
      <c r="D42" s="32"/>
    </row>
    <row r="43" spans="1:5" x14ac:dyDescent="0.3">
      <c r="A43" s="19" t="s">
        <v>161</v>
      </c>
      <c r="B43" s="72"/>
      <c r="C43" s="19"/>
      <c r="D43" s="32"/>
    </row>
    <row r="44" spans="1:5" x14ac:dyDescent="0.3">
      <c r="D44" s="32"/>
    </row>
    <row r="45" spans="1:5" x14ac:dyDescent="0.3">
      <c r="A45" t="s">
        <v>240</v>
      </c>
      <c r="B45" s="42">
        <f>425*2</f>
        <v>850</v>
      </c>
      <c r="C45">
        <v>2</v>
      </c>
      <c r="D45" s="38">
        <f t="shared" si="0"/>
        <v>1700</v>
      </c>
      <c r="E45" t="s">
        <v>241</v>
      </c>
    </row>
    <row r="46" spans="1:5" x14ac:dyDescent="0.3">
      <c r="A46" t="s">
        <v>195</v>
      </c>
      <c r="B46" s="42">
        <f>43</f>
        <v>43</v>
      </c>
      <c r="C46">
        <v>8</v>
      </c>
      <c r="D46" s="38">
        <f t="shared" si="0"/>
        <v>344</v>
      </c>
      <c r="E46" t="s">
        <v>243</v>
      </c>
    </row>
    <row r="47" spans="1:5" x14ac:dyDescent="0.3">
      <c r="A47" s="21" t="s">
        <v>197</v>
      </c>
      <c r="B47" s="42">
        <f>(14.89*(1+$B$87)^(2021-2020))+48</f>
        <v>63.42604</v>
      </c>
      <c r="C47">
        <v>10</v>
      </c>
      <c r="D47" s="38">
        <f t="shared" si="0"/>
        <v>634.2604</v>
      </c>
      <c r="E47" t="s">
        <v>244</v>
      </c>
    </row>
    <row r="48" spans="1:5" x14ac:dyDescent="0.3">
      <c r="A48" s="21" t="s">
        <v>196</v>
      </c>
      <c r="B48" s="42">
        <v>43</v>
      </c>
      <c r="C48">
        <v>6</v>
      </c>
      <c r="D48" s="38">
        <f t="shared" si="0"/>
        <v>258</v>
      </c>
      <c r="E48" t="s">
        <v>242</v>
      </c>
    </row>
    <row r="49" spans="1:5" x14ac:dyDescent="0.3">
      <c r="D49" s="32"/>
    </row>
    <row r="50" spans="1:5" x14ac:dyDescent="0.3">
      <c r="A50" s="19" t="s">
        <v>160</v>
      </c>
      <c r="B50" s="72"/>
      <c r="C50" s="19"/>
      <c r="D50" s="32"/>
    </row>
    <row r="51" spans="1:5" x14ac:dyDescent="0.3">
      <c r="D51" s="32"/>
    </row>
    <row r="52" spans="1:5" x14ac:dyDescent="0.3">
      <c r="A52" t="s">
        <v>120</v>
      </c>
      <c r="B52" s="42">
        <f>447+273</f>
        <v>720</v>
      </c>
      <c r="C52">
        <v>3</v>
      </c>
      <c r="D52" s="38">
        <f t="shared" si="0"/>
        <v>2160</v>
      </c>
      <c r="E52" t="s">
        <v>245</v>
      </c>
    </row>
    <row r="53" spans="1:5" x14ac:dyDescent="0.3">
      <c r="A53" t="s">
        <v>162</v>
      </c>
      <c r="B53" s="42">
        <f>130+277</f>
        <v>407</v>
      </c>
      <c r="C53">
        <v>1</v>
      </c>
      <c r="D53" s="38">
        <f t="shared" si="0"/>
        <v>407</v>
      </c>
      <c r="E53" t="s">
        <v>246</v>
      </c>
    </row>
    <row r="54" spans="1:5" x14ac:dyDescent="0.3">
      <c r="D54" s="38"/>
    </row>
    <row r="55" spans="1:5" x14ac:dyDescent="0.3">
      <c r="A55" s="19" t="s">
        <v>221</v>
      </c>
      <c r="B55" s="72"/>
      <c r="C55" s="19"/>
      <c r="D55" s="38"/>
    </row>
    <row r="56" spans="1:5" x14ac:dyDescent="0.3">
      <c r="D56" s="38"/>
    </row>
    <row r="57" spans="1:5" x14ac:dyDescent="0.3">
      <c r="A57" t="s">
        <v>254</v>
      </c>
      <c r="B57" s="42">
        <f>1055+(91*2)</f>
        <v>1237</v>
      </c>
      <c r="C57">
        <v>2</v>
      </c>
      <c r="D57" s="38">
        <f t="shared" si="0"/>
        <v>2474</v>
      </c>
      <c r="E57" t="s">
        <v>255</v>
      </c>
    </row>
    <row r="58" spans="1:5" x14ac:dyDescent="0.3">
      <c r="A58" t="s">
        <v>227</v>
      </c>
      <c r="B58" s="42">
        <f>729+572</f>
        <v>1301</v>
      </c>
      <c r="C58">
        <v>28</v>
      </c>
      <c r="D58" s="38">
        <f t="shared" si="0"/>
        <v>36428</v>
      </c>
      <c r="E58" t="s">
        <v>250</v>
      </c>
    </row>
    <row r="59" spans="1:5" x14ac:dyDescent="0.3">
      <c r="A59" t="s">
        <v>229</v>
      </c>
      <c r="B59" s="42">
        <f>48+(242.89*(1+$B$87)^(2021-2020))</f>
        <v>299.63404000000003</v>
      </c>
      <c r="C59">
        <v>9</v>
      </c>
      <c r="D59" s="38">
        <f t="shared" si="0"/>
        <v>2696.7063600000001</v>
      </c>
      <c r="E59" t="s">
        <v>253</v>
      </c>
    </row>
    <row r="60" spans="1:5" x14ac:dyDescent="0.3">
      <c r="A60" t="s">
        <v>228</v>
      </c>
      <c r="B60" s="42">
        <f>48+(((15.08/700)*4)*(1+$B$87)^(2021-2020))</f>
        <v>48.089273599999999</v>
      </c>
      <c r="C60">
        <v>9</v>
      </c>
      <c r="D60" s="38">
        <f t="shared" si="0"/>
        <v>432.8034624</v>
      </c>
      <c r="E60" t="s">
        <v>253</v>
      </c>
    </row>
    <row r="61" spans="1:5" x14ac:dyDescent="0.3">
      <c r="A61" t="s">
        <v>230</v>
      </c>
      <c r="B61" s="42">
        <f>48+((44.04+125.51)*(1+$B$87)^(2021-2020))</f>
        <v>223.65380000000002</v>
      </c>
      <c r="C61">
        <v>1</v>
      </c>
      <c r="D61" s="38">
        <f t="shared" si="0"/>
        <v>223.65380000000002</v>
      </c>
      <c r="E61" t="s">
        <v>329</v>
      </c>
    </row>
    <row r="62" spans="1:5" x14ac:dyDescent="0.3">
      <c r="A62" t="s">
        <v>231</v>
      </c>
      <c r="B62" s="42">
        <f>48+(6.33*(1+$B$87)^(2021-2020))</f>
        <v>54.557879999999997</v>
      </c>
      <c r="C62">
        <v>6</v>
      </c>
      <c r="D62" s="38">
        <f t="shared" si="0"/>
        <v>327.34727999999996</v>
      </c>
      <c r="E62" t="s">
        <v>253</v>
      </c>
    </row>
    <row r="63" spans="1:5" x14ac:dyDescent="0.3">
      <c r="D63" s="38"/>
    </row>
    <row r="64" spans="1:5" x14ac:dyDescent="0.3">
      <c r="A64" s="19" t="s">
        <v>225</v>
      </c>
      <c r="B64" s="72"/>
      <c r="C64" s="19"/>
      <c r="D64" s="38"/>
    </row>
    <row r="65" spans="1:5" x14ac:dyDescent="0.3">
      <c r="D65" s="38"/>
    </row>
    <row r="66" spans="1:5" x14ac:dyDescent="0.3">
      <c r="A66" t="s">
        <v>251</v>
      </c>
      <c r="B66" s="42">
        <f>130+71</f>
        <v>201</v>
      </c>
      <c r="C66">
        <v>19</v>
      </c>
      <c r="D66" s="38">
        <f t="shared" si="0"/>
        <v>3819</v>
      </c>
      <c r="E66" t="s">
        <v>252</v>
      </c>
    </row>
    <row r="67" spans="1:5" x14ac:dyDescent="0.3">
      <c r="D67" s="38"/>
    </row>
    <row r="68" spans="1:5" x14ac:dyDescent="0.3">
      <c r="A68" s="19" t="s">
        <v>163</v>
      </c>
      <c r="B68" s="72"/>
      <c r="C68" s="19"/>
      <c r="D68" s="38"/>
    </row>
    <row r="69" spans="1:5" x14ac:dyDescent="0.3">
      <c r="D69" s="38"/>
    </row>
    <row r="70" spans="1:5" x14ac:dyDescent="0.3">
      <c r="A70" s="35" t="s">
        <v>247</v>
      </c>
      <c r="B70" s="42">
        <f>130+277</f>
        <v>407</v>
      </c>
      <c r="C70">
        <v>1</v>
      </c>
      <c r="D70" s="38">
        <f t="shared" si="0"/>
        <v>407</v>
      </c>
      <c r="E70" t="s">
        <v>249</v>
      </c>
    </row>
    <row r="71" spans="1:5" x14ac:dyDescent="0.3">
      <c r="A71" s="35" t="s">
        <v>171</v>
      </c>
      <c r="B71" s="42">
        <f>130+120</f>
        <v>250</v>
      </c>
      <c r="C71">
        <v>2</v>
      </c>
      <c r="D71" s="38">
        <f t="shared" si="0"/>
        <v>500</v>
      </c>
      <c r="E71" t="s">
        <v>166</v>
      </c>
    </row>
    <row r="72" spans="1:5" x14ac:dyDescent="0.3">
      <c r="A72" s="35" t="s">
        <v>172</v>
      </c>
      <c r="B72" s="42">
        <f>108+69</f>
        <v>177</v>
      </c>
      <c r="C72">
        <v>19</v>
      </c>
      <c r="D72" s="38">
        <f t="shared" si="0"/>
        <v>3363</v>
      </c>
      <c r="E72" t="s">
        <v>248</v>
      </c>
    </row>
    <row r="73" spans="1:5" ht="16.5" customHeight="1" x14ac:dyDescent="0.3">
      <c r="D73" s="38"/>
    </row>
    <row r="74" spans="1:5" hidden="1" x14ac:dyDescent="0.3">
      <c r="A74" s="19" t="s">
        <v>277</v>
      </c>
      <c r="B74" s="72"/>
      <c r="C74" s="19"/>
      <c r="D74" s="38"/>
    </row>
    <row r="75" spans="1:5" hidden="1" x14ac:dyDescent="0.3">
      <c r="D75" s="38"/>
    </row>
    <row r="76" spans="1:5" hidden="1" x14ac:dyDescent="0.3">
      <c r="A76" t="s">
        <v>275</v>
      </c>
      <c r="B76" s="42">
        <f>(272.45*B81)*(1+B85)^(2020-2019)</f>
        <v>492838.31415600004</v>
      </c>
      <c r="C76">
        <v>1</v>
      </c>
      <c r="D76" s="38">
        <f t="shared" si="0"/>
        <v>492838.31415600004</v>
      </c>
      <c r="E76" s="66" t="s">
        <v>335</v>
      </c>
    </row>
    <row r="77" spans="1:5" ht="31.95" hidden="1" customHeight="1" x14ac:dyDescent="0.3">
      <c r="A77" t="s">
        <v>276</v>
      </c>
      <c r="B77" s="42">
        <f>(1215.65*B81)*(1+B85)^(2020-2019)</f>
        <v>2199004.9425720004</v>
      </c>
      <c r="C77">
        <v>1</v>
      </c>
      <c r="D77" s="38">
        <f t="shared" si="0"/>
        <v>2199004.9425720004</v>
      </c>
      <c r="E77" t="s">
        <v>334</v>
      </c>
    </row>
    <row r="78" spans="1:5" ht="39" hidden="1" customHeight="1" x14ac:dyDescent="0.3">
      <c r="D78" s="38"/>
    </row>
    <row r="79" spans="1:5" x14ac:dyDescent="0.3">
      <c r="A79" s="19" t="s">
        <v>332</v>
      </c>
      <c r="B79" s="72"/>
      <c r="C79" s="19"/>
      <c r="D79" s="38"/>
    </row>
    <row r="80" spans="1:5" x14ac:dyDescent="0.3">
      <c r="D80" s="38"/>
    </row>
    <row r="81" spans="1:5" x14ac:dyDescent="0.3">
      <c r="A81" t="s">
        <v>732</v>
      </c>
      <c r="B81" s="42">
        <v>14.778700000000001</v>
      </c>
      <c r="D81" s="38"/>
      <c r="E81" t="s">
        <v>333</v>
      </c>
    </row>
    <row r="82" spans="1:5" x14ac:dyDescent="0.3">
      <c r="A82" s="42"/>
      <c r="D82" s="38"/>
    </row>
    <row r="83" spans="1:5" x14ac:dyDescent="0.3">
      <c r="A83" s="19" t="s">
        <v>338</v>
      </c>
      <c r="B83" s="19"/>
      <c r="C83" s="19"/>
      <c r="D83" s="38"/>
    </row>
    <row r="84" spans="1:5" x14ac:dyDescent="0.3">
      <c r="D84" s="38"/>
    </row>
    <row r="85" spans="1:5" x14ac:dyDescent="0.3">
      <c r="A85" s="108">
        <v>44075</v>
      </c>
      <c r="B85">
        <v>121.4</v>
      </c>
      <c r="D85" s="38"/>
      <c r="E85" t="s">
        <v>337</v>
      </c>
    </row>
    <row r="86" spans="1:5" x14ac:dyDescent="0.3">
      <c r="A86" s="108">
        <v>44440</v>
      </c>
      <c r="B86">
        <v>125.8</v>
      </c>
      <c r="D86" s="38"/>
      <c r="E86" t="s">
        <v>337</v>
      </c>
    </row>
    <row r="87" spans="1:5" x14ac:dyDescent="0.3">
      <c r="A87" t="s">
        <v>731</v>
      </c>
      <c r="B87" s="40">
        <v>3.5999999999999997E-2</v>
      </c>
      <c r="D87" s="38"/>
      <c r="E87" t="s">
        <v>337</v>
      </c>
    </row>
  </sheetData>
  <hyperlinks>
    <hyperlink ref="E76" r:id="rId1" xr:uid="{00000000-0004-0000-0500-000000000000}"/>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71"/>
  <sheetViews>
    <sheetView topLeftCell="A4" workbookViewId="0">
      <selection activeCell="E17" sqref="E17"/>
    </sheetView>
  </sheetViews>
  <sheetFormatPr defaultRowHeight="14.4" x14ac:dyDescent="0.3"/>
  <cols>
    <col min="1" max="1" width="19.6640625" bestFit="1" customWidth="1"/>
    <col min="2" max="2" width="12" bestFit="1" customWidth="1"/>
  </cols>
  <sheetData>
    <row r="1" spans="1:8" x14ac:dyDescent="0.3">
      <c r="A1" s="39" t="s">
        <v>198</v>
      </c>
      <c r="B1" s="39"/>
    </row>
    <row r="2" spans="1:8" x14ac:dyDescent="0.3">
      <c r="C2" t="s">
        <v>32</v>
      </c>
    </row>
    <row r="3" spans="1:8" x14ac:dyDescent="0.3">
      <c r="A3" s="19" t="s">
        <v>199</v>
      </c>
      <c r="B3" s="19"/>
      <c r="C3" s="19"/>
      <c r="F3" s="19" t="s">
        <v>218</v>
      </c>
      <c r="G3" s="19" t="s">
        <v>219</v>
      </c>
      <c r="H3" s="19" t="s">
        <v>52</v>
      </c>
    </row>
    <row r="4" spans="1:8" x14ac:dyDescent="0.3">
      <c r="F4">
        <v>1</v>
      </c>
      <c r="G4">
        <v>1</v>
      </c>
      <c r="H4">
        <f>DR</f>
        <v>0.05</v>
      </c>
    </row>
    <row r="5" spans="1:8" x14ac:dyDescent="0.3">
      <c r="A5" t="s">
        <v>56</v>
      </c>
      <c r="B5">
        <f>G70</f>
        <v>20.119123842489589</v>
      </c>
      <c r="C5" t="s">
        <v>57</v>
      </c>
      <c r="F5">
        <v>2</v>
      </c>
      <c r="G5">
        <f>1/(1+$H$4)^F4</f>
        <v>0.95238095238095233</v>
      </c>
    </row>
    <row r="6" spans="1:8" x14ac:dyDescent="0.3">
      <c r="A6" t="s">
        <v>68</v>
      </c>
      <c r="B6">
        <f>G71</f>
        <v>20.16107032618056</v>
      </c>
      <c r="C6" t="s">
        <v>57</v>
      </c>
      <c r="F6">
        <v>3</v>
      </c>
      <c r="G6">
        <f t="shared" ref="G6:G69" si="0">1/(1+$H$4)^F5</f>
        <v>0.90702947845804982</v>
      </c>
    </row>
    <row r="7" spans="1:8" x14ac:dyDescent="0.3">
      <c r="F7">
        <v>4</v>
      </c>
      <c r="G7">
        <f t="shared" si="0"/>
        <v>0.86383759853147601</v>
      </c>
    </row>
    <row r="8" spans="1:8" x14ac:dyDescent="0.3">
      <c r="A8" s="19" t="s">
        <v>200</v>
      </c>
      <c r="B8" s="19"/>
      <c r="C8" s="19"/>
      <c r="F8">
        <v>5</v>
      </c>
      <c r="G8">
        <f t="shared" si="0"/>
        <v>0.82270247479188197</v>
      </c>
    </row>
    <row r="9" spans="1:8" x14ac:dyDescent="0.3">
      <c r="F9">
        <v>6</v>
      </c>
      <c r="G9">
        <f t="shared" si="0"/>
        <v>0.78352616646845896</v>
      </c>
    </row>
    <row r="10" spans="1:8" x14ac:dyDescent="0.3">
      <c r="A10" t="s">
        <v>9</v>
      </c>
      <c r="B10" s="40" t="e">
        <f>Parameters!#REF!</f>
        <v>#REF!</v>
      </c>
      <c r="F10">
        <v>7</v>
      </c>
      <c r="G10">
        <f t="shared" si="0"/>
        <v>0.74621539663662761</v>
      </c>
    </row>
    <row r="11" spans="1:8" x14ac:dyDescent="0.3">
      <c r="A11" t="s">
        <v>161</v>
      </c>
      <c r="B11" s="40" t="e">
        <f>25%*Parameters!#REF!</f>
        <v>#REF!</v>
      </c>
      <c r="F11">
        <v>8</v>
      </c>
      <c r="G11">
        <f t="shared" si="0"/>
        <v>0.71068133013012147</v>
      </c>
    </row>
    <row r="12" spans="1:8" x14ac:dyDescent="0.3">
      <c r="F12">
        <v>9</v>
      </c>
      <c r="G12">
        <f t="shared" si="0"/>
        <v>0.67683936202868722</v>
      </c>
    </row>
    <row r="13" spans="1:8" x14ac:dyDescent="0.3">
      <c r="A13" s="19" t="s">
        <v>211</v>
      </c>
      <c r="B13" s="19"/>
      <c r="C13" s="19"/>
      <c r="F13">
        <v>10</v>
      </c>
      <c r="G13">
        <f t="shared" si="0"/>
        <v>0.64460891621779726</v>
      </c>
    </row>
    <row r="14" spans="1:8" x14ac:dyDescent="0.3">
      <c r="F14">
        <v>11</v>
      </c>
      <c r="G14">
        <f t="shared" si="0"/>
        <v>0.61391325354075932</v>
      </c>
    </row>
    <row r="15" spans="1:8" x14ac:dyDescent="0.3">
      <c r="A15" t="s">
        <v>9</v>
      </c>
      <c r="B15" s="40" t="e">
        <f>Parameters!#REF!</f>
        <v>#REF!</v>
      </c>
      <c r="F15">
        <v>12</v>
      </c>
      <c r="G15">
        <f t="shared" si="0"/>
        <v>0.5846792890864374</v>
      </c>
    </row>
    <row r="16" spans="1:8" x14ac:dyDescent="0.3">
      <c r="A16" t="s">
        <v>161</v>
      </c>
      <c r="B16" s="40" t="e">
        <f>Parameters!#REF!</f>
        <v>#REF!</v>
      </c>
      <c r="F16">
        <v>13</v>
      </c>
      <c r="G16">
        <f t="shared" si="0"/>
        <v>0.5568374181775595</v>
      </c>
    </row>
    <row r="17" spans="1:7" x14ac:dyDescent="0.3">
      <c r="F17">
        <v>14</v>
      </c>
      <c r="G17">
        <f t="shared" si="0"/>
        <v>0.53032135064529462</v>
      </c>
    </row>
    <row r="18" spans="1:7" x14ac:dyDescent="0.3">
      <c r="A18" s="19" t="s">
        <v>212</v>
      </c>
      <c r="B18" s="19"/>
      <c r="C18" s="19"/>
      <c r="F18">
        <v>15</v>
      </c>
      <c r="G18">
        <f t="shared" si="0"/>
        <v>0.50506795299551888</v>
      </c>
    </row>
    <row r="19" spans="1:7" x14ac:dyDescent="0.3">
      <c r="F19">
        <v>16</v>
      </c>
      <c r="G19">
        <f t="shared" si="0"/>
        <v>0.48101709809097021</v>
      </c>
    </row>
    <row r="20" spans="1:7" x14ac:dyDescent="0.3">
      <c r="A20" t="s">
        <v>9</v>
      </c>
      <c r="F20">
        <v>17</v>
      </c>
      <c r="G20">
        <f t="shared" si="0"/>
        <v>0.45811152199140021</v>
      </c>
    </row>
    <row r="21" spans="1:7" x14ac:dyDescent="0.3">
      <c r="A21" t="s">
        <v>222</v>
      </c>
      <c r="B21">
        <v>0.31</v>
      </c>
      <c r="F21">
        <v>18</v>
      </c>
      <c r="G21">
        <f t="shared" si="0"/>
        <v>0.43629668761085727</v>
      </c>
    </row>
    <row r="22" spans="1:7" x14ac:dyDescent="0.3">
      <c r="F22">
        <v>19</v>
      </c>
      <c r="G22">
        <f t="shared" si="0"/>
        <v>0.41552065486748313</v>
      </c>
    </row>
    <row r="23" spans="1:7" x14ac:dyDescent="0.3">
      <c r="A23" s="19" t="s">
        <v>213</v>
      </c>
      <c r="B23" s="19"/>
      <c r="C23" s="19"/>
      <c r="F23">
        <v>20</v>
      </c>
      <c r="G23">
        <f t="shared" si="0"/>
        <v>0.39573395701665059</v>
      </c>
    </row>
    <row r="24" spans="1:7" x14ac:dyDescent="0.3">
      <c r="F24">
        <v>21</v>
      </c>
      <c r="G24">
        <f t="shared" si="0"/>
        <v>0.37688948287300061</v>
      </c>
    </row>
    <row r="25" spans="1:7" x14ac:dyDescent="0.3">
      <c r="A25" t="s">
        <v>9</v>
      </c>
      <c r="F25">
        <v>22</v>
      </c>
      <c r="G25">
        <f t="shared" si="0"/>
        <v>0.35894236464095297</v>
      </c>
    </row>
    <row r="26" spans="1:7" x14ac:dyDescent="0.3">
      <c r="A26" t="s">
        <v>161</v>
      </c>
      <c r="F26">
        <v>23</v>
      </c>
      <c r="G26">
        <f t="shared" si="0"/>
        <v>0.3418498710866219</v>
      </c>
    </row>
    <row r="27" spans="1:7" x14ac:dyDescent="0.3">
      <c r="F27">
        <v>24</v>
      </c>
      <c r="G27">
        <f t="shared" si="0"/>
        <v>0.32557130579678267</v>
      </c>
    </row>
    <row r="28" spans="1:7" x14ac:dyDescent="0.3">
      <c r="F28">
        <v>25</v>
      </c>
      <c r="G28">
        <f t="shared" si="0"/>
        <v>0.31006791028265024</v>
      </c>
    </row>
    <row r="29" spans="1:7" x14ac:dyDescent="0.3">
      <c r="F29">
        <v>26</v>
      </c>
      <c r="G29">
        <f t="shared" si="0"/>
        <v>0.29530277169776209</v>
      </c>
    </row>
    <row r="30" spans="1:7" x14ac:dyDescent="0.3">
      <c r="F30">
        <v>27</v>
      </c>
      <c r="G30">
        <f t="shared" si="0"/>
        <v>0.28124073495024959</v>
      </c>
    </row>
    <row r="31" spans="1:7" x14ac:dyDescent="0.3">
      <c r="F31">
        <v>28</v>
      </c>
      <c r="G31">
        <f t="shared" si="0"/>
        <v>0.2678483190002377</v>
      </c>
    </row>
    <row r="32" spans="1:7" x14ac:dyDescent="0.3">
      <c r="F32">
        <v>29</v>
      </c>
      <c r="G32">
        <f t="shared" si="0"/>
        <v>0.25509363714308358</v>
      </c>
    </row>
    <row r="33" spans="6:7" x14ac:dyDescent="0.3">
      <c r="F33">
        <v>30</v>
      </c>
      <c r="G33">
        <f t="shared" si="0"/>
        <v>0.24294632108865097</v>
      </c>
    </row>
    <row r="34" spans="6:7" x14ac:dyDescent="0.3">
      <c r="F34">
        <v>31</v>
      </c>
      <c r="G34">
        <f t="shared" si="0"/>
        <v>0.23137744865585813</v>
      </c>
    </row>
    <row r="35" spans="6:7" x14ac:dyDescent="0.3">
      <c r="F35">
        <v>32</v>
      </c>
      <c r="G35">
        <f t="shared" si="0"/>
        <v>0.220359474910341</v>
      </c>
    </row>
    <row r="36" spans="6:7" x14ac:dyDescent="0.3">
      <c r="F36">
        <v>33</v>
      </c>
      <c r="G36">
        <f t="shared" si="0"/>
        <v>0.20986616658127716</v>
      </c>
    </row>
    <row r="37" spans="6:7" x14ac:dyDescent="0.3">
      <c r="F37">
        <v>34</v>
      </c>
      <c r="G37">
        <f t="shared" si="0"/>
        <v>0.19987253960121634</v>
      </c>
    </row>
    <row r="38" spans="6:7" x14ac:dyDescent="0.3">
      <c r="F38">
        <v>35</v>
      </c>
      <c r="G38">
        <f t="shared" si="0"/>
        <v>0.19035479962020604</v>
      </c>
    </row>
    <row r="39" spans="6:7" x14ac:dyDescent="0.3">
      <c r="F39">
        <v>36</v>
      </c>
      <c r="G39">
        <f t="shared" si="0"/>
        <v>0.18129028535257716</v>
      </c>
    </row>
    <row r="40" spans="6:7" x14ac:dyDescent="0.3">
      <c r="F40">
        <v>37</v>
      </c>
      <c r="G40">
        <f t="shared" si="0"/>
        <v>0.17265741462150208</v>
      </c>
    </row>
    <row r="41" spans="6:7" x14ac:dyDescent="0.3">
      <c r="F41">
        <v>38</v>
      </c>
      <c r="G41">
        <f t="shared" si="0"/>
        <v>0.1644356329728591</v>
      </c>
    </row>
    <row r="42" spans="6:7" x14ac:dyDescent="0.3">
      <c r="F42">
        <v>39</v>
      </c>
      <c r="G42">
        <f t="shared" si="0"/>
        <v>0.15660536473605632</v>
      </c>
    </row>
    <row r="43" spans="6:7" x14ac:dyDescent="0.3">
      <c r="F43">
        <v>40</v>
      </c>
      <c r="G43">
        <f t="shared" si="0"/>
        <v>0.14914796641529171</v>
      </c>
    </row>
    <row r="44" spans="6:7" x14ac:dyDescent="0.3">
      <c r="F44">
        <v>41</v>
      </c>
      <c r="G44">
        <f t="shared" si="0"/>
        <v>0.14204568230027784</v>
      </c>
    </row>
    <row r="45" spans="6:7" x14ac:dyDescent="0.3">
      <c r="F45">
        <v>42</v>
      </c>
      <c r="G45">
        <f t="shared" si="0"/>
        <v>0.13528160219074079</v>
      </c>
    </row>
    <row r="46" spans="6:7" x14ac:dyDescent="0.3">
      <c r="F46">
        <v>43</v>
      </c>
      <c r="G46">
        <f t="shared" si="0"/>
        <v>0.12883962113403885</v>
      </c>
    </row>
    <row r="47" spans="6:7" x14ac:dyDescent="0.3">
      <c r="F47">
        <v>44</v>
      </c>
      <c r="G47">
        <f t="shared" si="0"/>
        <v>0.12270440108003698</v>
      </c>
    </row>
    <row r="48" spans="6:7" x14ac:dyDescent="0.3">
      <c r="F48">
        <v>45</v>
      </c>
      <c r="G48">
        <f t="shared" si="0"/>
        <v>0.11686133436193999</v>
      </c>
    </row>
    <row r="49" spans="6:7" x14ac:dyDescent="0.3">
      <c r="F49">
        <v>46</v>
      </c>
      <c r="G49">
        <f t="shared" si="0"/>
        <v>0.1112965089161333</v>
      </c>
    </row>
    <row r="50" spans="6:7" x14ac:dyDescent="0.3">
      <c r="F50">
        <v>47</v>
      </c>
      <c r="G50">
        <f t="shared" si="0"/>
        <v>0.10599667515822221</v>
      </c>
    </row>
    <row r="51" spans="6:7" x14ac:dyDescent="0.3">
      <c r="F51">
        <v>48</v>
      </c>
      <c r="G51">
        <f t="shared" si="0"/>
        <v>0.10094921443640208</v>
      </c>
    </row>
    <row r="52" spans="6:7" x14ac:dyDescent="0.3">
      <c r="F52">
        <v>49</v>
      </c>
      <c r="G52">
        <f t="shared" si="0"/>
        <v>9.6142108987049613E-2</v>
      </c>
    </row>
    <row r="53" spans="6:7" x14ac:dyDescent="0.3">
      <c r="F53">
        <v>50</v>
      </c>
      <c r="G53">
        <f t="shared" si="0"/>
        <v>9.1563913320999626E-2</v>
      </c>
    </row>
    <row r="54" spans="6:7" x14ac:dyDescent="0.3">
      <c r="F54">
        <v>51</v>
      </c>
      <c r="G54">
        <f t="shared" si="0"/>
        <v>8.7203726972380588E-2</v>
      </c>
    </row>
    <row r="55" spans="6:7" x14ac:dyDescent="0.3">
      <c r="F55">
        <v>52</v>
      </c>
      <c r="G55">
        <f t="shared" si="0"/>
        <v>8.3051168545124371E-2</v>
      </c>
    </row>
    <row r="56" spans="6:7" x14ac:dyDescent="0.3">
      <c r="F56">
        <v>53</v>
      </c>
      <c r="G56">
        <f t="shared" si="0"/>
        <v>7.9096350995356543E-2</v>
      </c>
    </row>
    <row r="57" spans="6:7" x14ac:dyDescent="0.3">
      <c r="F57">
        <v>54</v>
      </c>
      <c r="G57">
        <f t="shared" si="0"/>
        <v>7.5329858090815757E-2</v>
      </c>
    </row>
    <row r="58" spans="6:7" x14ac:dyDescent="0.3">
      <c r="F58">
        <v>55</v>
      </c>
      <c r="G58">
        <f t="shared" si="0"/>
        <v>7.1742721991253117E-2</v>
      </c>
    </row>
    <row r="59" spans="6:7" x14ac:dyDescent="0.3">
      <c r="F59">
        <v>56</v>
      </c>
      <c r="G59">
        <f t="shared" si="0"/>
        <v>6.8326401896431521E-2</v>
      </c>
    </row>
    <row r="60" spans="6:7" x14ac:dyDescent="0.3">
      <c r="F60">
        <v>57</v>
      </c>
      <c r="G60">
        <f t="shared" si="0"/>
        <v>6.5072763710887174E-2</v>
      </c>
    </row>
    <row r="61" spans="6:7" x14ac:dyDescent="0.3">
      <c r="F61">
        <v>58</v>
      </c>
      <c r="G61">
        <f t="shared" si="0"/>
        <v>6.1974060677035397E-2</v>
      </c>
    </row>
    <row r="62" spans="6:7" x14ac:dyDescent="0.3">
      <c r="F62">
        <v>59</v>
      </c>
      <c r="G62">
        <f t="shared" si="0"/>
        <v>5.9022914930509894E-2</v>
      </c>
    </row>
    <row r="63" spans="6:7" x14ac:dyDescent="0.3">
      <c r="F63">
        <v>60</v>
      </c>
      <c r="G63">
        <f t="shared" si="0"/>
        <v>5.6212299933818946E-2</v>
      </c>
    </row>
    <row r="64" spans="6:7" x14ac:dyDescent="0.3">
      <c r="F64">
        <v>61</v>
      </c>
      <c r="G64">
        <f t="shared" si="0"/>
        <v>5.3535523746494243E-2</v>
      </c>
    </row>
    <row r="65" spans="6:7" x14ac:dyDescent="0.3">
      <c r="F65">
        <v>62</v>
      </c>
      <c r="G65">
        <f t="shared" si="0"/>
        <v>5.0986213091899268E-2</v>
      </c>
    </row>
    <row r="66" spans="6:7" x14ac:dyDescent="0.3">
      <c r="F66">
        <v>63</v>
      </c>
      <c r="G66">
        <f t="shared" si="0"/>
        <v>4.855829818276123E-2</v>
      </c>
    </row>
    <row r="67" spans="6:7" x14ac:dyDescent="0.3">
      <c r="F67">
        <v>64</v>
      </c>
      <c r="G67">
        <f t="shared" si="0"/>
        <v>4.6245998269296387E-2</v>
      </c>
    </row>
    <row r="68" spans="6:7" x14ac:dyDescent="0.3">
      <c r="F68">
        <v>65</v>
      </c>
      <c r="G68">
        <f t="shared" si="0"/>
        <v>4.4043807875520369E-2</v>
      </c>
    </row>
    <row r="69" spans="6:7" x14ac:dyDescent="0.3">
      <c r="F69">
        <v>66</v>
      </c>
      <c r="G69">
        <f t="shared" si="0"/>
        <v>4.1946483690971779E-2</v>
      </c>
    </row>
    <row r="70" spans="6:7" x14ac:dyDescent="0.3">
      <c r="G70">
        <f>SUM(G4:G68)</f>
        <v>20.119123842489589</v>
      </c>
    </row>
    <row r="71" spans="6:7" x14ac:dyDescent="0.3">
      <c r="G71">
        <f>SUM(G4:G69)</f>
        <v>20.16107032618056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31"/>
  <sheetViews>
    <sheetView topLeftCell="A18" workbookViewId="0">
      <selection activeCell="B29" sqref="B29"/>
    </sheetView>
  </sheetViews>
  <sheetFormatPr defaultRowHeight="14.4" x14ac:dyDescent="0.3"/>
  <cols>
    <col min="1" max="1" width="51.21875" bestFit="1" customWidth="1"/>
    <col min="2" max="2" width="24" bestFit="1" customWidth="1"/>
    <col min="3" max="3" width="21.21875" customWidth="1"/>
    <col min="4" max="4" width="17.21875" customWidth="1"/>
    <col min="6" max="6" width="10.77734375" bestFit="1" customWidth="1"/>
    <col min="9" max="9" width="9.6640625" bestFit="1" customWidth="1"/>
    <col min="10" max="10" width="11.77734375" bestFit="1" customWidth="1"/>
    <col min="12" max="12" width="10.77734375" bestFit="1" customWidth="1"/>
    <col min="13" max="13" width="12.5546875" bestFit="1" customWidth="1"/>
  </cols>
  <sheetData>
    <row r="1" spans="1:13" x14ac:dyDescent="0.3">
      <c r="A1" s="65" t="s">
        <v>271</v>
      </c>
    </row>
    <row r="2" spans="1:13" x14ac:dyDescent="0.3">
      <c r="A2" s="65" t="s">
        <v>256</v>
      </c>
      <c r="B2" s="65" t="s">
        <v>258</v>
      </c>
      <c r="C2" s="65" t="s">
        <v>259</v>
      </c>
      <c r="D2" s="65" t="s">
        <v>323</v>
      </c>
      <c r="E2" s="65" t="s">
        <v>265</v>
      </c>
      <c r="F2" s="65" t="s">
        <v>262</v>
      </c>
      <c r="G2" s="65" t="s">
        <v>266</v>
      </c>
      <c r="H2" s="65" t="s">
        <v>200</v>
      </c>
      <c r="I2" s="65" t="s">
        <v>267</v>
      </c>
      <c r="J2" s="65" t="s">
        <v>263</v>
      </c>
      <c r="K2" s="65" t="s">
        <v>268</v>
      </c>
      <c r="L2" s="65" t="s">
        <v>264</v>
      </c>
      <c r="M2" s="65" t="s">
        <v>269</v>
      </c>
    </row>
    <row r="4" spans="1:13" x14ac:dyDescent="0.3">
      <c r="A4" t="s">
        <v>257</v>
      </c>
      <c r="B4">
        <v>2859792.32</v>
      </c>
      <c r="C4">
        <v>36.96</v>
      </c>
      <c r="D4">
        <v>1425739.32</v>
      </c>
      <c r="E4">
        <v>18.43</v>
      </c>
      <c r="F4">
        <v>1434053</v>
      </c>
      <c r="G4">
        <v>18.53</v>
      </c>
      <c r="H4">
        <v>39760.870000000003</v>
      </c>
      <c r="I4">
        <v>0.51</v>
      </c>
      <c r="J4">
        <v>0</v>
      </c>
      <c r="K4">
        <v>0</v>
      </c>
      <c r="L4">
        <v>0</v>
      </c>
      <c r="M4">
        <v>0</v>
      </c>
    </row>
    <row r="5" spans="1:13" x14ac:dyDescent="0.3">
      <c r="A5" t="s">
        <v>322</v>
      </c>
      <c r="B5">
        <v>21550976.800000001</v>
      </c>
      <c r="C5">
        <v>278.52999999999997</v>
      </c>
      <c r="D5">
        <v>11354711.939999999</v>
      </c>
      <c r="E5">
        <v>146.75</v>
      </c>
      <c r="F5">
        <v>10196264.85</v>
      </c>
      <c r="G5">
        <v>131.78</v>
      </c>
      <c r="H5">
        <v>461069.26</v>
      </c>
      <c r="I5">
        <v>5.96</v>
      </c>
      <c r="J5">
        <v>262405182.28</v>
      </c>
      <c r="K5">
        <v>3391.36</v>
      </c>
      <c r="L5">
        <v>36979267.259999998</v>
      </c>
      <c r="M5">
        <v>477.92</v>
      </c>
    </row>
    <row r="6" spans="1:13" x14ac:dyDescent="0.3">
      <c r="A6" t="s">
        <v>260</v>
      </c>
      <c r="B6">
        <v>566975.71</v>
      </c>
      <c r="C6">
        <v>7.33</v>
      </c>
      <c r="D6">
        <v>50368250.700000003</v>
      </c>
      <c r="E6">
        <v>650.97</v>
      </c>
      <c r="F6">
        <v>2988362.42</v>
      </c>
      <c r="G6">
        <v>38.619999999999997</v>
      </c>
      <c r="H6">
        <v>566975.71</v>
      </c>
      <c r="I6">
        <v>7.33</v>
      </c>
      <c r="J6">
        <v>10567814.689999999</v>
      </c>
      <c r="K6">
        <v>136.58000000000001</v>
      </c>
      <c r="L6">
        <v>1378698.93</v>
      </c>
      <c r="M6">
        <v>17.82</v>
      </c>
    </row>
    <row r="8" spans="1:13" x14ac:dyDescent="0.3">
      <c r="A8" s="65" t="s">
        <v>256</v>
      </c>
      <c r="B8" s="65" t="s">
        <v>258</v>
      </c>
      <c r="C8" s="65" t="s">
        <v>261</v>
      </c>
      <c r="D8" s="65" t="s">
        <v>262</v>
      </c>
      <c r="E8" s="65" t="s">
        <v>200</v>
      </c>
    </row>
    <row r="10" spans="1:13" x14ac:dyDescent="0.3">
      <c r="A10" t="s">
        <v>257</v>
      </c>
      <c r="B10">
        <f>(Demographics!B4/100000)*C4</f>
        <v>22036.420559999999</v>
      </c>
      <c r="C10">
        <f>(Demographics!B4/100000)*E4</f>
        <v>10988.399104999999</v>
      </c>
      <c r="D10">
        <f>(Demographics!B4/100000)*G4</f>
        <v>11048.021455</v>
      </c>
      <c r="E10">
        <f>(Demographics!B4/100000)*I4</f>
        <v>304.07398499999999</v>
      </c>
    </row>
    <row r="11" spans="1:13" x14ac:dyDescent="0.3">
      <c r="A11" t="s">
        <v>322</v>
      </c>
      <c r="B11">
        <f>(Demographics!B4/100000)*C5</f>
        <v>166066.13145499997</v>
      </c>
      <c r="C11">
        <f>(Demographics!B4/100000)*E5</f>
        <v>87495.798624999996</v>
      </c>
      <c r="D11">
        <f>(Demographics!B4/100000)*G5</f>
        <v>78570.332829999999</v>
      </c>
      <c r="E11">
        <f>(Demographics!B4/100000)*I5</f>
        <v>3553.4920599999996</v>
      </c>
    </row>
    <row r="12" spans="1:13" x14ac:dyDescent="0.3">
      <c r="A12" t="s">
        <v>260</v>
      </c>
      <c r="B12">
        <f>(Demographics!B4/100000)*C6</f>
        <v>4370.3182549999992</v>
      </c>
      <c r="C12">
        <f>(Demographics!B4/100000)*E6</f>
        <v>388123.61179499998</v>
      </c>
      <c r="D12">
        <f>(Demographics!B4/100000)*G6</f>
        <v>23026.151569999995</v>
      </c>
      <c r="E12">
        <f>(Demographics!B4/100000)*I6</f>
        <v>4370.3182549999992</v>
      </c>
    </row>
    <row r="15" spans="1:13" x14ac:dyDescent="0.3">
      <c r="A15" s="20" t="s">
        <v>692</v>
      </c>
      <c r="B15" t="s">
        <v>696</v>
      </c>
    </row>
    <row r="17" spans="1:3" x14ac:dyDescent="0.3">
      <c r="A17" t="s">
        <v>695</v>
      </c>
      <c r="B17">
        <v>6.0999999999999999E-2</v>
      </c>
      <c r="C17" t="s">
        <v>701</v>
      </c>
    </row>
    <row r="18" spans="1:3" x14ac:dyDescent="0.3">
      <c r="A18" t="s">
        <v>694</v>
      </c>
      <c r="B18">
        <v>30</v>
      </c>
      <c r="C18" t="s">
        <v>697</v>
      </c>
    </row>
    <row r="19" spans="1:3" x14ac:dyDescent="0.3">
      <c r="A19" t="s">
        <v>211</v>
      </c>
      <c r="B19">
        <f>B24/(B17*B18)</f>
        <v>0.5191256830601092</v>
      </c>
    </row>
    <row r="20" spans="1:3" x14ac:dyDescent="0.3">
      <c r="A20" t="s">
        <v>693</v>
      </c>
      <c r="B20">
        <v>40.89</v>
      </c>
    </row>
    <row r="21" spans="1:3" x14ac:dyDescent="0.3">
      <c r="A21" t="s">
        <v>200</v>
      </c>
      <c r="B21">
        <f>B23/B20</f>
        <v>9.4888725849841038E-2</v>
      </c>
    </row>
    <row r="23" spans="1:3" x14ac:dyDescent="0.3">
      <c r="A23" t="s">
        <v>690</v>
      </c>
      <c r="B23">
        <v>3.88</v>
      </c>
    </row>
    <row r="24" spans="1:3" x14ac:dyDescent="0.3">
      <c r="A24" t="s">
        <v>691</v>
      </c>
      <c r="B24">
        <v>0.95</v>
      </c>
    </row>
    <row r="25" spans="1:3" x14ac:dyDescent="0.3">
      <c r="A25" s="82" t="s">
        <v>65</v>
      </c>
      <c r="B25" s="82">
        <v>4.83</v>
      </c>
    </row>
    <row r="29" spans="1:3" x14ac:dyDescent="0.3">
      <c r="C29" t="s">
        <v>699</v>
      </c>
    </row>
    <row r="30" spans="1:3" x14ac:dyDescent="0.3">
      <c r="C30" t="s">
        <v>700</v>
      </c>
    </row>
    <row r="31" spans="1:3" x14ac:dyDescent="0.3">
      <c r="C31" s="8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D71"/>
  <sheetViews>
    <sheetView workbookViewId="0">
      <selection activeCell="H64" sqref="H64"/>
    </sheetView>
  </sheetViews>
  <sheetFormatPr defaultRowHeight="14.4" x14ac:dyDescent="0.3"/>
  <cols>
    <col min="1" max="1" width="8.77734375" customWidth="1"/>
    <col min="2" max="2" width="10.77734375" customWidth="1"/>
    <col min="3" max="3" width="12.6640625" customWidth="1"/>
    <col min="4" max="4" width="13.21875" customWidth="1"/>
  </cols>
  <sheetData>
    <row r="2" spans="1:4" x14ac:dyDescent="0.3">
      <c r="A2" s="82" t="s">
        <v>703</v>
      </c>
      <c r="B2" s="82" t="s">
        <v>702</v>
      </c>
      <c r="C2" s="82" t="s">
        <v>698</v>
      </c>
      <c r="D2" s="82"/>
    </row>
    <row r="3" spans="1:4" x14ac:dyDescent="0.3">
      <c r="A3">
        <v>0</v>
      </c>
      <c r="B3">
        <v>0</v>
      </c>
      <c r="C3">
        <f>1/(1+0.05)^A3</f>
        <v>1</v>
      </c>
      <c r="D3">
        <f>C3*B3</f>
        <v>0</v>
      </c>
    </row>
    <row r="4" spans="1:4" x14ac:dyDescent="0.3">
      <c r="A4">
        <v>1</v>
      </c>
      <c r="B4">
        <f>A4-A3</f>
        <v>1</v>
      </c>
      <c r="C4">
        <f>1/(1+0.05)^A4</f>
        <v>0.95238095238095233</v>
      </c>
      <c r="D4">
        <f t="shared" ref="D4:D67" si="0">C4*B4</f>
        <v>0.95238095238095233</v>
      </c>
    </row>
    <row r="5" spans="1:4" x14ac:dyDescent="0.3">
      <c r="A5">
        <v>2</v>
      </c>
      <c r="B5">
        <f t="shared" ref="B5:B68" si="1">A5-A4</f>
        <v>1</v>
      </c>
      <c r="C5">
        <f t="shared" ref="C5:C68" si="2">1/(1+0.05)^A5</f>
        <v>0.90702947845804982</v>
      </c>
      <c r="D5">
        <f t="shared" si="0"/>
        <v>0.90702947845804982</v>
      </c>
    </row>
    <row r="6" spans="1:4" x14ac:dyDescent="0.3">
      <c r="A6">
        <v>3</v>
      </c>
      <c r="B6">
        <f t="shared" si="1"/>
        <v>1</v>
      </c>
      <c r="C6">
        <f t="shared" si="2"/>
        <v>0.86383759853147601</v>
      </c>
      <c r="D6">
        <f t="shared" si="0"/>
        <v>0.86383759853147601</v>
      </c>
    </row>
    <row r="7" spans="1:4" x14ac:dyDescent="0.3">
      <c r="A7">
        <v>4</v>
      </c>
      <c r="B7">
        <f t="shared" si="1"/>
        <v>1</v>
      </c>
      <c r="C7">
        <f t="shared" si="2"/>
        <v>0.82270247479188197</v>
      </c>
      <c r="D7">
        <f t="shared" si="0"/>
        <v>0.82270247479188197</v>
      </c>
    </row>
    <row r="8" spans="1:4" x14ac:dyDescent="0.3">
      <c r="A8">
        <v>5</v>
      </c>
      <c r="B8">
        <f t="shared" si="1"/>
        <v>1</v>
      </c>
      <c r="C8">
        <f t="shared" si="2"/>
        <v>0.78352616646845896</v>
      </c>
      <c r="D8">
        <f t="shared" si="0"/>
        <v>0.78352616646845896</v>
      </c>
    </row>
    <row r="9" spans="1:4" x14ac:dyDescent="0.3">
      <c r="A9">
        <v>6</v>
      </c>
      <c r="B9">
        <f t="shared" si="1"/>
        <v>1</v>
      </c>
      <c r="C9">
        <f t="shared" si="2"/>
        <v>0.74621539663662761</v>
      </c>
      <c r="D9">
        <f t="shared" si="0"/>
        <v>0.74621539663662761</v>
      </c>
    </row>
    <row r="10" spans="1:4" x14ac:dyDescent="0.3">
      <c r="A10">
        <v>7</v>
      </c>
      <c r="B10">
        <f t="shared" si="1"/>
        <v>1</v>
      </c>
      <c r="C10">
        <f t="shared" si="2"/>
        <v>0.71068133013012147</v>
      </c>
      <c r="D10">
        <f t="shared" si="0"/>
        <v>0.71068133013012147</v>
      </c>
    </row>
    <row r="11" spans="1:4" x14ac:dyDescent="0.3">
      <c r="A11">
        <v>8</v>
      </c>
      <c r="B11">
        <f t="shared" si="1"/>
        <v>1</v>
      </c>
      <c r="C11">
        <f t="shared" si="2"/>
        <v>0.67683936202868722</v>
      </c>
      <c r="D11">
        <f t="shared" si="0"/>
        <v>0.67683936202868722</v>
      </c>
    </row>
    <row r="12" spans="1:4" x14ac:dyDescent="0.3">
      <c r="A12">
        <v>9</v>
      </c>
      <c r="B12">
        <f t="shared" si="1"/>
        <v>1</v>
      </c>
      <c r="C12">
        <f t="shared" si="2"/>
        <v>0.64460891621779726</v>
      </c>
      <c r="D12">
        <f t="shared" si="0"/>
        <v>0.64460891621779726</v>
      </c>
    </row>
    <row r="13" spans="1:4" x14ac:dyDescent="0.3">
      <c r="A13">
        <v>10</v>
      </c>
      <c r="B13">
        <f t="shared" si="1"/>
        <v>1</v>
      </c>
      <c r="C13">
        <f t="shared" si="2"/>
        <v>0.61391325354075932</v>
      </c>
      <c r="D13">
        <f t="shared" si="0"/>
        <v>0.61391325354075932</v>
      </c>
    </row>
    <row r="14" spans="1:4" x14ac:dyDescent="0.3">
      <c r="A14">
        <v>11</v>
      </c>
      <c r="B14">
        <f t="shared" si="1"/>
        <v>1</v>
      </c>
      <c r="C14">
        <f t="shared" si="2"/>
        <v>0.5846792890864374</v>
      </c>
      <c r="D14">
        <f t="shared" si="0"/>
        <v>0.5846792890864374</v>
      </c>
    </row>
    <row r="15" spans="1:4" x14ac:dyDescent="0.3">
      <c r="A15">
        <v>12</v>
      </c>
      <c r="B15">
        <f t="shared" si="1"/>
        <v>1</v>
      </c>
      <c r="C15">
        <f t="shared" si="2"/>
        <v>0.5568374181775595</v>
      </c>
      <c r="D15">
        <f t="shared" si="0"/>
        <v>0.5568374181775595</v>
      </c>
    </row>
    <row r="16" spans="1:4" x14ac:dyDescent="0.3">
      <c r="A16">
        <v>13</v>
      </c>
      <c r="B16">
        <f t="shared" si="1"/>
        <v>1</v>
      </c>
      <c r="C16">
        <f t="shared" si="2"/>
        <v>0.53032135064529462</v>
      </c>
      <c r="D16">
        <f t="shared" si="0"/>
        <v>0.53032135064529462</v>
      </c>
    </row>
    <row r="17" spans="1:4" x14ac:dyDescent="0.3">
      <c r="A17">
        <v>14</v>
      </c>
      <c r="B17">
        <f t="shared" si="1"/>
        <v>1</v>
      </c>
      <c r="C17">
        <f t="shared" si="2"/>
        <v>0.50506795299551888</v>
      </c>
      <c r="D17">
        <f t="shared" si="0"/>
        <v>0.50506795299551888</v>
      </c>
    </row>
    <row r="18" spans="1:4" x14ac:dyDescent="0.3">
      <c r="A18">
        <v>15</v>
      </c>
      <c r="B18">
        <f t="shared" si="1"/>
        <v>1</v>
      </c>
      <c r="C18">
        <f t="shared" si="2"/>
        <v>0.48101709809097021</v>
      </c>
      <c r="D18">
        <f t="shared" si="0"/>
        <v>0.48101709809097021</v>
      </c>
    </row>
    <row r="19" spans="1:4" x14ac:dyDescent="0.3">
      <c r="A19">
        <v>16</v>
      </c>
      <c r="B19">
        <f t="shared" si="1"/>
        <v>1</v>
      </c>
      <c r="C19">
        <f t="shared" si="2"/>
        <v>0.45811152199140021</v>
      </c>
      <c r="D19">
        <f t="shared" si="0"/>
        <v>0.45811152199140021</v>
      </c>
    </row>
    <row r="20" spans="1:4" x14ac:dyDescent="0.3">
      <c r="A20">
        <v>17</v>
      </c>
      <c r="B20">
        <f t="shared" si="1"/>
        <v>1</v>
      </c>
      <c r="C20">
        <f t="shared" si="2"/>
        <v>0.43629668761085727</v>
      </c>
      <c r="D20">
        <f t="shared" si="0"/>
        <v>0.43629668761085727</v>
      </c>
    </row>
    <row r="21" spans="1:4" x14ac:dyDescent="0.3">
      <c r="A21">
        <v>18</v>
      </c>
      <c r="B21">
        <f t="shared" si="1"/>
        <v>1</v>
      </c>
      <c r="C21">
        <f t="shared" si="2"/>
        <v>0.41552065486748313</v>
      </c>
      <c r="D21">
        <f t="shared" si="0"/>
        <v>0.41552065486748313</v>
      </c>
    </row>
    <row r="22" spans="1:4" x14ac:dyDescent="0.3">
      <c r="A22">
        <v>19</v>
      </c>
      <c r="B22">
        <f t="shared" si="1"/>
        <v>1</v>
      </c>
      <c r="C22">
        <f t="shared" si="2"/>
        <v>0.39573395701665059</v>
      </c>
      <c r="D22">
        <f t="shared" si="0"/>
        <v>0.39573395701665059</v>
      </c>
    </row>
    <row r="23" spans="1:4" x14ac:dyDescent="0.3">
      <c r="A23">
        <v>20</v>
      </c>
      <c r="B23">
        <f t="shared" si="1"/>
        <v>1</v>
      </c>
      <c r="C23">
        <f t="shared" si="2"/>
        <v>0.37688948287300061</v>
      </c>
      <c r="D23">
        <f t="shared" si="0"/>
        <v>0.37688948287300061</v>
      </c>
    </row>
    <row r="24" spans="1:4" x14ac:dyDescent="0.3">
      <c r="A24">
        <v>21</v>
      </c>
      <c r="B24">
        <f t="shared" si="1"/>
        <v>1</v>
      </c>
      <c r="C24">
        <f t="shared" si="2"/>
        <v>0.35894236464095297</v>
      </c>
      <c r="D24">
        <f t="shared" si="0"/>
        <v>0.35894236464095297</v>
      </c>
    </row>
    <row r="25" spans="1:4" x14ac:dyDescent="0.3">
      <c r="A25">
        <v>22</v>
      </c>
      <c r="B25">
        <f t="shared" si="1"/>
        <v>1</v>
      </c>
      <c r="C25">
        <f t="shared" si="2"/>
        <v>0.3418498710866219</v>
      </c>
      <c r="D25">
        <f t="shared" si="0"/>
        <v>0.3418498710866219</v>
      </c>
    </row>
    <row r="26" spans="1:4" x14ac:dyDescent="0.3">
      <c r="A26">
        <v>23</v>
      </c>
      <c r="B26">
        <f t="shared" si="1"/>
        <v>1</v>
      </c>
      <c r="C26">
        <f t="shared" si="2"/>
        <v>0.32557130579678267</v>
      </c>
      <c r="D26">
        <f t="shared" si="0"/>
        <v>0.32557130579678267</v>
      </c>
    </row>
    <row r="27" spans="1:4" x14ac:dyDescent="0.3">
      <c r="A27">
        <v>24</v>
      </c>
      <c r="B27">
        <f t="shared" si="1"/>
        <v>1</v>
      </c>
      <c r="C27">
        <f t="shared" si="2"/>
        <v>0.31006791028265024</v>
      </c>
      <c r="D27">
        <f t="shared" si="0"/>
        <v>0.31006791028265024</v>
      </c>
    </row>
    <row r="28" spans="1:4" x14ac:dyDescent="0.3">
      <c r="A28">
        <v>25</v>
      </c>
      <c r="B28">
        <f t="shared" si="1"/>
        <v>1</v>
      </c>
      <c r="C28">
        <f t="shared" si="2"/>
        <v>0.29530277169776209</v>
      </c>
      <c r="D28">
        <f t="shared" si="0"/>
        <v>0.29530277169776209</v>
      </c>
    </row>
    <row r="29" spans="1:4" x14ac:dyDescent="0.3">
      <c r="A29">
        <v>26</v>
      </c>
      <c r="B29">
        <f t="shared" si="1"/>
        <v>1</v>
      </c>
      <c r="C29">
        <f t="shared" si="2"/>
        <v>0.28124073495024959</v>
      </c>
      <c r="D29">
        <f t="shared" si="0"/>
        <v>0.28124073495024959</v>
      </c>
    </row>
    <row r="30" spans="1:4" x14ac:dyDescent="0.3">
      <c r="A30">
        <v>27</v>
      </c>
      <c r="B30">
        <f t="shared" si="1"/>
        <v>1</v>
      </c>
      <c r="C30">
        <f t="shared" si="2"/>
        <v>0.2678483190002377</v>
      </c>
      <c r="D30">
        <f t="shared" si="0"/>
        <v>0.2678483190002377</v>
      </c>
    </row>
    <row r="31" spans="1:4" x14ac:dyDescent="0.3">
      <c r="A31">
        <v>28</v>
      </c>
      <c r="B31">
        <f t="shared" si="1"/>
        <v>1</v>
      </c>
      <c r="C31">
        <f t="shared" si="2"/>
        <v>0.25509363714308358</v>
      </c>
      <c r="D31">
        <f t="shared" si="0"/>
        <v>0.25509363714308358</v>
      </c>
    </row>
    <row r="32" spans="1:4" x14ac:dyDescent="0.3">
      <c r="A32">
        <v>29</v>
      </c>
      <c r="B32">
        <f t="shared" si="1"/>
        <v>1</v>
      </c>
      <c r="C32">
        <f t="shared" si="2"/>
        <v>0.24294632108865097</v>
      </c>
      <c r="D32">
        <f t="shared" si="0"/>
        <v>0.24294632108865097</v>
      </c>
    </row>
    <row r="33" spans="1:4" x14ac:dyDescent="0.3">
      <c r="A33">
        <v>30</v>
      </c>
      <c r="B33">
        <f t="shared" si="1"/>
        <v>1</v>
      </c>
      <c r="C33">
        <f t="shared" si="2"/>
        <v>0.23137744865585813</v>
      </c>
      <c r="D33">
        <f t="shared" si="0"/>
        <v>0.23137744865585813</v>
      </c>
    </row>
    <row r="34" spans="1:4" x14ac:dyDescent="0.3">
      <c r="A34">
        <v>31</v>
      </c>
      <c r="B34">
        <f t="shared" si="1"/>
        <v>1</v>
      </c>
      <c r="C34">
        <f t="shared" si="2"/>
        <v>0.220359474910341</v>
      </c>
      <c r="D34">
        <f t="shared" si="0"/>
        <v>0.220359474910341</v>
      </c>
    </row>
    <row r="35" spans="1:4" x14ac:dyDescent="0.3">
      <c r="A35">
        <v>32</v>
      </c>
      <c r="B35">
        <f t="shared" si="1"/>
        <v>1</v>
      </c>
      <c r="C35">
        <f t="shared" si="2"/>
        <v>0.20986616658127716</v>
      </c>
      <c r="D35">
        <f t="shared" si="0"/>
        <v>0.20986616658127716</v>
      </c>
    </row>
    <row r="36" spans="1:4" x14ac:dyDescent="0.3">
      <c r="A36">
        <v>33</v>
      </c>
      <c r="B36">
        <f t="shared" si="1"/>
        <v>1</v>
      </c>
      <c r="C36">
        <f t="shared" si="2"/>
        <v>0.19987253960121634</v>
      </c>
      <c r="D36">
        <f t="shared" si="0"/>
        <v>0.19987253960121634</v>
      </c>
    </row>
    <row r="37" spans="1:4" x14ac:dyDescent="0.3">
      <c r="A37">
        <v>34</v>
      </c>
      <c r="B37">
        <f t="shared" si="1"/>
        <v>1</v>
      </c>
      <c r="C37">
        <f t="shared" si="2"/>
        <v>0.19035479962020604</v>
      </c>
      <c r="D37">
        <f t="shared" si="0"/>
        <v>0.19035479962020604</v>
      </c>
    </row>
    <row r="38" spans="1:4" x14ac:dyDescent="0.3">
      <c r="A38">
        <v>35</v>
      </c>
      <c r="B38">
        <f t="shared" si="1"/>
        <v>1</v>
      </c>
      <c r="C38">
        <f t="shared" si="2"/>
        <v>0.18129028535257716</v>
      </c>
      <c r="D38">
        <f t="shared" si="0"/>
        <v>0.18129028535257716</v>
      </c>
    </row>
    <row r="39" spans="1:4" x14ac:dyDescent="0.3">
      <c r="A39">
        <v>36</v>
      </c>
      <c r="B39">
        <f t="shared" si="1"/>
        <v>1</v>
      </c>
      <c r="C39">
        <f t="shared" si="2"/>
        <v>0.17265741462150208</v>
      </c>
      <c r="D39">
        <f t="shared" si="0"/>
        <v>0.17265741462150208</v>
      </c>
    </row>
    <row r="40" spans="1:4" x14ac:dyDescent="0.3">
      <c r="A40">
        <v>37</v>
      </c>
      <c r="B40">
        <f t="shared" si="1"/>
        <v>1</v>
      </c>
      <c r="C40">
        <f t="shared" si="2"/>
        <v>0.1644356329728591</v>
      </c>
      <c r="D40">
        <f t="shared" si="0"/>
        <v>0.1644356329728591</v>
      </c>
    </row>
    <row r="41" spans="1:4" x14ac:dyDescent="0.3">
      <c r="A41">
        <v>38</v>
      </c>
      <c r="B41">
        <f t="shared" si="1"/>
        <v>1</v>
      </c>
      <c r="C41">
        <f t="shared" si="2"/>
        <v>0.15660536473605632</v>
      </c>
      <c r="D41">
        <f t="shared" si="0"/>
        <v>0.15660536473605632</v>
      </c>
    </row>
    <row r="42" spans="1:4" x14ac:dyDescent="0.3">
      <c r="A42">
        <v>39</v>
      </c>
      <c r="B42">
        <f t="shared" si="1"/>
        <v>1</v>
      </c>
      <c r="C42">
        <f t="shared" si="2"/>
        <v>0.14914796641529171</v>
      </c>
      <c r="D42">
        <f t="shared" si="0"/>
        <v>0.14914796641529171</v>
      </c>
    </row>
    <row r="43" spans="1:4" x14ac:dyDescent="0.3">
      <c r="A43">
        <v>40</v>
      </c>
      <c r="B43">
        <f t="shared" si="1"/>
        <v>1</v>
      </c>
      <c r="C43">
        <f t="shared" si="2"/>
        <v>0.14204568230027784</v>
      </c>
      <c r="D43">
        <f t="shared" si="0"/>
        <v>0.14204568230027784</v>
      </c>
    </row>
    <row r="44" spans="1:4" x14ac:dyDescent="0.3">
      <c r="A44">
        <v>41</v>
      </c>
      <c r="B44">
        <f t="shared" si="1"/>
        <v>1</v>
      </c>
      <c r="C44">
        <f t="shared" si="2"/>
        <v>0.13528160219074079</v>
      </c>
      <c r="D44">
        <f t="shared" si="0"/>
        <v>0.13528160219074079</v>
      </c>
    </row>
    <row r="45" spans="1:4" x14ac:dyDescent="0.3">
      <c r="A45">
        <v>42</v>
      </c>
      <c r="B45">
        <f t="shared" si="1"/>
        <v>1</v>
      </c>
      <c r="C45">
        <f t="shared" si="2"/>
        <v>0.12883962113403885</v>
      </c>
      <c r="D45">
        <f t="shared" si="0"/>
        <v>0.12883962113403885</v>
      </c>
    </row>
    <row r="46" spans="1:4" x14ac:dyDescent="0.3">
      <c r="A46">
        <v>43</v>
      </c>
      <c r="B46">
        <f t="shared" si="1"/>
        <v>1</v>
      </c>
      <c r="C46">
        <f t="shared" si="2"/>
        <v>0.12270440108003698</v>
      </c>
      <c r="D46">
        <f t="shared" si="0"/>
        <v>0.12270440108003698</v>
      </c>
    </row>
    <row r="47" spans="1:4" x14ac:dyDescent="0.3">
      <c r="A47">
        <v>44</v>
      </c>
      <c r="B47">
        <f t="shared" si="1"/>
        <v>1</v>
      </c>
      <c r="C47">
        <f t="shared" si="2"/>
        <v>0.11686133436193999</v>
      </c>
      <c r="D47">
        <f t="shared" si="0"/>
        <v>0.11686133436193999</v>
      </c>
    </row>
    <row r="48" spans="1:4" x14ac:dyDescent="0.3">
      <c r="A48">
        <v>45</v>
      </c>
      <c r="B48">
        <f t="shared" si="1"/>
        <v>1</v>
      </c>
      <c r="C48">
        <f t="shared" si="2"/>
        <v>0.1112965089161333</v>
      </c>
      <c r="D48">
        <f t="shared" si="0"/>
        <v>0.1112965089161333</v>
      </c>
    </row>
    <row r="49" spans="1:4" x14ac:dyDescent="0.3">
      <c r="A49">
        <v>46</v>
      </c>
      <c r="B49">
        <f t="shared" si="1"/>
        <v>1</v>
      </c>
      <c r="C49">
        <f t="shared" si="2"/>
        <v>0.10599667515822221</v>
      </c>
      <c r="D49">
        <f t="shared" si="0"/>
        <v>0.10599667515822221</v>
      </c>
    </row>
    <row r="50" spans="1:4" x14ac:dyDescent="0.3">
      <c r="A50">
        <v>47</v>
      </c>
      <c r="B50">
        <f t="shared" si="1"/>
        <v>1</v>
      </c>
      <c r="C50">
        <f t="shared" si="2"/>
        <v>0.10094921443640208</v>
      </c>
      <c r="D50">
        <f t="shared" si="0"/>
        <v>0.10094921443640208</v>
      </c>
    </row>
    <row r="51" spans="1:4" x14ac:dyDescent="0.3">
      <c r="A51">
        <v>48</v>
      </c>
      <c r="B51">
        <f t="shared" si="1"/>
        <v>1</v>
      </c>
      <c r="C51">
        <f t="shared" si="2"/>
        <v>9.6142108987049613E-2</v>
      </c>
      <c r="D51">
        <f t="shared" si="0"/>
        <v>9.6142108987049613E-2</v>
      </c>
    </row>
    <row r="52" spans="1:4" x14ac:dyDescent="0.3">
      <c r="A52">
        <v>49</v>
      </c>
      <c r="B52">
        <f t="shared" si="1"/>
        <v>1</v>
      </c>
      <c r="C52">
        <f t="shared" si="2"/>
        <v>9.1563913320999626E-2</v>
      </c>
      <c r="D52">
        <f t="shared" si="0"/>
        <v>9.1563913320999626E-2</v>
      </c>
    </row>
    <row r="53" spans="1:4" x14ac:dyDescent="0.3">
      <c r="A53">
        <v>50</v>
      </c>
      <c r="B53">
        <f t="shared" si="1"/>
        <v>1</v>
      </c>
      <c r="C53">
        <f t="shared" si="2"/>
        <v>8.7203726972380588E-2</v>
      </c>
      <c r="D53">
        <f t="shared" si="0"/>
        <v>8.7203726972380588E-2</v>
      </c>
    </row>
    <row r="54" spans="1:4" x14ac:dyDescent="0.3">
      <c r="A54">
        <v>51</v>
      </c>
      <c r="B54">
        <f t="shared" si="1"/>
        <v>1</v>
      </c>
      <c r="C54">
        <f t="shared" si="2"/>
        <v>8.3051168545124371E-2</v>
      </c>
      <c r="D54">
        <f t="shared" si="0"/>
        <v>8.3051168545124371E-2</v>
      </c>
    </row>
    <row r="55" spans="1:4" x14ac:dyDescent="0.3">
      <c r="A55">
        <v>52</v>
      </c>
      <c r="B55">
        <f t="shared" si="1"/>
        <v>1</v>
      </c>
      <c r="C55">
        <f t="shared" si="2"/>
        <v>7.9096350995356543E-2</v>
      </c>
      <c r="D55">
        <f t="shared" si="0"/>
        <v>7.9096350995356543E-2</v>
      </c>
    </row>
    <row r="56" spans="1:4" x14ac:dyDescent="0.3">
      <c r="A56">
        <v>53</v>
      </c>
      <c r="B56">
        <f t="shared" si="1"/>
        <v>1</v>
      </c>
      <c r="C56">
        <f t="shared" si="2"/>
        <v>7.5329858090815757E-2</v>
      </c>
      <c r="D56">
        <f t="shared" si="0"/>
        <v>7.5329858090815757E-2</v>
      </c>
    </row>
    <row r="57" spans="1:4" x14ac:dyDescent="0.3">
      <c r="A57">
        <v>54</v>
      </c>
      <c r="B57">
        <f t="shared" si="1"/>
        <v>1</v>
      </c>
      <c r="C57">
        <f t="shared" si="2"/>
        <v>7.1742721991253117E-2</v>
      </c>
      <c r="D57">
        <f t="shared" si="0"/>
        <v>7.1742721991253117E-2</v>
      </c>
    </row>
    <row r="58" spans="1:4" x14ac:dyDescent="0.3">
      <c r="A58">
        <v>55</v>
      </c>
      <c r="B58">
        <f t="shared" si="1"/>
        <v>1</v>
      </c>
      <c r="C58">
        <f t="shared" si="2"/>
        <v>6.8326401896431521E-2</v>
      </c>
      <c r="D58">
        <f t="shared" si="0"/>
        <v>6.8326401896431521E-2</v>
      </c>
    </row>
    <row r="59" spans="1:4" x14ac:dyDescent="0.3">
      <c r="A59">
        <v>56</v>
      </c>
      <c r="B59">
        <f t="shared" si="1"/>
        <v>1</v>
      </c>
      <c r="C59">
        <f t="shared" si="2"/>
        <v>6.5072763710887174E-2</v>
      </c>
      <c r="D59">
        <f t="shared" si="0"/>
        <v>6.5072763710887174E-2</v>
      </c>
    </row>
    <row r="60" spans="1:4" x14ac:dyDescent="0.3">
      <c r="A60">
        <v>57</v>
      </c>
      <c r="B60">
        <f t="shared" si="1"/>
        <v>1</v>
      </c>
      <c r="C60">
        <f t="shared" si="2"/>
        <v>6.1974060677035397E-2</v>
      </c>
      <c r="D60">
        <f t="shared" si="0"/>
        <v>6.1974060677035397E-2</v>
      </c>
    </row>
    <row r="61" spans="1:4" x14ac:dyDescent="0.3">
      <c r="A61">
        <v>58</v>
      </c>
      <c r="B61">
        <f t="shared" si="1"/>
        <v>1</v>
      </c>
      <c r="C61">
        <f t="shared" si="2"/>
        <v>5.9022914930509894E-2</v>
      </c>
      <c r="D61">
        <f t="shared" si="0"/>
        <v>5.9022914930509894E-2</v>
      </c>
    </row>
    <row r="62" spans="1:4" x14ac:dyDescent="0.3">
      <c r="A62">
        <v>59</v>
      </c>
      <c r="B62">
        <f t="shared" si="1"/>
        <v>1</v>
      </c>
      <c r="C62">
        <f t="shared" si="2"/>
        <v>5.6212299933818946E-2</v>
      </c>
      <c r="D62">
        <f t="shared" si="0"/>
        <v>5.6212299933818946E-2</v>
      </c>
    </row>
    <row r="63" spans="1:4" x14ac:dyDescent="0.3">
      <c r="A63">
        <v>60</v>
      </c>
      <c r="B63">
        <f t="shared" si="1"/>
        <v>1</v>
      </c>
      <c r="C63">
        <f t="shared" si="2"/>
        <v>5.3535523746494243E-2</v>
      </c>
      <c r="D63">
        <f t="shared" si="0"/>
        <v>5.3535523746494243E-2</v>
      </c>
    </row>
    <row r="64" spans="1:4" x14ac:dyDescent="0.3">
      <c r="A64">
        <v>61</v>
      </c>
      <c r="B64">
        <f t="shared" si="1"/>
        <v>1</v>
      </c>
      <c r="C64">
        <f t="shared" si="2"/>
        <v>5.0986213091899268E-2</v>
      </c>
      <c r="D64">
        <f t="shared" si="0"/>
        <v>5.0986213091899268E-2</v>
      </c>
    </row>
    <row r="65" spans="1:4" x14ac:dyDescent="0.3">
      <c r="A65">
        <v>62</v>
      </c>
      <c r="B65">
        <f t="shared" si="1"/>
        <v>1</v>
      </c>
      <c r="C65">
        <f t="shared" si="2"/>
        <v>4.855829818276123E-2</v>
      </c>
      <c r="D65">
        <f t="shared" si="0"/>
        <v>4.855829818276123E-2</v>
      </c>
    </row>
    <row r="66" spans="1:4" x14ac:dyDescent="0.3">
      <c r="A66">
        <v>63</v>
      </c>
      <c r="B66">
        <f t="shared" si="1"/>
        <v>1</v>
      </c>
      <c r="C66">
        <f t="shared" si="2"/>
        <v>4.6245998269296387E-2</v>
      </c>
      <c r="D66">
        <f t="shared" si="0"/>
        <v>4.6245998269296387E-2</v>
      </c>
    </row>
    <row r="67" spans="1:4" x14ac:dyDescent="0.3">
      <c r="A67">
        <v>64</v>
      </c>
      <c r="B67">
        <f t="shared" si="1"/>
        <v>1</v>
      </c>
      <c r="C67">
        <f t="shared" si="2"/>
        <v>4.4043807875520369E-2</v>
      </c>
      <c r="D67">
        <f t="shared" si="0"/>
        <v>4.4043807875520369E-2</v>
      </c>
    </row>
    <row r="68" spans="1:4" x14ac:dyDescent="0.3">
      <c r="A68">
        <v>65</v>
      </c>
      <c r="B68">
        <f t="shared" si="1"/>
        <v>1</v>
      </c>
      <c r="C68">
        <f t="shared" si="2"/>
        <v>4.1946483690971779E-2</v>
      </c>
      <c r="D68">
        <f t="shared" ref="D68:D69" si="3">C68*B68</f>
        <v>4.1946483690971779E-2</v>
      </c>
    </row>
    <row r="69" spans="1:4" x14ac:dyDescent="0.3">
      <c r="A69">
        <v>65.5</v>
      </c>
      <c r="B69">
        <f t="shared" ref="B69" si="4">A69-A68</f>
        <v>0.5</v>
      </c>
      <c r="C69">
        <f t="shared" ref="C69" si="5">1/(1+0.05)^A69</f>
        <v>4.0935576493953726E-2</v>
      </c>
      <c r="D69">
        <f t="shared" si="3"/>
        <v>2.0467788246976863E-2</v>
      </c>
    </row>
    <row r="71" spans="1:4" x14ac:dyDescent="0.3">
      <c r="D71">
        <f>SUM(D3:D69)</f>
        <v>19.181538114427529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E81"/>
  <sheetViews>
    <sheetView workbookViewId="0">
      <selection activeCell="B4" sqref="B4"/>
    </sheetView>
  </sheetViews>
  <sheetFormatPr defaultRowHeight="14.4" x14ac:dyDescent="0.3"/>
  <cols>
    <col min="1" max="1" width="36.77734375" bestFit="1" customWidth="1"/>
    <col min="2" max="2" width="37.109375" bestFit="1" customWidth="1"/>
    <col min="4" max="5" width="11.77734375" bestFit="1" customWidth="1"/>
  </cols>
  <sheetData>
    <row r="1" spans="1:5" x14ac:dyDescent="0.3">
      <c r="A1" s="20" t="s">
        <v>221</v>
      </c>
      <c r="B1" t="s">
        <v>696</v>
      </c>
    </row>
    <row r="3" spans="1:5" ht="20.399999999999999" x14ac:dyDescent="0.3">
      <c r="A3" t="s">
        <v>695</v>
      </c>
      <c r="B3">
        <v>0.13300000000000001</v>
      </c>
      <c r="C3" s="87" t="s">
        <v>709</v>
      </c>
    </row>
    <row r="4" spans="1:5" x14ac:dyDescent="0.3">
      <c r="A4" t="s">
        <v>694</v>
      </c>
      <c r="B4">
        <f>B6</f>
        <v>65.5</v>
      </c>
    </row>
    <row r="5" spans="1:5" x14ac:dyDescent="0.3">
      <c r="A5" t="s">
        <v>693</v>
      </c>
      <c r="B5">
        <f>B6-0</f>
        <v>65.5</v>
      </c>
      <c r="C5" t="s">
        <v>711</v>
      </c>
    </row>
    <row r="6" spans="1:5" x14ac:dyDescent="0.3">
      <c r="A6" t="s">
        <v>710</v>
      </c>
      <c r="B6">
        <f>Average_life_expectancy_at_birth</f>
        <v>65.5</v>
      </c>
    </row>
    <row r="8" spans="1:5" x14ac:dyDescent="0.3">
      <c r="A8" t="s">
        <v>690</v>
      </c>
      <c r="B8">
        <v>0</v>
      </c>
    </row>
    <row r="9" spans="1:5" x14ac:dyDescent="0.3">
      <c r="A9" t="s">
        <v>691</v>
      </c>
      <c r="B9">
        <f>E81</f>
        <v>0.53465956747782661</v>
      </c>
    </row>
    <row r="10" spans="1:5" x14ac:dyDescent="0.3">
      <c r="A10" s="82" t="s">
        <v>65</v>
      </c>
      <c r="B10" s="82">
        <f>B8+B9</f>
        <v>0.53465956747782661</v>
      </c>
    </row>
    <row r="12" spans="1:5" x14ac:dyDescent="0.3">
      <c r="A12" t="s">
        <v>262</v>
      </c>
    </row>
    <row r="13" spans="1:5" x14ac:dyDescent="0.3">
      <c r="A13" s="82" t="s">
        <v>705</v>
      </c>
      <c r="B13" s="82" t="s">
        <v>703</v>
      </c>
      <c r="C13" s="82" t="s">
        <v>706</v>
      </c>
      <c r="D13" s="82" t="s">
        <v>698</v>
      </c>
      <c r="E13" s="82" t="s">
        <v>707</v>
      </c>
    </row>
    <row r="14" spans="1:5" x14ac:dyDescent="0.3">
      <c r="A14">
        <v>1</v>
      </c>
      <c r="B14">
        <v>0</v>
      </c>
      <c r="C14">
        <v>0</v>
      </c>
      <c r="D14">
        <f>1/(1+0.05)^B14</f>
        <v>1</v>
      </c>
      <c r="E14">
        <f>Parameters!$B$257*D14</f>
        <v>0.13300000000000001</v>
      </c>
    </row>
    <row r="15" spans="1:5" x14ac:dyDescent="0.3">
      <c r="A15">
        <v>2</v>
      </c>
      <c r="B15">
        <v>1</v>
      </c>
      <c r="C15">
        <f>B15-B14</f>
        <v>1</v>
      </c>
      <c r="D15">
        <f t="shared" ref="D15:D78" si="0">1/(1+0.05)^B15</f>
        <v>0.95238095238095233</v>
      </c>
      <c r="E15">
        <f>Parameters!$B$257*D15</f>
        <v>0.12666666666666668</v>
      </c>
    </row>
    <row r="16" spans="1:5" x14ac:dyDescent="0.3">
      <c r="A16">
        <v>3</v>
      </c>
      <c r="B16">
        <v>2</v>
      </c>
      <c r="C16">
        <f t="shared" ref="C16:C43" si="1">B16-B15</f>
        <v>1</v>
      </c>
      <c r="D16">
        <f t="shared" si="0"/>
        <v>0.90702947845804982</v>
      </c>
      <c r="E16">
        <f>Parameters!$B$257*D16</f>
        <v>0.12063492063492064</v>
      </c>
    </row>
    <row r="17" spans="1:5" x14ac:dyDescent="0.3">
      <c r="A17">
        <v>4</v>
      </c>
      <c r="B17">
        <v>3</v>
      </c>
      <c r="C17">
        <f t="shared" si="1"/>
        <v>1</v>
      </c>
      <c r="D17">
        <f t="shared" si="0"/>
        <v>0.86383759853147601</v>
      </c>
      <c r="E17">
        <f>Parameters!$B$257*D17</f>
        <v>0.11489040060468632</v>
      </c>
    </row>
    <row r="18" spans="1:5" x14ac:dyDescent="0.3">
      <c r="A18">
        <v>5</v>
      </c>
      <c r="B18">
        <v>4</v>
      </c>
      <c r="C18">
        <f t="shared" si="1"/>
        <v>1</v>
      </c>
      <c r="D18">
        <f t="shared" si="0"/>
        <v>0.82270247479188197</v>
      </c>
      <c r="E18">
        <f>Parameters!$B$257*D18</f>
        <v>0.10941942914732031</v>
      </c>
    </row>
    <row r="19" spans="1:5" x14ac:dyDescent="0.3">
      <c r="A19">
        <v>6</v>
      </c>
      <c r="B19">
        <v>5</v>
      </c>
      <c r="C19">
        <f t="shared" si="1"/>
        <v>1</v>
      </c>
      <c r="D19">
        <f t="shared" si="0"/>
        <v>0.78352616646845896</v>
      </c>
      <c r="E19">
        <f>Parameters!$B$257*D19</f>
        <v>0.10420898014030505</v>
      </c>
    </row>
    <row r="20" spans="1:5" x14ac:dyDescent="0.3">
      <c r="A20">
        <v>7</v>
      </c>
      <c r="B20">
        <v>6</v>
      </c>
      <c r="C20">
        <f t="shared" si="1"/>
        <v>1</v>
      </c>
      <c r="D20">
        <f t="shared" si="0"/>
        <v>0.74621539663662761</v>
      </c>
      <c r="E20">
        <f>Parameters!$B$257*D20</f>
        <v>9.9246647752671474E-2</v>
      </c>
    </row>
    <row r="21" spans="1:5" x14ac:dyDescent="0.3">
      <c r="A21">
        <v>8</v>
      </c>
      <c r="B21">
        <v>7</v>
      </c>
      <c r="C21">
        <f t="shared" si="1"/>
        <v>1</v>
      </c>
      <c r="D21">
        <f t="shared" si="0"/>
        <v>0.71068133013012147</v>
      </c>
      <c r="E21">
        <f>Parameters!$B$257*D21</f>
        <v>9.4520616907306163E-2</v>
      </c>
    </row>
    <row r="22" spans="1:5" x14ac:dyDescent="0.3">
      <c r="A22">
        <v>9</v>
      </c>
      <c r="B22">
        <v>8</v>
      </c>
      <c r="C22">
        <f t="shared" si="1"/>
        <v>1</v>
      </c>
      <c r="D22">
        <f t="shared" si="0"/>
        <v>0.67683936202868722</v>
      </c>
      <c r="E22">
        <f>Parameters!$B$257*D22</f>
        <v>9.0019635149815411E-2</v>
      </c>
    </row>
    <row r="23" spans="1:5" x14ac:dyDescent="0.3">
      <c r="A23">
        <v>10</v>
      </c>
      <c r="B23">
        <v>9</v>
      </c>
      <c r="C23">
        <f t="shared" si="1"/>
        <v>1</v>
      </c>
      <c r="D23">
        <f t="shared" si="0"/>
        <v>0.64460891621779726</v>
      </c>
      <c r="E23">
        <f>Parameters!$B$257*D23</f>
        <v>8.5732985856967037E-2</v>
      </c>
    </row>
    <row r="24" spans="1:5" x14ac:dyDescent="0.3">
      <c r="A24">
        <v>11</v>
      </c>
      <c r="B24">
        <v>10</v>
      </c>
      <c r="C24">
        <f t="shared" si="1"/>
        <v>1</v>
      </c>
      <c r="D24">
        <f t="shared" si="0"/>
        <v>0.61391325354075932</v>
      </c>
      <c r="E24">
        <f>Parameters!$B$257*D24</f>
        <v>8.1650462720920997E-2</v>
      </c>
    </row>
    <row r="25" spans="1:5" x14ac:dyDescent="0.3">
      <c r="A25">
        <v>12</v>
      </c>
      <c r="B25">
        <v>11</v>
      </c>
      <c r="C25">
        <f t="shared" si="1"/>
        <v>1</v>
      </c>
      <c r="D25">
        <f t="shared" si="0"/>
        <v>0.5846792890864374</v>
      </c>
      <c r="E25">
        <f>Parameters!$B$257*D25</f>
        <v>7.7762345448496181E-2</v>
      </c>
    </row>
    <row r="26" spans="1:5" x14ac:dyDescent="0.3">
      <c r="A26">
        <v>13</v>
      </c>
      <c r="B26">
        <v>12</v>
      </c>
      <c r="C26">
        <f t="shared" si="1"/>
        <v>1</v>
      </c>
      <c r="D26">
        <f t="shared" si="0"/>
        <v>0.5568374181775595</v>
      </c>
      <c r="E26">
        <f>Parameters!$B$257*D26</f>
        <v>7.4059376617615413E-2</v>
      </c>
    </row>
    <row r="27" spans="1:5" x14ac:dyDescent="0.3">
      <c r="A27">
        <v>14</v>
      </c>
      <c r="B27">
        <v>13</v>
      </c>
      <c r="C27">
        <f t="shared" si="1"/>
        <v>1</v>
      </c>
      <c r="D27">
        <f t="shared" si="0"/>
        <v>0.53032135064529462</v>
      </c>
      <c r="E27">
        <f>Parameters!$B$257*D27</f>
        <v>7.0532739635824182E-2</v>
      </c>
    </row>
    <row r="28" spans="1:5" x14ac:dyDescent="0.3">
      <c r="A28">
        <v>15</v>
      </c>
      <c r="B28">
        <v>14</v>
      </c>
      <c r="C28">
        <f t="shared" si="1"/>
        <v>1</v>
      </c>
      <c r="D28">
        <f t="shared" si="0"/>
        <v>0.50506795299551888</v>
      </c>
      <c r="E28">
        <f>Parameters!$B$257*D28</f>
        <v>6.7174037748404011E-2</v>
      </c>
    </row>
    <row r="29" spans="1:5" x14ac:dyDescent="0.3">
      <c r="A29">
        <v>16</v>
      </c>
      <c r="B29">
        <v>15</v>
      </c>
      <c r="C29">
        <f t="shared" si="1"/>
        <v>1</v>
      </c>
      <c r="D29">
        <f t="shared" si="0"/>
        <v>0.48101709809097021</v>
      </c>
      <c r="E29">
        <f>Parameters!$B$257*D29</f>
        <v>6.397527404609904E-2</v>
      </c>
    </row>
    <row r="30" spans="1:5" x14ac:dyDescent="0.3">
      <c r="A30">
        <v>17</v>
      </c>
      <c r="B30">
        <v>16</v>
      </c>
      <c r="C30">
        <f t="shared" si="1"/>
        <v>1</v>
      </c>
      <c r="D30">
        <f t="shared" si="0"/>
        <v>0.45811152199140021</v>
      </c>
      <c r="E30">
        <f>Parameters!$B$257*D30</f>
        <v>6.0928832424856229E-2</v>
      </c>
    </row>
    <row r="31" spans="1:5" x14ac:dyDescent="0.3">
      <c r="A31">
        <v>18</v>
      </c>
      <c r="B31">
        <v>17</v>
      </c>
      <c r="C31">
        <f t="shared" si="1"/>
        <v>1</v>
      </c>
      <c r="D31">
        <f t="shared" si="0"/>
        <v>0.43629668761085727</v>
      </c>
      <c r="E31">
        <f>Parameters!$B$257*D31</f>
        <v>5.8027459452244023E-2</v>
      </c>
    </row>
    <row r="32" spans="1:5" x14ac:dyDescent="0.3">
      <c r="A32">
        <v>19</v>
      </c>
      <c r="B32">
        <v>18</v>
      </c>
      <c r="C32">
        <f t="shared" si="1"/>
        <v>1</v>
      </c>
      <c r="D32">
        <f t="shared" si="0"/>
        <v>0.41552065486748313</v>
      </c>
      <c r="E32">
        <f>Parameters!$B$257*D32</f>
        <v>5.5264247097375256E-2</v>
      </c>
    </row>
    <row r="33" spans="1:5" x14ac:dyDescent="0.3">
      <c r="A33">
        <v>20</v>
      </c>
      <c r="B33">
        <v>19</v>
      </c>
      <c r="C33">
        <f t="shared" si="1"/>
        <v>1</v>
      </c>
      <c r="D33">
        <f t="shared" si="0"/>
        <v>0.39573395701665059</v>
      </c>
      <c r="E33">
        <f>Parameters!$B$257*D33</f>
        <v>5.2632616283214535E-2</v>
      </c>
    </row>
    <row r="34" spans="1:5" x14ac:dyDescent="0.3">
      <c r="A34">
        <v>21</v>
      </c>
      <c r="B34">
        <v>20</v>
      </c>
      <c r="C34">
        <f t="shared" si="1"/>
        <v>1</v>
      </c>
      <c r="D34">
        <f t="shared" si="0"/>
        <v>0.37688948287300061</v>
      </c>
      <c r="E34">
        <f>Parameters!$B$257*D34</f>
        <v>5.0126301222109086E-2</v>
      </c>
    </row>
    <row r="35" spans="1:5" x14ac:dyDescent="0.3">
      <c r="A35">
        <v>22</v>
      </c>
      <c r="B35">
        <v>21</v>
      </c>
      <c r="C35">
        <f t="shared" si="1"/>
        <v>1</v>
      </c>
      <c r="D35">
        <f t="shared" si="0"/>
        <v>0.35894236464095297</v>
      </c>
      <c r="E35">
        <f>Parameters!$B$257*D35</f>
        <v>4.7739334497246745E-2</v>
      </c>
    </row>
    <row r="36" spans="1:5" x14ac:dyDescent="0.3">
      <c r="A36">
        <v>23</v>
      </c>
      <c r="B36">
        <v>22</v>
      </c>
      <c r="C36">
        <f t="shared" si="1"/>
        <v>1</v>
      </c>
      <c r="D36">
        <f t="shared" si="0"/>
        <v>0.3418498710866219</v>
      </c>
      <c r="E36">
        <f>Parameters!$B$257*D36</f>
        <v>4.5466032854520715E-2</v>
      </c>
    </row>
    <row r="37" spans="1:5" x14ac:dyDescent="0.3">
      <c r="A37">
        <v>24</v>
      </c>
      <c r="B37">
        <v>23</v>
      </c>
      <c r="C37">
        <f t="shared" si="1"/>
        <v>1</v>
      </c>
      <c r="D37">
        <f t="shared" si="0"/>
        <v>0.32557130579678267</v>
      </c>
      <c r="E37">
        <f>Parameters!$B$257*D37</f>
        <v>4.3300983670972099E-2</v>
      </c>
    </row>
    <row r="38" spans="1:5" x14ac:dyDescent="0.3">
      <c r="A38">
        <v>25</v>
      </c>
      <c r="B38">
        <v>24</v>
      </c>
      <c r="C38">
        <f t="shared" si="1"/>
        <v>1</v>
      </c>
      <c r="D38">
        <f t="shared" si="0"/>
        <v>0.31006791028265024</v>
      </c>
      <c r="E38">
        <f>Parameters!$B$257*D38</f>
        <v>4.1239032067592482E-2</v>
      </c>
    </row>
    <row r="39" spans="1:5" x14ac:dyDescent="0.3">
      <c r="A39">
        <v>26</v>
      </c>
      <c r="B39">
        <v>25</v>
      </c>
      <c r="C39">
        <f t="shared" si="1"/>
        <v>1</v>
      </c>
      <c r="D39">
        <f t="shared" si="0"/>
        <v>0.29530277169776209</v>
      </c>
      <c r="E39">
        <f>Parameters!$B$257*D39</f>
        <v>3.9275268635802357E-2</v>
      </c>
    </row>
    <row r="40" spans="1:5" x14ac:dyDescent="0.3">
      <c r="A40">
        <v>27</v>
      </c>
      <c r="B40">
        <v>26</v>
      </c>
      <c r="C40">
        <f t="shared" si="1"/>
        <v>1</v>
      </c>
      <c r="D40">
        <f t="shared" si="0"/>
        <v>0.28124073495024959</v>
      </c>
      <c r="E40">
        <f>Parameters!$B$257*D40</f>
        <v>3.7405017748383201E-2</v>
      </c>
    </row>
    <row r="41" spans="1:5" x14ac:dyDescent="0.3">
      <c r="A41">
        <v>28</v>
      </c>
      <c r="B41">
        <v>27</v>
      </c>
      <c r="C41">
        <f t="shared" si="1"/>
        <v>1</v>
      </c>
      <c r="D41">
        <f t="shared" si="0"/>
        <v>0.2678483190002377</v>
      </c>
      <c r="E41">
        <f>Parameters!$B$257*D41</f>
        <v>3.5623826427031616E-2</v>
      </c>
    </row>
    <row r="42" spans="1:5" x14ac:dyDescent="0.3">
      <c r="A42">
        <v>29</v>
      </c>
      <c r="B42">
        <v>28</v>
      </c>
      <c r="C42">
        <f t="shared" si="1"/>
        <v>1</v>
      </c>
      <c r="D42">
        <f t="shared" si="0"/>
        <v>0.25509363714308358</v>
      </c>
      <c r="E42">
        <f>Parameters!$B$257*D42</f>
        <v>3.3927453740030117E-2</v>
      </c>
    </row>
    <row r="43" spans="1:5" x14ac:dyDescent="0.3">
      <c r="A43">
        <v>30</v>
      </c>
      <c r="B43">
        <v>29</v>
      </c>
      <c r="C43">
        <f t="shared" si="1"/>
        <v>1</v>
      </c>
      <c r="D43">
        <f t="shared" si="0"/>
        <v>0.24294632108865097</v>
      </c>
      <c r="E43">
        <f>Parameters!$B$257*D43</f>
        <v>3.2311860704790578E-2</v>
      </c>
    </row>
    <row r="44" spans="1:5" x14ac:dyDescent="0.3">
      <c r="A44">
        <v>31</v>
      </c>
      <c r="B44">
        <v>30</v>
      </c>
      <c r="C44">
        <v>0</v>
      </c>
      <c r="D44">
        <f t="shared" si="0"/>
        <v>0.23137744865585813</v>
      </c>
      <c r="E44">
        <f>Parameters!$B$257*D44</f>
        <v>3.0773200671229132E-2</v>
      </c>
    </row>
    <row r="45" spans="1:5" x14ac:dyDescent="0.3">
      <c r="A45">
        <v>32</v>
      </c>
      <c r="B45">
        <v>31</v>
      </c>
      <c r="C45">
        <f>B45-B44</f>
        <v>1</v>
      </c>
      <c r="D45">
        <f t="shared" si="0"/>
        <v>0.220359474910341</v>
      </c>
      <c r="E45">
        <f>Parameters!$B$257*D45</f>
        <v>2.9307810163075355E-2</v>
      </c>
    </row>
    <row r="46" spans="1:5" x14ac:dyDescent="0.3">
      <c r="A46">
        <v>33</v>
      </c>
      <c r="B46">
        <v>32</v>
      </c>
      <c r="C46">
        <f t="shared" ref="C46:C79" si="2">B46-B45</f>
        <v>1</v>
      </c>
      <c r="D46">
        <f t="shared" si="0"/>
        <v>0.20986616658127716</v>
      </c>
      <c r="E46">
        <f>Parameters!$B$257*D46</f>
        <v>2.7912200155309864E-2</v>
      </c>
    </row>
    <row r="47" spans="1:5" x14ac:dyDescent="0.3">
      <c r="A47">
        <v>34</v>
      </c>
      <c r="B47">
        <v>33</v>
      </c>
      <c r="C47">
        <f t="shared" si="2"/>
        <v>1</v>
      </c>
      <c r="D47">
        <f t="shared" si="0"/>
        <v>0.19987253960121634</v>
      </c>
      <c r="E47">
        <f>Parameters!$B$257*D47</f>
        <v>2.6583047766961774E-2</v>
      </c>
    </row>
    <row r="48" spans="1:5" x14ac:dyDescent="0.3">
      <c r="A48">
        <v>35</v>
      </c>
      <c r="B48">
        <v>34</v>
      </c>
      <c r="C48">
        <f t="shared" si="2"/>
        <v>1</v>
      </c>
      <c r="D48">
        <f t="shared" si="0"/>
        <v>0.19035479962020604</v>
      </c>
      <c r="E48">
        <f>Parameters!$B$257*D48</f>
        <v>2.5317188349487405E-2</v>
      </c>
    </row>
    <row r="49" spans="1:5" x14ac:dyDescent="0.3">
      <c r="A49">
        <v>36</v>
      </c>
      <c r="B49">
        <v>35</v>
      </c>
      <c r="C49">
        <f t="shared" si="2"/>
        <v>1</v>
      </c>
      <c r="D49">
        <f t="shared" si="0"/>
        <v>0.18129028535257716</v>
      </c>
      <c r="E49">
        <f>Parameters!$B$257*D49</f>
        <v>2.4111607951892763E-2</v>
      </c>
    </row>
    <row r="50" spans="1:5" x14ac:dyDescent="0.3">
      <c r="A50">
        <v>37</v>
      </c>
      <c r="B50">
        <v>36</v>
      </c>
      <c r="C50">
        <f t="shared" si="2"/>
        <v>1</v>
      </c>
      <c r="D50">
        <f t="shared" si="0"/>
        <v>0.17265741462150208</v>
      </c>
      <c r="E50">
        <f>Parameters!$B$257*D50</f>
        <v>2.2963436144659777E-2</v>
      </c>
    </row>
    <row r="51" spans="1:5" x14ac:dyDescent="0.3">
      <c r="A51">
        <v>38</v>
      </c>
      <c r="B51">
        <v>37</v>
      </c>
      <c r="C51">
        <f t="shared" si="2"/>
        <v>1</v>
      </c>
      <c r="D51">
        <f t="shared" si="0"/>
        <v>0.1644356329728591</v>
      </c>
      <c r="E51">
        <f>Parameters!$B$257*D51</f>
        <v>2.186993918539026E-2</v>
      </c>
    </row>
    <row r="52" spans="1:5" x14ac:dyDescent="0.3">
      <c r="A52">
        <v>39</v>
      </c>
      <c r="B52">
        <v>38</v>
      </c>
      <c r="C52">
        <f t="shared" si="2"/>
        <v>1</v>
      </c>
      <c r="D52">
        <f t="shared" si="0"/>
        <v>0.15660536473605632</v>
      </c>
      <c r="E52">
        <f>Parameters!$B$257*D52</f>
        <v>2.0828513509895494E-2</v>
      </c>
    </row>
    <row r="53" spans="1:5" x14ac:dyDescent="0.3">
      <c r="A53">
        <v>40</v>
      </c>
      <c r="B53">
        <v>39</v>
      </c>
      <c r="C53">
        <f t="shared" si="2"/>
        <v>1</v>
      </c>
      <c r="D53">
        <f t="shared" si="0"/>
        <v>0.14914796641529171</v>
      </c>
      <c r="E53">
        <f>Parameters!$B$257*D53</f>
        <v>1.98366795332338E-2</v>
      </c>
    </row>
    <row r="54" spans="1:5" x14ac:dyDescent="0.3">
      <c r="A54">
        <v>41</v>
      </c>
      <c r="B54">
        <v>40</v>
      </c>
      <c r="C54">
        <f t="shared" si="2"/>
        <v>1</v>
      </c>
      <c r="D54">
        <f t="shared" si="0"/>
        <v>0.14204568230027784</v>
      </c>
      <c r="E54">
        <f>Parameters!$B$257*D54</f>
        <v>1.8892075745936952E-2</v>
      </c>
    </row>
    <row r="55" spans="1:5" x14ac:dyDescent="0.3">
      <c r="A55">
        <v>42</v>
      </c>
      <c r="B55">
        <v>41</v>
      </c>
      <c r="C55">
        <f t="shared" si="2"/>
        <v>1</v>
      </c>
      <c r="D55">
        <f t="shared" si="0"/>
        <v>0.13528160219074079</v>
      </c>
      <c r="E55">
        <f>Parameters!$B$257*D55</f>
        <v>1.7992453091368526E-2</v>
      </c>
    </row>
    <row r="56" spans="1:5" x14ac:dyDescent="0.3">
      <c r="A56">
        <v>43</v>
      </c>
      <c r="B56">
        <v>42</v>
      </c>
      <c r="C56">
        <f t="shared" si="2"/>
        <v>1</v>
      </c>
      <c r="D56">
        <f t="shared" si="0"/>
        <v>0.12883962113403885</v>
      </c>
      <c r="E56">
        <f>Parameters!$B$257*D56</f>
        <v>1.7135669610827169E-2</v>
      </c>
    </row>
    <row r="57" spans="1:5" x14ac:dyDescent="0.3">
      <c r="A57">
        <v>44</v>
      </c>
      <c r="B57">
        <v>43</v>
      </c>
      <c r="C57">
        <f t="shared" si="2"/>
        <v>1</v>
      </c>
      <c r="D57">
        <f t="shared" si="0"/>
        <v>0.12270440108003698</v>
      </c>
      <c r="E57">
        <f>Parameters!$B$257*D57</f>
        <v>1.6319685343644919E-2</v>
      </c>
    </row>
    <row r="58" spans="1:5" x14ac:dyDescent="0.3">
      <c r="A58">
        <v>45</v>
      </c>
      <c r="B58">
        <v>44</v>
      </c>
      <c r="C58">
        <f t="shared" si="2"/>
        <v>1</v>
      </c>
      <c r="D58">
        <f t="shared" si="0"/>
        <v>0.11686133436193999</v>
      </c>
      <c r="E58">
        <f>Parameters!$B$257*D58</f>
        <v>1.5542557470138019E-2</v>
      </c>
    </row>
    <row r="59" spans="1:5" x14ac:dyDescent="0.3">
      <c r="A59">
        <v>46</v>
      </c>
      <c r="B59">
        <v>45</v>
      </c>
      <c r="C59">
        <f t="shared" si="2"/>
        <v>1</v>
      </c>
      <c r="D59">
        <f t="shared" si="0"/>
        <v>0.1112965089161333</v>
      </c>
      <c r="E59">
        <f>Parameters!$B$257*D59</f>
        <v>1.4802435685845728E-2</v>
      </c>
    </row>
    <row r="60" spans="1:5" x14ac:dyDescent="0.3">
      <c r="A60">
        <v>47</v>
      </c>
      <c r="B60">
        <v>46</v>
      </c>
      <c r="C60">
        <f t="shared" si="2"/>
        <v>1</v>
      </c>
      <c r="D60">
        <f t="shared" si="0"/>
        <v>0.10599667515822221</v>
      </c>
      <c r="E60">
        <f>Parameters!$B$257*D60</f>
        <v>1.4097557796043554E-2</v>
      </c>
    </row>
    <row r="61" spans="1:5" x14ac:dyDescent="0.3">
      <c r="A61">
        <v>48</v>
      </c>
      <c r="B61">
        <v>47</v>
      </c>
      <c r="C61">
        <f t="shared" si="2"/>
        <v>1</v>
      </c>
      <c r="D61">
        <f t="shared" si="0"/>
        <v>0.10094921443640208</v>
      </c>
      <c r="E61">
        <f>Parameters!$B$257*D61</f>
        <v>1.3426245520041477E-2</v>
      </c>
    </row>
    <row r="62" spans="1:5" x14ac:dyDescent="0.3">
      <c r="A62">
        <v>49</v>
      </c>
      <c r="B62">
        <v>48</v>
      </c>
      <c r="C62">
        <f t="shared" si="2"/>
        <v>1</v>
      </c>
      <c r="D62">
        <f t="shared" si="0"/>
        <v>9.6142108987049613E-2</v>
      </c>
      <c r="E62">
        <f>Parameters!$B$257*D62</f>
        <v>1.2786900495277599E-2</v>
      </c>
    </row>
    <row r="63" spans="1:5" x14ac:dyDescent="0.3">
      <c r="A63">
        <v>50</v>
      </c>
      <c r="B63">
        <v>49</v>
      </c>
      <c r="C63">
        <f t="shared" si="2"/>
        <v>1</v>
      </c>
      <c r="D63">
        <f t="shared" si="0"/>
        <v>9.1563913320999626E-2</v>
      </c>
      <c r="E63">
        <f>Parameters!$B$257*D63</f>
        <v>1.2178000471692952E-2</v>
      </c>
    </row>
    <row r="64" spans="1:5" x14ac:dyDescent="0.3">
      <c r="A64">
        <v>51</v>
      </c>
      <c r="B64">
        <v>50</v>
      </c>
      <c r="C64">
        <f t="shared" si="2"/>
        <v>1</v>
      </c>
      <c r="D64">
        <f t="shared" si="0"/>
        <v>8.7203726972380588E-2</v>
      </c>
      <c r="E64">
        <f>Parameters!$B$257*D64</f>
        <v>1.1598095687326618E-2</v>
      </c>
    </row>
    <row r="65" spans="1:5" x14ac:dyDescent="0.3">
      <c r="A65">
        <v>52</v>
      </c>
      <c r="B65">
        <v>51</v>
      </c>
      <c r="C65">
        <f t="shared" si="2"/>
        <v>1</v>
      </c>
      <c r="D65">
        <f t="shared" si="0"/>
        <v>8.3051168545124371E-2</v>
      </c>
      <c r="E65">
        <f>Parameters!$B$257*D65</f>
        <v>1.1045805416501542E-2</v>
      </c>
    </row>
    <row r="66" spans="1:5" x14ac:dyDescent="0.3">
      <c r="A66">
        <v>53</v>
      </c>
      <c r="B66">
        <v>52</v>
      </c>
      <c r="C66">
        <f t="shared" si="2"/>
        <v>1</v>
      </c>
      <c r="D66">
        <f t="shared" si="0"/>
        <v>7.9096350995356543E-2</v>
      </c>
      <c r="E66">
        <f>Parameters!$B$257*D66</f>
        <v>1.051981468238242E-2</v>
      </c>
    </row>
    <row r="67" spans="1:5" x14ac:dyDescent="0.3">
      <c r="A67">
        <v>54</v>
      </c>
      <c r="B67">
        <v>53</v>
      </c>
      <c r="C67">
        <f t="shared" si="2"/>
        <v>1</v>
      </c>
      <c r="D67">
        <f t="shared" si="0"/>
        <v>7.5329858090815757E-2</v>
      </c>
      <c r="E67">
        <f>Parameters!$B$257*D67</f>
        <v>1.0018871126078497E-2</v>
      </c>
    </row>
    <row r="68" spans="1:5" x14ac:dyDescent="0.3">
      <c r="A68">
        <v>55</v>
      </c>
      <c r="B68">
        <v>54</v>
      </c>
      <c r="C68">
        <f t="shared" si="2"/>
        <v>1</v>
      </c>
      <c r="D68">
        <f t="shared" si="0"/>
        <v>7.1742721991253117E-2</v>
      </c>
      <c r="E68">
        <f>Parameters!$B$257*D68</f>
        <v>9.5417820248366644E-3</v>
      </c>
    </row>
    <row r="69" spans="1:5" x14ac:dyDescent="0.3">
      <c r="A69">
        <v>56</v>
      </c>
      <c r="B69">
        <v>55</v>
      </c>
      <c r="C69">
        <f t="shared" si="2"/>
        <v>1</v>
      </c>
      <c r="D69">
        <f t="shared" si="0"/>
        <v>6.8326401896431521E-2</v>
      </c>
      <c r="E69">
        <f>Parameters!$B$257*D69</f>
        <v>9.0874114522253926E-3</v>
      </c>
    </row>
    <row r="70" spans="1:5" x14ac:dyDescent="0.3">
      <c r="A70">
        <v>57</v>
      </c>
      <c r="B70">
        <v>56</v>
      </c>
      <c r="C70">
        <f t="shared" si="2"/>
        <v>1</v>
      </c>
      <c r="D70">
        <f t="shared" si="0"/>
        <v>6.5072763710887174E-2</v>
      </c>
      <c r="E70">
        <f>Parameters!$B$257*D70</f>
        <v>8.6546775735479951E-3</v>
      </c>
    </row>
    <row r="71" spans="1:5" x14ac:dyDescent="0.3">
      <c r="A71">
        <v>58</v>
      </c>
      <c r="B71">
        <v>57</v>
      </c>
      <c r="C71">
        <f t="shared" si="2"/>
        <v>1</v>
      </c>
      <c r="D71">
        <f t="shared" si="0"/>
        <v>6.1974060677035397E-2</v>
      </c>
      <c r="E71">
        <f>Parameters!$B$257*D71</f>
        <v>8.2425500700457083E-3</v>
      </c>
    </row>
    <row r="72" spans="1:5" x14ac:dyDescent="0.3">
      <c r="A72">
        <v>59</v>
      </c>
      <c r="B72">
        <v>58</v>
      </c>
      <c r="C72">
        <f t="shared" si="2"/>
        <v>1</v>
      </c>
      <c r="D72">
        <f t="shared" si="0"/>
        <v>5.9022914930509894E-2</v>
      </c>
      <c r="E72">
        <f>Parameters!$B$257*D72</f>
        <v>7.8500476857578157E-3</v>
      </c>
    </row>
    <row r="73" spans="1:5" x14ac:dyDescent="0.3">
      <c r="A73">
        <v>60</v>
      </c>
      <c r="B73">
        <v>59</v>
      </c>
      <c r="C73">
        <f t="shared" si="2"/>
        <v>1</v>
      </c>
      <c r="D73">
        <f t="shared" si="0"/>
        <v>5.6212299933818946E-2</v>
      </c>
      <c r="E73">
        <f>Parameters!$B$257*D73</f>
        <v>7.4762358911979205E-3</v>
      </c>
    </row>
    <row r="74" spans="1:5" x14ac:dyDescent="0.3">
      <c r="A74">
        <v>61</v>
      </c>
      <c r="B74">
        <v>60</v>
      </c>
      <c r="C74">
        <f t="shared" si="2"/>
        <v>1</v>
      </c>
      <c r="D74">
        <f t="shared" si="0"/>
        <v>5.3535523746494243E-2</v>
      </c>
      <c r="E74">
        <f>Parameters!$B$257*D74</f>
        <v>7.1202246582837345E-3</v>
      </c>
    </row>
    <row r="75" spans="1:5" x14ac:dyDescent="0.3">
      <c r="A75">
        <v>62</v>
      </c>
      <c r="B75">
        <v>61</v>
      </c>
      <c r="C75">
        <f t="shared" si="2"/>
        <v>1</v>
      </c>
      <c r="D75">
        <f t="shared" si="0"/>
        <v>5.0986213091899268E-2</v>
      </c>
      <c r="E75">
        <f>Parameters!$B$257*D75</f>
        <v>6.7811663412226031E-3</v>
      </c>
    </row>
    <row r="76" spans="1:5" x14ac:dyDescent="0.3">
      <c r="A76">
        <v>63</v>
      </c>
      <c r="B76">
        <v>62</v>
      </c>
      <c r="C76">
        <f t="shared" si="2"/>
        <v>1</v>
      </c>
      <c r="D76">
        <f t="shared" si="0"/>
        <v>4.855829818276123E-2</v>
      </c>
      <c r="E76">
        <f>Parameters!$B$257*D76</f>
        <v>6.4582536583072435E-3</v>
      </c>
    </row>
    <row r="77" spans="1:5" x14ac:dyDescent="0.3">
      <c r="A77">
        <v>64</v>
      </c>
      <c r="B77">
        <v>63</v>
      </c>
      <c r="C77">
        <f t="shared" si="2"/>
        <v>1</v>
      </c>
      <c r="D77">
        <f t="shared" si="0"/>
        <v>4.6245998269296387E-2</v>
      </c>
      <c r="E77">
        <f>Parameters!$B$257*D77</f>
        <v>6.1507177698164198E-3</v>
      </c>
    </row>
    <row r="78" spans="1:5" x14ac:dyDescent="0.3">
      <c r="A78">
        <v>65</v>
      </c>
      <c r="B78">
        <v>64</v>
      </c>
      <c r="C78">
        <f t="shared" si="2"/>
        <v>1</v>
      </c>
      <c r="D78">
        <f t="shared" si="0"/>
        <v>4.4043807875520369E-2</v>
      </c>
      <c r="E78">
        <f>Parameters!$B$257*D78</f>
        <v>5.8578264474442093E-3</v>
      </c>
    </row>
    <row r="79" spans="1:5" x14ac:dyDescent="0.3">
      <c r="A79">
        <v>65.5</v>
      </c>
      <c r="B79">
        <v>65</v>
      </c>
      <c r="C79">
        <f t="shared" si="2"/>
        <v>1</v>
      </c>
      <c r="D79">
        <f t="shared" ref="D79" si="3">1/(1+0.05)^B79</f>
        <v>4.1946483690971779E-2</v>
      </c>
      <c r="E79">
        <f>Parameters!$B$257*D79</f>
        <v>5.5788823308992467E-3</v>
      </c>
    </row>
    <row r="81" spans="3:5" x14ac:dyDescent="0.3">
      <c r="C81">
        <f>SUM(C44:C79)</f>
        <v>35</v>
      </c>
      <c r="D81">
        <f>SUM(D44:D79)</f>
        <v>4.0199967479535825</v>
      </c>
      <c r="E81">
        <f>SUM(E44:E79)</f>
        <v>0.53465956747782661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E86"/>
  <sheetViews>
    <sheetView workbookViewId="0">
      <selection activeCell="E86" sqref="E86"/>
    </sheetView>
  </sheetViews>
  <sheetFormatPr defaultRowHeight="14.4" x14ac:dyDescent="0.3"/>
  <cols>
    <col min="1" max="1" width="36.77734375" bestFit="1" customWidth="1"/>
    <col min="2" max="2" width="37.109375" bestFit="1" customWidth="1"/>
    <col min="3" max="3" width="37.109375" customWidth="1"/>
    <col min="4" max="5" width="11.77734375" bestFit="1" customWidth="1"/>
  </cols>
  <sheetData>
    <row r="1" spans="1:5" x14ac:dyDescent="0.3">
      <c r="A1" s="20" t="s">
        <v>692</v>
      </c>
      <c r="B1" t="s">
        <v>696</v>
      </c>
    </row>
    <row r="3" spans="1:5" x14ac:dyDescent="0.3">
      <c r="A3" t="s">
        <v>695</v>
      </c>
      <c r="B3">
        <v>6.0999999999999999E-2</v>
      </c>
      <c r="C3" t="s">
        <v>704</v>
      </c>
    </row>
    <row r="4" spans="1:5" x14ac:dyDescent="0.3">
      <c r="A4" t="s">
        <v>694</v>
      </c>
      <c r="B4">
        <v>30</v>
      </c>
    </row>
    <row r="5" spans="1:5" x14ac:dyDescent="0.3">
      <c r="A5" t="s">
        <v>693</v>
      </c>
      <c r="B5">
        <v>40.89</v>
      </c>
    </row>
    <row r="6" spans="1:5" x14ac:dyDescent="0.3">
      <c r="A6" t="s">
        <v>708</v>
      </c>
      <c r="B6">
        <f>Average_life_expectancy_at_birth</f>
        <v>65.5</v>
      </c>
    </row>
    <row r="8" spans="1:5" x14ac:dyDescent="0.3">
      <c r="A8" t="s">
        <v>690</v>
      </c>
      <c r="B8">
        <f>E86</f>
        <v>16.285787639013609</v>
      </c>
    </row>
    <row r="9" spans="1:5" x14ac:dyDescent="0.3">
      <c r="A9" t="s">
        <v>691</v>
      </c>
      <c r="B9">
        <f>E45</f>
        <v>0.9846054882718458</v>
      </c>
    </row>
    <row r="10" spans="1:5" x14ac:dyDescent="0.3">
      <c r="A10" s="82" t="s">
        <v>65</v>
      </c>
      <c r="B10" s="82">
        <f>B8+B9</f>
        <v>17.270393127285455</v>
      </c>
      <c r="C10" s="82"/>
    </row>
    <row r="12" spans="1:5" x14ac:dyDescent="0.3">
      <c r="A12" t="s">
        <v>262</v>
      </c>
    </row>
    <row r="13" spans="1:5" x14ac:dyDescent="0.3">
      <c r="A13" s="82" t="s">
        <v>705</v>
      </c>
      <c r="B13" s="82" t="s">
        <v>703</v>
      </c>
      <c r="C13" s="82" t="s">
        <v>706</v>
      </c>
      <c r="D13" s="82" t="s">
        <v>698</v>
      </c>
      <c r="E13" s="82" t="s">
        <v>707</v>
      </c>
    </row>
    <row r="14" spans="1:5" x14ac:dyDescent="0.3">
      <c r="A14">
        <v>1</v>
      </c>
      <c r="B14">
        <v>0</v>
      </c>
      <c r="C14">
        <v>0</v>
      </c>
      <c r="D14">
        <f>1/(1+0.05)^B14</f>
        <v>1</v>
      </c>
      <c r="E14">
        <f>Parameters!$B$258*D14</f>
        <v>6.0999999999999999E-2</v>
      </c>
    </row>
    <row r="15" spans="1:5" x14ac:dyDescent="0.3">
      <c r="A15">
        <v>2</v>
      </c>
      <c r="B15">
        <v>1</v>
      </c>
      <c r="C15">
        <f>B15-B14</f>
        <v>1</v>
      </c>
      <c r="D15">
        <f t="shared" ref="D15:D43" si="0">1/(1+0.05)^B15</f>
        <v>0.95238095238095233</v>
      </c>
      <c r="E15">
        <f>Parameters!$B$258*D15</f>
        <v>5.8095238095238089E-2</v>
      </c>
    </row>
    <row r="16" spans="1:5" x14ac:dyDescent="0.3">
      <c r="A16">
        <v>3</v>
      </c>
      <c r="B16">
        <v>2</v>
      </c>
      <c r="C16">
        <f t="shared" ref="C16:C43" si="1">B16-B15</f>
        <v>1</v>
      </c>
      <c r="D16">
        <f t="shared" si="0"/>
        <v>0.90702947845804982</v>
      </c>
      <c r="E16">
        <f>Parameters!$B$258*D16</f>
        <v>5.5328798185941039E-2</v>
      </c>
    </row>
    <row r="17" spans="1:5" x14ac:dyDescent="0.3">
      <c r="A17">
        <v>4</v>
      </c>
      <c r="B17">
        <v>3</v>
      </c>
      <c r="C17">
        <f t="shared" si="1"/>
        <v>1</v>
      </c>
      <c r="D17">
        <f t="shared" si="0"/>
        <v>0.86383759853147601</v>
      </c>
      <c r="E17">
        <f>Parameters!$B$258*D17</f>
        <v>5.2694093510420037E-2</v>
      </c>
    </row>
    <row r="18" spans="1:5" x14ac:dyDescent="0.3">
      <c r="A18">
        <v>5</v>
      </c>
      <c r="B18">
        <v>4</v>
      </c>
      <c r="C18">
        <f t="shared" si="1"/>
        <v>1</v>
      </c>
      <c r="D18">
        <f t="shared" si="0"/>
        <v>0.82270247479188197</v>
      </c>
      <c r="E18">
        <f>Parameters!$B$258*D18</f>
        <v>5.0184850962304801E-2</v>
      </c>
    </row>
    <row r="19" spans="1:5" x14ac:dyDescent="0.3">
      <c r="A19">
        <v>6</v>
      </c>
      <c r="B19">
        <v>5</v>
      </c>
      <c r="C19">
        <f t="shared" si="1"/>
        <v>1</v>
      </c>
      <c r="D19">
        <f t="shared" si="0"/>
        <v>0.78352616646845896</v>
      </c>
      <c r="E19">
        <f>Parameters!$B$258*D19</f>
        <v>4.7795096154575993E-2</v>
      </c>
    </row>
    <row r="20" spans="1:5" x14ac:dyDescent="0.3">
      <c r="A20">
        <v>7</v>
      </c>
      <c r="B20">
        <v>6</v>
      </c>
      <c r="C20">
        <f t="shared" si="1"/>
        <v>1</v>
      </c>
      <c r="D20">
        <f t="shared" si="0"/>
        <v>0.74621539663662761</v>
      </c>
      <c r="E20">
        <f>Parameters!$B$258*D20</f>
        <v>4.5519139194834281E-2</v>
      </c>
    </row>
    <row r="21" spans="1:5" x14ac:dyDescent="0.3">
      <c r="A21">
        <v>8</v>
      </c>
      <c r="B21">
        <v>7</v>
      </c>
      <c r="C21">
        <f t="shared" si="1"/>
        <v>1</v>
      </c>
      <c r="D21">
        <f t="shared" si="0"/>
        <v>0.71068133013012147</v>
      </c>
      <c r="E21">
        <f>Parameters!$B$258*D21</f>
        <v>4.3351561137937408E-2</v>
      </c>
    </row>
    <row r="22" spans="1:5" x14ac:dyDescent="0.3">
      <c r="A22">
        <v>9</v>
      </c>
      <c r="B22">
        <v>8</v>
      </c>
      <c r="C22">
        <f t="shared" si="1"/>
        <v>1</v>
      </c>
      <c r="D22">
        <f t="shared" si="0"/>
        <v>0.67683936202868722</v>
      </c>
      <c r="E22">
        <f>Parameters!$B$258*D22</f>
        <v>4.1287201083749919E-2</v>
      </c>
    </row>
    <row r="23" spans="1:5" x14ac:dyDescent="0.3">
      <c r="A23">
        <v>10</v>
      </c>
      <c r="B23">
        <v>9</v>
      </c>
      <c r="C23">
        <f t="shared" si="1"/>
        <v>1</v>
      </c>
      <c r="D23">
        <f t="shared" si="0"/>
        <v>0.64460891621779726</v>
      </c>
      <c r="E23">
        <f>Parameters!$B$258*D23</f>
        <v>3.9321143889285634E-2</v>
      </c>
    </row>
    <row r="24" spans="1:5" x14ac:dyDescent="0.3">
      <c r="A24">
        <v>11</v>
      </c>
      <c r="B24">
        <v>10</v>
      </c>
      <c r="C24">
        <f t="shared" si="1"/>
        <v>1</v>
      </c>
      <c r="D24">
        <f t="shared" si="0"/>
        <v>0.61391325354075932</v>
      </c>
      <c r="E24">
        <f>Parameters!$B$258*D24</f>
        <v>3.7448708465986316E-2</v>
      </c>
    </row>
    <row r="25" spans="1:5" x14ac:dyDescent="0.3">
      <c r="A25">
        <v>12</v>
      </c>
      <c r="B25">
        <v>11</v>
      </c>
      <c r="C25">
        <f t="shared" si="1"/>
        <v>1</v>
      </c>
      <c r="D25">
        <f t="shared" si="0"/>
        <v>0.5846792890864374</v>
      </c>
      <c r="E25">
        <f>Parameters!$B$258*D25</f>
        <v>3.5665436634272678E-2</v>
      </c>
    </row>
    <row r="26" spans="1:5" x14ac:dyDescent="0.3">
      <c r="A26">
        <v>13</v>
      </c>
      <c r="B26">
        <v>12</v>
      </c>
      <c r="C26">
        <f t="shared" si="1"/>
        <v>1</v>
      </c>
      <c r="D26">
        <f t="shared" si="0"/>
        <v>0.5568374181775595</v>
      </c>
      <c r="E26">
        <f>Parameters!$B$258*D26</f>
        <v>3.3967082508831126E-2</v>
      </c>
    </row>
    <row r="27" spans="1:5" x14ac:dyDescent="0.3">
      <c r="A27">
        <v>14</v>
      </c>
      <c r="B27">
        <v>13</v>
      </c>
      <c r="C27">
        <f t="shared" si="1"/>
        <v>1</v>
      </c>
      <c r="D27">
        <f t="shared" si="0"/>
        <v>0.53032135064529462</v>
      </c>
      <c r="E27">
        <f>Parameters!$B$258*D27</f>
        <v>3.2349602389362971E-2</v>
      </c>
    </row>
    <row r="28" spans="1:5" x14ac:dyDescent="0.3">
      <c r="A28">
        <v>15</v>
      </c>
      <c r="B28">
        <v>14</v>
      </c>
      <c r="C28">
        <f t="shared" si="1"/>
        <v>1</v>
      </c>
      <c r="D28">
        <f t="shared" si="0"/>
        <v>0.50506795299551888</v>
      </c>
      <c r="E28">
        <f>Parameters!$B$258*D28</f>
        <v>3.0809145132726652E-2</v>
      </c>
    </row>
    <row r="29" spans="1:5" x14ac:dyDescent="0.3">
      <c r="A29">
        <v>16</v>
      </c>
      <c r="B29">
        <v>15</v>
      </c>
      <c r="C29">
        <f t="shared" si="1"/>
        <v>1</v>
      </c>
      <c r="D29">
        <f t="shared" si="0"/>
        <v>0.48101709809097021</v>
      </c>
      <c r="E29">
        <f>Parameters!$B$258*D29</f>
        <v>2.9342042983549182E-2</v>
      </c>
    </row>
    <row r="30" spans="1:5" x14ac:dyDescent="0.3">
      <c r="A30">
        <v>17</v>
      </c>
      <c r="B30">
        <v>16</v>
      </c>
      <c r="C30">
        <f t="shared" si="1"/>
        <v>1</v>
      </c>
      <c r="D30">
        <f t="shared" si="0"/>
        <v>0.45811152199140021</v>
      </c>
      <c r="E30">
        <f>Parameters!$B$258*D30</f>
        <v>2.7944802841475411E-2</v>
      </c>
    </row>
    <row r="31" spans="1:5" x14ac:dyDescent="0.3">
      <c r="A31">
        <v>18</v>
      </c>
      <c r="B31">
        <v>17</v>
      </c>
      <c r="C31">
        <f t="shared" si="1"/>
        <v>1</v>
      </c>
      <c r="D31">
        <f t="shared" si="0"/>
        <v>0.43629668761085727</v>
      </c>
      <c r="E31">
        <f>Parameters!$B$258*D31</f>
        <v>2.6614097944262293E-2</v>
      </c>
    </row>
    <row r="32" spans="1:5" x14ac:dyDescent="0.3">
      <c r="A32">
        <v>19</v>
      </c>
      <c r="B32">
        <v>18</v>
      </c>
      <c r="C32">
        <f t="shared" si="1"/>
        <v>1</v>
      </c>
      <c r="D32">
        <f t="shared" si="0"/>
        <v>0.41552065486748313</v>
      </c>
      <c r="E32">
        <f>Parameters!$B$258*D32</f>
        <v>2.5346759946916469E-2</v>
      </c>
    </row>
    <row r="33" spans="1:5" x14ac:dyDescent="0.3">
      <c r="A33">
        <v>20</v>
      </c>
      <c r="B33">
        <v>19</v>
      </c>
      <c r="C33">
        <f t="shared" si="1"/>
        <v>1</v>
      </c>
      <c r="D33">
        <f t="shared" si="0"/>
        <v>0.39573395701665059</v>
      </c>
      <c r="E33">
        <f>Parameters!$B$258*D33</f>
        <v>2.4139771378015686E-2</v>
      </c>
    </row>
    <row r="34" spans="1:5" x14ac:dyDescent="0.3">
      <c r="A34">
        <v>21</v>
      </c>
      <c r="B34">
        <v>20</v>
      </c>
      <c r="C34">
        <f t="shared" si="1"/>
        <v>1</v>
      </c>
      <c r="D34">
        <f t="shared" si="0"/>
        <v>0.37688948287300061</v>
      </c>
      <c r="E34">
        <f>Parameters!$B$258*D34</f>
        <v>2.2990258455253036E-2</v>
      </c>
    </row>
    <row r="35" spans="1:5" x14ac:dyDescent="0.3">
      <c r="A35">
        <v>22</v>
      </c>
      <c r="B35">
        <v>21</v>
      </c>
      <c r="C35">
        <f t="shared" si="1"/>
        <v>1</v>
      </c>
      <c r="D35">
        <f t="shared" si="0"/>
        <v>0.35894236464095297</v>
      </c>
      <c r="E35">
        <f>Parameters!$B$258*D35</f>
        <v>2.1895484243098132E-2</v>
      </c>
    </row>
    <row r="36" spans="1:5" x14ac:dyDescent="0.3">
      <c r="A36">
        <v>23</v>
      </c>
      <c r="B36">
        <v>22</v>
      </c>
      <c r="C36">
        <f t="shared" si="1"/>
        <v>1</v>
      </c>
      <c r="D36">
        <f t="shared" si="0"/>
        <v>0.3418498710866219</v>
      </c>
      <c r="E36">
        <f>Parameters!$B$258*D36</f>
        <v>2.0852842136283935E-2</v>
      </c>
    </row>
    <row r="37" spans="1:5" x14ac:dyDescent="0.3">
      <c r="A37">
        <v>24</v>
      </c>
      <c r="B37">
        <v>23</v>
      </c>
      <c r="C37">
        <f t="shared" si="1"/>
        <v>1</v>
      </c>
      <c r="D37">
        <f t="shared" si="0"/>
        <v>0.32557130579678267</v>
      </c>
      <c r="E37">
        <f>Parameters!$B$258*D37</f>
        <v>1.9859849653603743E-2</v>
      </c>
    </row>
    <row r="38" spans="1:5" x14ac:dyDescent="0.3">
      <c r="A38">
        <v>25</v>
      </c>
      <c r="B38">
        <v>24</v>
      </c>
      <c r="C38">
        <f t="shared" si="1"/>
        <v>1</v>
      </c>
      <c r="D38">
        <f t="shared" si="0"/>
        <v>0.31006791028265024</v>
      </c>
      <c r="E38">
        <f>Parameters!$B$258*D38</f>
        <v>1.8914142527241665E-2</v>
      </c>
    </row>
    <row r="39" spans="1:5" x14ac:dyDescent="0.3">
      <c r="A39">
        <v>26</v>
      </c>
      <c r="B39">
        <v>25</v>
      </c>
      <c r="C39">
        <f t="shared" si="1"/>
        <v>1</v>
      </c>
      <c r="D39">
        <f t="shared" si="0"/>
        <v>0.29530277169776209</v>
      </c>
      <c r="E39">
        <f>Parameters!$B$258*D39</f>
        <v>1.8013469073563486E-2</v>
      </c>
    </row>
    <row r="40" spans="1:5" x14ac:dyDescent="0.3">
      <c r="A40">
        <v>27</v>
      </c>
      <c r="B40">
        <v>26</v>
      </c>
      <c r="C40">
        <f t="shared" si="1"/>
        <v>1</v>
      </c>
      <c r="D40">
        <f t="shared" si="0"/>
        <v>0.28124073495024959</v>
      </c>
      <c r="E40">
        <f>Parameters!$B$258*D40</f>
        <v>1.7155684831965223E-2</v>
      </c>
    </row>
    <row r="41" spans="1:5" x14ac:dyDescent="0.3">
      <c r="A41">
        <v>28</v>
      </c>
      <c r="B41">
        <v>27</v>
      </c>
      <c r="C41">
        <f t="shared" si="1"/>
        <v>1</v>
      </c>
      <c r="D41">
        <f t="shared" si="0"/>
        <v>0.2678483190002377</v>
      </c>
      <c r="E41">
        <f>Parameters!$B$258*D41</f>
        <v>1.6338747459014501E-2</v>
      </c>
    </row>
    <row r="42" spans="1:5" x14ac:dyDescent="0.3">
      <c r="A42">
        <v>29</v>
      </c>
      <c r="B42">
        <v>28</v>
      </c>
      <c r="C42">
        <f t="shared" si="1"/>
        <v>1</v>
      </c>
      <c r="D42">
        <f t="shared" si="0"/>
        <v>0.25509363714308358</v>
      </c>
      <c r="E42">
        <f>Parameters!$B$258*D42</f>
        <v>1.5560711865728098E-2</v>
      </c>
    </row>
    <row r="43" spans="1:5" x14ac:dyDescent="0.3">
      <c r="A43">
        <v>30</v>
      </c>
      <c r="B43">
        <v>29</v>
      </c>
      <c r="C43">
        <f t="shared" si="1"/>
        <v>1</v>
      </c>
      <c r="D43">
        <f t="shared" si="0"/>
        <v>0.24294632108865097</v>
      </c>
      <c r="E43">
        <f>Parameters!$B$258*D43</f>
        <v>1.4819725586407709E-2</v>
      </c>
    </row>
    <row r="45" spans="1:5" x14ac:dyDescent="0.3">
      <c r="D45">
        <f>SUM(D14:D43)</f>
        <v>16.141073578226983</v>
      </c>
      <c r="E45">
        <f>SUM(E14:E43)</f>
        <v>0.9846054882718458</v>
      </c>
    </row>
    <row r="47" spans="1:5" x14ac:dyDescent="0.3">
      <c r="A47" t="s">
        <v>323</v>
      </c>
    </row>
    <row r="48" spans="1:5" x14ac:dyDescent="0.3">
      <c r="A48" s="82" t="s">
        <v>702</v>
      </c>
      <c r="B48" s="82" t="s">
        <v>703</v>
      </c>
      <c r="C48" s="82" t="s">
        <v>702</v>
      </c>
      <c r="D48" s="82" t="s">
        <v>698</v>
      </c>
      <c r="E48" s="82"/>
    </row>
    <row r="49" spans="1:5" x14ac:dyDescent="0.3">
      <c r="A49">
        <v>31</v>
      </c>
      <c r="B49">
        <v>0</v>
      </c>
      <c r="C49">
        <v>0</v>
      </c>
      <c r="D49">
        <f>1/(1+0.05)^B49</f>
        <v>1</v>
      </c>
      <c r="E49">
        <f>D49*C49</f>
        <v>0</v>
      </c>
    </row>
    <row r="50" spans="1:5" x14ac:dyDescent="0.3">
      <c r="A50">
        <v>32</v>
      </c>
      <c r="B50">
        <v>1</v>
      </c>
      <c r="C50">
        <f>B50-B49</f>
        <v>1</v>
      </c>
      <c r="D50">
        <f>1/(1+0.05)^B50</f>
        <v>0.95238095238095233</v>
      </c>
      <c r="E50">
        <f t="shared" ref="E50:E84" si="2">D50*C50</f>
        <v>0.95238095238095233</v>
      </c>
    </row>
    <row r="51" spans="1:5" x14ac:dyDescent="0.3">
      <c r="A51">
        <v>33</v>
      </c>
      <c r="B51">
        <v>2</v>
      </c>
      <c r="C51">
        <f t="shared" ref="C51:C84" si="3">B51-B50</f>
        <v>1</v>
      </c>
      <c r="D51">
        <f t="shared" ref="D51:D84" si="4">1/(1+0.05)^B51</f>
        <v>0.90702947845804982</v>
      </c>
      <c r="E51">
        <f t="shared" si="2"/>
        <v>0.90702947845804982</v>
      </c>
    </row>
    <row r="52" spans="1:5" x14ac:dyDescent="0.3">
      <c r="A52">
        <v>34</v>
      </c>
      <c r="B52">
        <v>3</v>
      </c>
      <c r="C52">
        <f t="shared" si="3"/>
        <v>1</v>
      </c>
      <c r="D52">
        <f t="shared" si="4"/>
        <v>0.86383759853147601</v>
      </c>
      <c r="E52">
        <f t="shared" si="2"/>
        <v>0.86383759853147601</v>
      </c>
    </row>
    <row r="53" spans="1:5" x14ac:dyDescent="0.3">
      <c r="A53">
        <v>35</v>
      </c>
      <c r="B53">
        <v>4</v>
      </c>
      <c r="C53">
        <f t="shared" si="3"/>
        <v>1</v>
      </c>
      <c r="D53">
        <f t="shared" si="4"/>
        <v>0.82270247479188197</v>
      </c>
      <c r="E53">
        <f t="shared" si="2"/>
        <v>0.82270247479188197</v>
      </c>
    </row>
    <row r="54" spans="1:5" x14ac:dyDescent="0.3">
      <c r="A54">
        <v>36</v>
      </c>
      <c r="B54">
        <v>5</v>
      </c>
      <c r="C54">
        <f t="shared" si="3"/>
        <v>1</v>
      </c>
      <c r="D54">
        <f t="shared" si="4"/>
        <v>0.78352616646845896</v>
      </c>
      <c r="E54">
        <f t="shared" si="2"/>
        <v>0.78352616646845896</v>
      </c>
    </row>
    <row r="55" spans="1:5" x14ac:dyDescent="0.3">
      <c r="A55">
        <v>37</v>
      </c>
      <c r="B55">
        <v>6</v>
      </c>
      <c r="C55">
        <f t="shared" si="3"/>
        <v>1</v>
      </c>
      <c r="D55">
        <f t="shared" si="4"/>
        <v>0.74621539663662761</v>
      </c>
      <c r="E55">
        <f t="shared" si="2"/>
        <v>0.74621539663662761</v>
      </c>
    </row>
    <row r="56" spans="1:5" x14ac:dyDescent="0.3">
      <c r="A56">
        <v>38</v>
      </c>
      <c r="B56">
        <v>7</v>
      </c>
      <c r="C56">
        <f t="shared" si="3"/>
        <v>1</v>
      </c>
      <c r="D56">
        <f t="shared" si="4"/>
        <v>0.71068133013012147</v>
      </c>
      <c r="E56">
        <f t="shared" si="2"/>
        <v>0.71068133013012147</v>
      </c>
    </row>
    <row r="57" spans="1:5" x14ac:dyDescent="0.3">
      <c r="A57">
        <v>39</v>
      </c>
      <c r="B57">
        <v>8</v>
      </c>
      <c r="C57">
        <f t="shared" si="3"/>
        <v>1</v>
      </c>
      <c r="D57">
        <f t="shared" si="4"/>
        <v>0.67683936202868722</v>
      </c>
      <c r="E57">
        <f t="shared" si="2"/>
        <v>0.67683936202868722</v>
      </c>
    </row>
    <row r="58" spans="1:5" x14ac:dyDescent="0.3">
      <c r="A58">
        <v>40</v>
      </c>
      <c r="B58">
        <v>9</v>
      </c>
      <c r="C58">
        <f t="shared" si="3"/>
        <v>1</v>
      </c>
      <c r="D58">
        <f t="shared" si="4"/>
        <v>0.64460891621779726</v>
      </c>
      <c r="E58">
        <f t="shared" si="2"/>
        <v>0.64460891621779726</v>
      </c>
    </row>
    <row r="59" spans="1:5" x14ac:dyDescent="0.3">
      <c r="A59">
        <v>41</v>
      </c>
      <c r="B59">
        <v>10</v>
      </c>
      <c r="C59">
        <f t="shared" si="3"/>
        <v>1</v>
      </c>
      <c r="D59">
        <f t="shared" si="4"/>
        <v>0.61391325354075932</v>
      </c>
      <c r="E59">
        <f t="shared" si="2"/>
        <v>0.61391325354075932</v>
      </c>
    </row>
    <row r="60" spans="1:5" x14ac:dyDescent="0.3">
      <c r="A60">
        <v>42</v>
      </c>
      <c r="B60">
        <v>11</v>
      </c>
      <c r="C60">
        <f t="shared" si="3"/>
        <v>1</v>
      </c>
      <c r="D60">
        <f t="shared" si="4"/>
        <v>0.5846792890864374</v>
      </c>
      <c r="E60">
        <f t="shared" si="2"/>
        <v>0.5846792890864374</v>
      </c>
    </row>
    <row r="61" spans="1:5" x14ac:dyDescent="0.3">
      <c r="A61">
        <v>43</v>
      </c>
      <c r="B61">
        <v>12</v>
      </c>
      <c r="C61">
        <f t="shared" si="3"/>
        <v>1</v>
      </c>
      <c r="D61">
        <f t="shared" si="4"/>
        <v>0.5568374181775595</v>
      </c>
      <c r="E61">
        <f t="shared" si="2"/>
        <v>0.5568374181775595</v>
      </c>
    </row>
    <row r="62" spans="1:5" x14ac:dyDescent="0.3">
      <c r="A62">
        <v>44</v>
      </c>
      <c r="B62">
        <v>13</v>
      </c>
      <c r="C62">
        <f t="shared" si="3"/>
        <v>1</v>
      </c>
      <c r="D62">
        <f t="shared" si="4"/>
        <v>0.53032135064529462</v>
      </c>
      <c r="E62">
        <f t="shared" si="2"/>
        <v>0.53032135064529462</v>
      </c>
    </row>
    <row r="63" spans="1:5" x14ac:dyDescent="0.3">
      <c r="A63">
        <v>45</v>
      </c>
      <c r="B63">
        <v>14</v>
      </c>
      <c r="C63">
        <f t="shared" si="3"/>
        <v>1</v>
      </c>
      <c r="D63">
        <f t="shared" si="4"/>
        <v>0.50506795299551888</v>
      </c>
      <c r="E63">
        <f t="shared" si="2"/>
        <v>0.50506795299551888</v>
      </c>
    </row>
    <row r="64" spans="1:5" x14ac:dyDescent="0.3">
      <c r="A64">
        <v>46</v>
      </c>
      <c r="B64">
        <v>15</v>
      </c>
      <c r="C64">
        <f t="shared" si="3"/>
        <v>1</v>
      </c>
      <c r="D64">
        <f t="shared" si="4"/>
        <v>0.48101709809097021</v>
      </c>
      <c r="E64">
        <f t="shared" si="2"/>
        <v>0.48101709809097021</v>
      </c>
    </row>
    <row r="65" spans="1:5" x14ac:dyDescent="0.3">
      <c r="A65">
        <v>47</v>
      </c>
      <c r="B65">
        <v>16</v>
      </c>
      <c r="C65">
        <f t="shared" si="3"/>
        <v>1</v>
      </c>
      <c r="D65">
        <f t="shared" si="4"/>
        <v>0.45811152199140021</v>
      </c>
      <c r="E65">
        <f t="shared" si="2"/>
        <v>0.45811152199140021</v>
      </c>
    </row>
    <row r="66" spans="1:5" x14ac:dyDescent="0.3">
      <c r="A66">
        <v>48</v>
      </c>
      <c r="B66">
        <v>17</v>
      </c>
      <c r="C66">
        <f t="shared" si="3"/>
        <v>1</v>
      </c>
      <c r="D66">
        <f t="shared" si="4"/>
        <v>0.43629668761085727</v>
      </c>
      <c r="E66">
        <f t="shared" si="2"/>
        <v>0.43629668761085727</v>
      </c>
    </row>
    <row r="67" spans="1:5" x14ac:dyDescent="0.3">
      <c r="A67">
        <v>49</v>
      </c>
      <c r="B67">
        <v>18</v>
      </c>
      <c r="C67">
        <f t="shared" si="3"/>
        <v>1</v>
      </c>
      <c r="D67">
        <f t="shared" si="4"/>
        <v>0.41552065486748313</v>
      </c>
      <c r="E67">
        <f t="shared" si="2"/>
        <v>0.41552065486748313</v>
      </c>
    </row>
    <row r="68" spans="1:5" x14ac:dyDescent="0.3">
      <c r="A68">
        <v>50</v>
      </c>
      <c r="B68">
        <v>19</v>
      </c>
      <c r="C68">
        <f t="shared" si="3"/>
        <v>1</v>
      </c>
      <c r="D68">
        <f t="shared" si="4"/>
        <v>0.39573395701665059</v>
      </c>
      <c r="E68">
        <f t="shared" si="2"/>
        <v>0.39573395701665059</v>
      </c>
    </row>
    <row r="69" spans="1:5" x14ac:dyDescent="0.3">
      <c r="A69">
        <v>51</v>
      </c>
      <c r="B69">
        <v>20</v>
      </c>
      <c r="C69">
        <f t="shared" si="3"/>
        <v>1</v>
      </c>
      <c r="D69">
        <f t="shared" si="4"/>
        <v>0.37688948287300061</v>
      </c>
      <c r="E69">
        <f t="shared" si="2"/>
        <v>0.37688948287300061</v>
      </c>
    </row>
    <row r="70" spans="1:5" x14ac:dyDescent="0.3">
      <c r="A70">
        <v>52</v>
      </c>
      <c r="B70">
        <v>21</v>
      </c>
      <c r="C70">
        <f t="shared" si="3"/>
        <v>1</v>
      </c>
      <c r="D70">
        <f t="shared" si="4"/>
        <v>0.35894236464095297</v>
      </c>
      <c r="E70">
        <f t="shared" si="2"/>
        <v>0.35894236464095297</v>
      </c>
    </row>
    <row r="71" spans="1:5" x14ac:dyDescent="0.3">
      <c r="A71">
        <v>53</v>
      </c>
      <c r="B71">
        <v>22</v>
      </c>
      <c r="C71">
        <f t="shared" si="3"/>
        <v>1</v>
      </c>
      <c r="D71">
        <f t="shared" si="4"/>
        <v>0.3418498710866219</v>
      </c>
      <c r="E71">
        <f t="shared" si="2"/>
        <v>0.3418498710866219</v>
      </c>
    </row>
    <row r="72" spans="1:5" x14ac:dyDescent="0.3">
      <c r="A72">
        <v>54</v>
      </c>
      <c r="B72">
        <v>23</v>
      </c>
      <c r="C72">
        <f t="shared" si="3"/>
        <v>1</v>
      </c>
      <c r="D72">
        <f t="shared" si="4"/>
        <v>0.32557130579678267</v>
      </c>
      <c r="E72">
        <f t="shared" si="2"/>
        <v>0.32557130579678267</v>
      </c>
    </row>
    <row r="73" spans="1:5" x14ac:dyDescent="0.3">
      <c r="A73">
        <v>55</v>
      </c>
      <c r="B73">
        <v>24</v>
      </c>
      <c r="C73">
        <f t="shared" si="3"/>
        <v>1</v>
      </c>
      <c r="D73">
        <f t="shared" si="4"/>
        <v>0.31006791028265024</v>
      </c>
      <c r="E73">
        <f t="shared" si="2"/>
        <v>0.31006791028265024</v>
      </c>
    </row>
    <row r="74" spans="1:5" x14ac:dyDescent="0.3">
      <c r="A74">
        <v>56</v>
      </c>
      <c r="B74">
        <v>25</v>
      </c>
      <c r="C74">
        <f t="shared" si="3"/>
        <v>1</v>
      </c>
      <c r="D74">
        <f t="shared" si="4"/>
        <v>0.29530277169776209</v>
      </c>
      <c r="E74">
        <f t="shared" si="2"/>
        <v>0.29530277169776209</v>
      </c>
    </row>
    <row r="75" spans="1:5" x14ac:dyDescent="0.3">
      <c r="A75">
        <v>57</v>
      </c>
      <c r="B75">
        <v>26</v>
      </c>
      <c r="C75">
        <f t="shared" si="3"/>
        <v>1</v>
      </c>
      <c r="D75">
        <f t="shared" si="4"/>
        <v>0.28124073495024959</v>
      </c>
      <c r="E75">
        <f t="shared" si="2"/>
        <v>0.28124073495024959</v>
      </c>
    </row>
    <row r="76" spans="1:5" x14ac:dyDescent="0.3">
      <c r="A76">
        <v>58</v>
      </c>
      <c r="B76">
        <v>27</v>
      </c>
      <c r="C76">
        <f t="shared" si="3"/>
        <v>1</v>
      </c>
      <c r="D76">
        <f t="shared" si="4"/>
        <v>0.2678483190002377</v>
      </c>
      <c r="E76">
        <f t="shared" si="2"/>
        <v>0.2678483190002377</v>
      </c>
    </row>
    <row r="77" spans="1:5" x14ac:dyDescent="0.3">
      <c r="A77">
        <v>59</v>
      </c>
      <c r="B77">
        <v>28</v>
      </c>
      <c r="C77">
        <f t="shared" si="3"/>
        <v>1</v>
      </c>
      <c r="D77">
        <f t="shared" si="4"/>
        <v>0.25509363714308358</v>
      </c>
      <c r="E77">
        <f t="shared" si="2"/>
        <v>0.25509363714308358</v>
      </c>
    </row>
    <row r="78" spans="1:5" x14ac:dyDescent="0.3">
      <c r="A78">
        <v>60</v>
      </c>
      <c r="B78">
        <v>29</v>
      </c>
      <c r="C78">
        <f t="shared" si="3"/>
        <v>1</v>
      </c>
      <c r="D78">
        <f t="shared" si="4"/>
        <v>0.24294632108865097</v>
      </c>
      <c r="E78">
        <f t="shared" si="2"/>
        <v>0.24294632108865097</v>
      </c>
    </row>
    <row r="79" spans="1:5" x14ac:dyDescent="0.3">
      <c r="A79">
        <v>61</v>
      </c>
      <c r="B79">
        <v>30</v>
      </c>
      <c r="C79">
        <f t="shared" si="3"/>
        <v>1</v>
      </c>
      <c r="D79">
        <f t="shared" si="4"/>
        <v>0.23137744865585813</v>
      </c>
      <c r="E79">
        <f t="shared" si="2"/>
        <v>0.23137744865585813</v>
      </c>
    </row>
    <row r="80" spans="1:5" x14ac:dyDescent="0.3">
      <c r="A80">
        <v>62</v>
      </c>
      <c r="B80">
        <v>31</v>
      </c>
      <c r="C80">
        <f t="shared" si="3"/>
        <v>1</v>
      </c>
      <c r="D80">
        <f t="shared" si="4"/>
        <v>0.220359474910341</v>
      </c>
      <c r="E80">
        <f t="shared" si="2"/>
        <v>0.220359474910341</v>
      </c>
    </row>
    <row r="81" spans="1:5" x14ac:dyDescent="0.3">
      <c r="A81">
        <v>63</v>
      </c>
      <c r="B81">
        <v>32</v>
      </c>
      <c r="C81">
        <f t="shared" si="3"/>
        <v>1</v>
      </c>
      <c r="D81">
        <f t="shared" si="4"/>
        <v>0.20986616658127716</v>
      </c>
      <c r="E81">
        <f t="shared" si="2"/>
        <v>0.20986616658127716</v>
      </c>
    </row>
    <row r="82" spans="1:5" x14ac:dyDescent="0.3">
      <c r="A82">
        <v>64</v>
      </c>
      <c r="B82">
        <v>33</v>
      </c>
      <c r="C82">
        <f t="shared" si="3"/>
        <v>1</v>
      </c>
      <c r="D82">
        <f t="shared" si="4"/>
        <v>0.19987253960121634</v>
      </c>
      <c r="E82">
        <f t="shared" si="2"/>
        <v>0.19987253960121634</v>
      </c>
    </row>
    <row r="83" spans="1:5" x14ac:dyDescent="0.3">
      <c r="A83">
        <v>65</v>
      </c>
      <c r="B83">
        <v>34</v>
      </c>
      <c r="C83">
        <f t="shared" si="3"/>
        <v>1</v>
      </c>
      <c r="D83">
        <f t="shared" si="4"/>
        <v>0.19035479962020604</v>
      </c>
      <c r="E83">
        <f t="shared" si="2"/>
        <v>0.19035479962020604</v>
      </c>
    </row>
    <row r="84" spans="1:5" x14ac:dyDescent="0.3">
      <c r="A84">
        <v>65.5</v>
      </c>
      <c r="B84">
        <v>34.5</v>
      </c>
      <c r="C84">
        <f t="shared" si="3"/>
        <v>0.5</v>
      </c>
      <c r="D84">
        <f t="shared" si="4"/>
        <v>0.18576726283546227</v>
      </c>
      <c r="E84">
        <f t="shared" si="2"/>
        <v>9.2883631417731136E-2</v>
      </c>
    </row>
    <row r="86" spans="1:5" x14ac:dyDescent="0.3">
      <c r="C86">
        <f>SUM(C49:C84)</f>
        <v>34.5</v>
      </c>
      <c r="D86">
        <f>SUM(D49:D84)</f>
        <v>17.378671270431347</v>
      </c>
      <c r="E86">
        <f>SUM(E49:E84)</f>
        <v>16.285787639013609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I104"/>
  <sheetViews>
    <sheetView topLeftCell="A13" workbookViewId="0">
      <selection activeCell="B43" sqref="B43"/>
    </sheetView>
  </sheetViews>
  <sheetFormatPr defaultRowHeight="14.4" x14ac:dyDescent="0.3"/>
  <cols>
    <col min="1" max="1" width="25.21875" bestFit="1" customWidth="1"/>
    <col min="2" max="2" width="10.77734375" bestFit="1" customWidth="1"/>
    <col min="3" max="3" width="17.44140625" bestFit="1" customWidth="1"/>
    <col min="4" max="4" width="18.77734375" customWidth="1"/>
    <col min="6" max="6" width="16.21875" bestFit="1" customWidth="1"/>
    <col min="7" max="7" width="10.77734375" bestFit="1" customWidth="1"/>
    <col min="8" max="8" width="12.44140625" bestFit="1" customWidth="1"/>
    <col min="9" max="9" width="12.88671875" bestFit="1" customWidth="1"/>
  </cols>
  <sheetData>
    <row r="1" spans="1:9" x14ac:dyDescent="0.3">
      <c r="A1" s="19" t="s">
        <v>43</v>
      </c>
      <c r="B1" s="19"/>
      <c r="C1" s="19"/>
    </row>
    <row r="3" spans="1:9" x14ac:dyDescent="0.3">
      <c r="A3" s="67" t="s">
        <v>353</v>
      </c>
      <c r="B3" s="67"/>
      <c r="C3" s="67" t="s">
        <v>354</v>
      </c>
      <c r="D3" s="67" t="s">
        <v>32</v>
      </c>
    </row>
    <row r="5" spans="1:9" x14ac:dyDescent="0.3">
      <c r="A5" t="s">
        <v>202</v>
      </c>
      <c r="B5" s="88">
        <f>'Parameter Values'!C19</f>
        <v>0.83099999999999996</v>
      </c>
      <c r="C5" s="22" t="str">
        <f>Demographics!C15</f>
        <v>69-106%</v>
      </c>
      <c r="D5" s="22" t="str">
        <f>Demographics!D15</f>
        <v>Health barometer 2020 (data error for upper limit - assume 100%)</v>
      </c>
    </row>
    <row r="6" spans="1:9" x14ac:dyDescent="0.3">
      <c r="A6" t="s">
        <v>23</v>
      </c>
      <c r="B6" s="88">
        <f>100%-B5</f>
        <v>0.16900000000000004</v>
      </c>
      <c r="C6" t="s">
        <v>355</v>
      </c>
    </row>
    <row r="7" spans="1:9" x14ac:dyDescent="0.3">
      <c r="B7" s="88"/>
    </row>
    <row r="8" spans="1:9" x14ac:dyDescent="0.3">
      <c r="A8" s="20" t="s">
        <v>366</v>
      </c>
      <c r="B8" s="177"/>
      <c r="C8" s="67" t="s">
        <v>354</v>
      </c>
      <c r="D8" s="67" t="s">
        <v>32</v>
      </c>
      <c r="E8" s="20"/>
      <c r="F8" s="20" t="s">
        <v>367</v>
      </c>
      <c r="G8" s="20"/>
      <c r="H8" s="67" t="s">
        <v>354</v>
      </c>
      <c r="I8" s="67" t="s">
        <v>32</v>
      </c>
    </row>
    <row r="9" spans="1:9" x14ac:dyDescent="0.3">
      <c r="A9" t="s">
        <v>363</v>
      </c>
      <c r="B9" s="88">
        <f>1-B10</f>
        <v>1.6422999999999965E-2</v>
      </c>
      <c r="C9" t="s">
        <v>375</v>
      </c>
      <c r="D9" t="s">
        <v>362</v>
      </c>
      <c r="F9" t="s">
        <v>361</v>
      </c>
      <c r="G9" s="40">
        <f>B15/B20</f>
        <v>3.1562974203338388E-2</v>
      </c>
      <c r="H9" t="s">
        <v>377</v>
      </c>
      <c r="I9" t="s">
        <v>362</v>
      </c>
    </row>
    <row r="10" spans="1:9" x14ac:dyDescent="0.3">
      <c r="A10" t="s">
        <v>364</v>
      </c>
      <c r="B10" s="88">
        <f>'Parameter Values'!C20</f>
        <v>0.98357700000000003</v>
      </c>
      <c r="C10" t="s">
        <v>376</v>
      </c>
      <c r="D10" t="s">
        <v>362</v>
      </c>
      <c r="F10" t="s">
        <v>365</v>
      </c>
      <c r="G10" s="40">
        <f>'Parameter Values'!C21</f>
        <v>0.96843702579666158</v>
      </c>
      <c r="H10" t="s">
        <v>378</v>
      </c>
      <c r="I10" t="s">
        <v>362</v>
      </c>
    </row>
    <row r="11" spans="1:9" x14ac:dyDescent="0.3">
      <c r="B11" s="22"/>
    </row>
    <row r="12" spans="1:9" x14ac:dyDescent="0.3">
      <c r="A12" s="82" t="s">
        <v>383</v>
      </c>
      <c r="B12" s="22"/>
      <c r="G12" s="77"/>
      <c r="H12" s="22"/>
    </row>
    <row r="13" spans="1:9" x14ac:dyDescent="0.3">
      <c r="A13" t="s">
        <v>387</v>
      </c>
      <c r="B13" s="77">
        <f>13+13+405</f>
        <v>431</v>
      </c>
      <c r="G13" s="77"/>
      <c r="H13" s="22"/>
    </row>
    <row r="14" spans="1:9" x14ac:dyDescent="0.3">
      <c r="A14" t="s">
        <v>3</v>
      </c>
      <c r="B14" s="77">
        <f>32+16+487</f>
        <v>535</v>
      </c>
      <c r="C14" s="77"/>
      <c r="G14" s="77"/>
      <c r="H14" s="22"/>
    </row>
    <row r="15" spans="1:9" x14ac:dyDescent="0.3">
      <c r="A15" t="s">
        <v>390</v>
      </c>
      <c r="B15" s="77">
        <f>B14-B13</f>
        <v>104</v>
      </c>
      <c r="C15" s="77"/>
      <c r="G15" s="77"/>
      <c r="H15" s="22"/>
    </row>
    <row r="16" spans="1:9" x14ac:dyDescent="0.3">
      <c r="A16" t="s">
        <v>388</v>
      </c>
      <c r="B16" s="77">
        <f>5799+3647+16367</f>
        <v>25813</v>
      </c>
      <c r="G16" s="77"/>
      <c r="H16" s="22"/>
    </row>
    <row r="17" spans="1:9" x14ac:dyDescent="0.3">
      <c r="A17" t="s">
        <v>389</v>
      </c>
      <c r="B17" s="77">
        <f>7510+4093+17401</f>
        <v>29004</v>
      </c>
      <c r="G17" s="77"/>
      <c r="H17" s="22"/>
    </row>
    <row r="18" spans="1:9" x14ac:dyDescent="0.3">
      <c r="A18" t="s">
        <v>391</v>
      </c>
      <c r="B18" s="77">
        <f>B17-B16</f>
        <v>3191</v>
      </c>
      <c r="G18" s="22"/>
      <c r="H18" s="22"/>
    </row>
    <row r="19" spans="1:9" x14ac:dyDescent="0.3">
      <c r="A19" t="s">
        <v>202</v>
      </c>
      <c r="B19" s="77">
        <f>B13+B16</f>
        <v>26244</v>
      </c>
      <c r="G19" s="22"/>
      <c r="H19" s="22"/>
    </row>
    <row r="20" spans="1:9" x14ac:dyDescent="0.3">
      <c r="A20" t="s">
        <v>23</v>
      </c>
      <c r="B20" s="77">
        <f>B15+B18</f>
        <v>3295</v>
      </c>
      <c r="G20" s="22"/>
      <c r="H20" s="22"/>
    </row>
    <row r="21" spans="1:9" x14ac:dyDescent="0.3">
      <c r="B21" s="22"/>
      <c r="G21" s="22"/>
      <c r="H21" s="22"/>
    </row>
    <row r="22" spans="1:9" x14ac:dyDescent="0.3">
      <c r="A22" t="s">
        <v>379</v>
      </c>
      <c r="B22" s="40">
        <v>1.84E-2</v>
      </c>
      <c r="C22" t="s">
        <v>359</v>
      </c>
      <c r="D22" t="s">
        <v>358</v>
      </c>
    </row>
    <row r="23" spans="1:9" x14ac:dyDescent="0.3">
      <c r="A23" t="s">
        <v>380</v>
      </c>
      <c r="B23" s="40">
        <f>100%-B22</f>
        <v>0.98160000000000003</v>
      </c>
      <c r="C23" t="s">
        <v>355</v>
      </c>
    </row>
    <row r="24" spans="1:9" x14ac:dyDescent="0.3">
      <c r="B24" s="22"/>
    </row>
    <row r="25" spans="1:9" x14ac:dyDescent="0.3">
      <c r="A25" s="20" t="s">
        <v>366</v>
      </c>
      <c r="B25" s="20"/>
      <c r="C25" s="67" t="s">
        <v>354</v>
      </c>
      <c r="D25" s="67" t="s">
        <v>32</v>
      </c>
      <c r="E25" s="20"/>
      <c r="F25" s="20" t="s">
        <v>367</v>
      </c>
      <c r="G25" s="20"/>
      <c r="H25" s="67" t="s">
        <v>354</v>
      </c>
      <c r="I25" s="67" t="s">
        <v>32</v>
      </c>
    </row>
    <row r="26" spans="1:9" x14ac:dyDescent="0.3">
      <c r="A26" t="s">
        <v>394</v>
      </c>
      <c r="B26">
        <f>B30/B36</f>
        <v>0.17481773997569866</v>
      </c>
      <c r="C26" t="s">
        <v>397</v>
      </c>
      <c r="D26" t="s">
        <v>362</v>
      </c>
      <c r="F26" t="s">
        <v>394</v>
      </c>
      <c r="G26">
        <f>B32/B37</f>
        <v>0.1733800350262697</v>
      </c>
      <c r="H26" t="s">
        <v>395</v>
      </c>
      <c r="I26" t="s">
        <v>362</v>
      </c>
    </row>
    <row r="27" spans="1:9" x14ac:dyDescent="0.3">
      <c r="A27" t="s">
        <v>11</v>
      </c>
      <c r="B27">
        <f>'Parameter Values'!C22</f>
        <v>0.82518226002430128</v>
      </c>
      <c r="C27" t="s">
        <v>398</v>
      </c>
      <c r="D27" t="s">
        <v>362</v>
      </c>
      <c r="F27" t="s">
        <v>11</v>
      </c>
      <c r="G27">
        <f>'Parameter Values'!C23</f>
        <v>0.82661996497373025</v>
      </c>
      <c r="H27" t="s">
        <v>396</v>
      </c>
      <c r="I27" t="s">
        <v>362</v>
      </c>
    </row>
    <row r="29" spans="1:9" x14ac:dyDescent="0.3">
      <c r="A29" s="82" t="s">
        <v>383</v>
      </c>
    </row>
    <row r="30" spans="1:9" x14ac:dyDescent="0.3">
      <c r="A30" t="s">
        <v>381</v>
      </c>
      <c r="B30">
        <f>15+38+4551</f>
        <v>4604</v>
      </c>
    </row>
    <row r="31" spans="1:9" x14ac:dyDescent="0.3">
      <c r="A31" t="s">
        <v>382</v>
      </c>
      <c r="B31">
        <f>26+47+5125</f>
        <v>5198</v>
      </c>
    </row>
    <row r="32" spans="1:9" x14ac:dyDescent="0.3">
      <c r="A32" t="s">
        <v>392</v>
      </c>
      <c r="B32">
        <f>B31-B30</f>
        <v>594</v>
      </c>
    </row>
    <row r="33" spans="1:9" x14ac:dyDescent="0.3">
      <c r="A33" t="s">
        <v>384</v>
      </c>
      <c r="B33">
        <f>5798+3616+12318</f>
        <v>21732</v>
      </c>
    </row>
    <row r="34" spans="1:9" x14ac:dyDescent="0.3">
      <c r="A34" t="s">
        <v>11</v>
      </c>
      <c r="B34">
        <f>7517+4058+12989</f>
        <v>24564</v>
      </c>
    </row>
    <row r="35" spans="1:9" x14ac:dyDescent="0.3">
      <c r="A35" t="s">
        <v>393</v>
      </c>
      <c r="B35">
        <f>B34-B33</f>
        <v>2832</v>
      </c>
    </row>
    <row r="36" spans="1:9" x14ac:dyDescent="0.3">
      <c r="A36" t="s">
        <v>202</v>
      </c>
      <c r="B36">
        <f>B30+B33</f>
        <v>26336</v>
      </c>
    </row>
    <row r="37" spans="1:9" x14ac:dyDescent="0.3">
      <c r="A37" t="s">
        <v>23</v>
      </c>
      <c r="B37">
        <f>B32+B35</f>
        <v>3426</v>
      </c>
    </row>
    <row r="39" spans="1:9" x14ac:dyDescent="0.3">
      <c r="A39" t="s">
        <v>385</v>
      </c>
      <c r="B39" s="22">
        <v>0.111</v>
      </c>
      <c r="C39" t="s">
        <v>356</v>
      </c>
      <c r="D39" t="s">
        <v>357</v>
      </c>
    </row>
    <row r="40" spans="1:9" x14ac:dyDescent="0.3">
      <c r="A40" t="s">
        <v>386</v>
      </c>
      <c r="B40" s="22">
        <f>100%-B39</f>
        <v>0.88900000000000001</v>
      </c>
      <c r="C40" t="s">
        <v>355</v>
      </c>
    </row>
    <row r="42" spans="1:9" x14ac:dyDescent="0.3">
      <c r="A42" s="20" t="s">
        <v>382</v>
      </c>
      <c r="B42" s="20"/>
      <c r="C42" s="67" t="s">
        <v>354</v>
      </c>
      <c r="D42" s="67" t="s">
        <v>32</v>
      </c>
      <c r="E42" s="20"/>
      <c r="F42" s="20" t="s">
        <v>11</v>
      </c>
      <c r="G42" s="20"/>
      <c r="H42" s="67" t="s">
        <v>354</v>
      </c>
      <c r="I42" s="67" t="s">
        <v>32</v>
      </c>
    </row>
    <row r="43" spans="1:9" x14ac:dyDescent="0.3">
      <c r="A43" t="s">
        <v>8</v>
      </c>
      <c r="B43" s="40">
        <f>'Parameter Values'!C24</f>
        <v>0.68135593220338986</v>
      </c>
      <c r="C43" t="s">
        <v>403</v>
      </c>
      <c r="D43" t="s">
        <v>406</v>
      </c>
      <c r="F43" t="s">
        <v>8</v>
      </c>
      <c r="G43">
        <f>'Parameter Values'!C25</f>
        <v>0.34769230769230769</v>
      </c>
      <c r="H43" t="s">
        <v>404</v>
      </c>
      <c r="I43" t="s">
        <v>406</v>
      </c>
    </row>
    <row r="44" spans="1:9" x14ac:dyDescent="0.3">
      <c r="A44" t="s">
        <v>372</v>
      </c>
      <c r="B44" s="40">
        <f>1-B43</f>
        <v>0.31864406779661014</v>
      </c>
      <c r="C44" t="s">
        <v>688</v>
      </c>
      <c r="F44" t="s">
        <v>372</v>
      </c>
      <c r="G44" s="40">
        <f>1-G43</f>
        <v>0.65230769230769226</v>
      </c>
      <c r="H44" t="s">
        <v>405</v>
      </c>
      <c r="I44" t="s">
        <v>406</v>
      </c>
    </row>
    <row r="46" spans="1:9" x14ac:dyDescent="0.3">
      <c r="A46" s="82" t="s">
        <v>407</v>
      </c>
    </row>
    <row r="47" spans="1:9" x14ac:dyDescent="0.3">
      <c r="A47" t="s">
        <v>10</v>
      </c>
      <c r="B47">
        <v>295</v>
      </c>
    </row>
    <row r="48" spans="1:9" x14ac:dyDescent="0.3">
      <c r="A48" t="s">
        <v>11</v>
      </c>
      <c r="B48">
        <v>650</v>
      </c>
    </row>
    <row r="49" spans="1:9" x14ac:dyDescent="0.3">
      <c r="A49" t="s">
        <v>399</v>
      </c>
      <c r="B49">
        <v>201</v>
      </c>
    </row>
    <row r="50" spans="1:9" x14ac:dyDescent="0.3">
      <c r="A50" t="s">
        <v>400</v>
      </c>
      <c r="B50">
        <v>226</v>
      </c>
    </row>
    <row r="51" spans="1:9" x14ac:dyDescent="0.3">
      <c r="A51" t="s">
        <v>401</v>
      </c>
      <c r="B51">
        <f>B47-B50</f>
        <v>69</v>
      </c>
    </row>
    <row r="52" spans="1:9" x14ac:dyDescent="0.3">
      <c r="A52" t="s">
        <v>402</v>
      </c>
      <c r="B52">
        <f>B48-B50</f>
        <v>424</v>
      </c>
    </row>
    <row r="54" spans="1:9" x14ac:dyDescent="0.3">
      <c r="A54" s="20" t="s">
        <v>8</v>
      </c>
      <c r="B54" s="20"/>
      <c r="C54" s="67" t="s">
        <v>354</v>
      </c>
      <c r="D54" s="67" t="s">
        <v>32</v>
      </c>
      <c r="E54" s="20"/>
      <c r="F54" s="20" t="s">
        <v>372</v>
      </c>
      <c r="G54" s="20"/>
      <c r="H54" s="67" t="s">
        <v>354</v>
      </c>
      <c r="I54" s="67" t="s">
        <v>32</v>
      </c>
    </row>
    <row r="55" spans="1:9" x14ac:dyDescent="0.3">
      <c r="A55" t="s">
        <v>360</v>
      </c>
      <c r="B55">
        <f>'Parameter Values'!C26</f>
        <v>0.44409547738693467</v>
      </c>
      <c r="C55" t="s">
        <v>420</v>
      </c>
      <c r="D55" t="s">
        <v>424</v>
      </c>
      <c r="F55" t="s">
        <v>360</v>
      </c>
      <c r="G55">
        <v>0</v>
      </c>
      <c r="H55">
        <v>0</v>
      </c>
      <c r="I55" t="s">
        <v>424</v>
      </c>
    </row>
    <row r="56" spans="1:9" x14ac:dyDescent="0.3">
      <c r="A56" t="s">
        <v>415</v>
      </c>
      <c r="B56">
        <f>1-B55</f>
        <v>0.55590452261306533</v>
      </c>
      <c r="C56" t="s">
        <v>421</v>
      </c>
      <c r="D56" t="s">
        <v>424</v>
      </c>
      <c r="F56" t="s">
        <v>415</v>
      </c>
      <c r="G56">
        <v>1</v>
      </c>
      <c r="H56">
        <v>1949</v>
      </c>
      <c r="I56" t="s">
        <v>424</v>
      </c>
    </row>
    <row r="58" spans="1:9" x14ac:dyDescent="0.3">
      <c r="A58" s="20" t="s">
        <v>8</v>
      </c>
      <c r="B58" s="20"/>
      <c r="C58" s="67" t="s">
        <v>354</v>
      </c>
      <c r="D58" s="67" t="s">
        <v>32</v>
      </c>
      <c r="E58" s="20"/>
      <c r="F58" s="20" t="s">
        <v>372</v>
      </c>
      <c r="G58" s="20"/>
      <c r="H58" s="67" t="s">
        <v>354</v>
      </c>
      <c r="I58" s="67" t="s">
        <v>32</v>
      </c>
    </row>
    <row r="59" spans="1:9" x14ac:dyDescent="0.3">
      <c r="A59" t="s">
        <v>410</v>
      </c>
      <c r="B59">
        <v>1</v>
      </c>
      <c r="C59">
        <v>2610</v>
      </c>
      <c r="D59" t="s">
        <v>424</v>
      </c>
      <c r="F59" t="s">
        <v>410</v>
      </c>
      <c r="G59">
        <f>1-G60</f>
        <v>0.18995639845107781</v>
      </c>
      <c r="H59">
        <v>6230</v>
      </c>
      <c r="I59" t="s">
        <v>424</v>
      </c>
    </row>
    <row r="60" spans="1:9" x14ac:dyDescent="0.3">
      <c r="A60" t="s">
        <v>416</v>
      </c>
      <c r="B60">
        <v>0</v>
      </c>
      <c r="C60">
        <v>0</v>
      </c>
      <c r="D60" t="s">
        <v>424</v>
      </c>
      <c r="F60" t="s">
        <v>416</v>
      </c>
      <c r="G60">
        <f>'Parameter Values'!C27</f>
        <v>0.81004360154892219</v>
      </c>
      <c r="H60" s="75">
        <v>26567</v>
      </c>
      <c r="I60" t="s">
        <v>424</v>
      </c>
    </row>
    <row r="62" spans="1:9" x14ac:dyDescent="0.3">
      <c r="A62" s="82" t="s">
        <v>423</v>
      </c>
    </row>
    <row r="63" spans="1:9" x14ac:dyDescent="0.3">
      <c r="A63" t="s">
        <v>411</v>
      </c>
      <c r="B63">
        <f>1949+885+707</f>
        <v>3541</v>
      </c>
    </row>
    <row r="64" spans="1:9" x14ac:dyDescent="0.3">
      <c r="A64" t="s">
        <v>412</v>
      </c>
      <c r="B64">
        <f>26567+6230+2610</f>
        <v>35407</v>
      </c>
    </row>
    <row r="65" spans="1:9" x14ac:dyDescent="0.3">
      <c r="A65" t="s">
        <v>413</v>
      </c>
      <c r="B65">
        <f>707+885+2610</f>
        <v>4202</v>
      </c>
    </row>
    <row r="66" spans="1:9" x14ac:dyDescent="0.3">
      <c r="A66" t="s">
        <v>414</v>
      </c>
      <c r="B66">
        <f>6230+26567+1949</f>
        <v>34746</v>
      </c>
    </row>
    <row r="67" spans="1:9" x14ac:dyDescent="0.3">
      <c r="A67" t="s">
        <v>418</v>
      </c>
      <c r="B67">
        <f>1949+26567+885</f>
        <v>29401</v>
      </c>
    </row>
    <row r="68" spans="1:9" x14ac:dyDescent="0.3">
      <c r="A68" t="s">
        <v>417</v>
      </c>
      <c r="B68">
        <f>2610+707+6230</f>
        <v>9547</v>
      </c>
    </row>
    <row r="69" spans="1:9" x14ac:dyDescent="0.3">
      <c r="A69" t="s">
        <v>419</v>
      </c>
      <c r="B69">
        <f>707+885</f>
        <v>1592</v>
      </c>
    </row>
    <row r="70" spans="1:9" x14ac:dyDescent="0.3">
      <c r="A70" t="s">
        <v>422</v>
      </c>
      <c r="B70">
        <f>26567+6230</f>
        <v>32797</v>
      </c>
    </row>
    <row r="72" spans="1:9" x14ac:dyDescent="0.3">
      <c r="A72" s="20" t="s">
        <v>164</v>
      </c>
      <c r="B72" s="20"/>
      <c r="C72" s="67" t="s">
        <v>354</v>
      </c>
      <c r="D72" s="67" t="s">
        <v>32</v>
      </c>
      <c r="E72" s="20"/>
      <c r="F72" s="20" t="s">
        <v>425</v>
      </c>
      <c r="G72" s="20"/>
      <c r="H72" s="67" t="s">
        <v>354</v>
      </c>
      <c r="I72" s="67" t="s">
        <v>32</v>
      </c>
    </row>
    <row r="73" spans="1:9" x14ac:dyDescent="0.3">
      <c r="C73" t="s">
        <v>429</v>
      </c>
      <c r="H73" t="s">
        <v>429</v>
      </c>
    </row>
    <row r="74" spans="1:9" x14ac:dyDescent="0.3">
      <c r="A74" t="s">
        <v>426</v>
      </c>
      <c r="B74">
        <f>'Parameter Values'!C28</f>
        <v>8.4066666666666665E-2</v>
      </c>
      <c r="C74" s="40">
        <f>AVERAGE(106.5,70.2,75.5)</f>
        <v>84.066666666666663</v>
      </c>
      <c r="D74" t="s">
        <v>424</v>
      </c>
      <c r="F74" t="s">
        <v>427</v>
      </c>
      <c r="G74">
        <f>'Parameter Values'!C30</f>
        <v>3.5174999999999998E-2</v>
      </c>
      <c r="H74" s="40">
        <f>AVERAGE(23.5,64.2,53,0)</f>
        <v>35.174999999999997</v>
      </c>
      <c r="I74" t="s">
        <v>424</v>
      </c>
    </row>
    <row r="75" spans="1:9" x14ac:dyDescent="0.3">
      <c r="A75" t="s">
        <v>430</v>
      </c>
      <c r="B75">
        <f>1-B74</f>
        <v>0.91593333333333338</v>
      </c>
      <c r="C75" s="40" t="s">
        <v>355</v>
      </c>
      <c r="D75" t="s">
        <v>424</v>
      </c>
      <c r="F75" t="s">
        <v>430</v>
      </c>
      <c r="G75">
        <f>1-G74</f>
        <v>0.96482500000000004</v>
      </c>
      <c r="H75" s="40" t="s">
        <v>355</v>
      </c>
      <c r="I75" t="s">
        <v>424</v>
      </c>
    </row>
    <row r="76" spans="1:9" x14ac:dyDescent="0.3">
      <c r="C76" s="40"/>
      <c r="H76" s="40"/>
    </row>
    <row r="77" spans="1:9" x14ac:dyDescent="0.3">
      <c r="A77" t="s">
        <v>428</v>
      </c>
      <c r="B77">
        <f>'Parameter Values'!C29</f>
        <v>1.3200000000000002E-2</v>
      </c>
      <c r="C77">
        <f>AVERAGE(17.6,11.9,10.1)</f>
        <v>13.200000000000001</v>
      </c>
      <c r="D77" t="s">
        <v>424</v>
      </c>
      <c r="F77" t="s">
        <v>428</v>
      </c>
      <c r="G77">
        <f>'Parameter Values'!C31</f>
        <v>6.2333333333333338E-3</v>
      </c>
      <c r="H77" s="40">
        <f>AVERAGE(7.9,8.4,2.4)</f>
        <v>6.2333333333333334</v>
      </c>
      <c r="I77" t="s">
        <v>424</v>
      </c>
    </row>
    <row r="78" spans="1:9" x14ac:dyDescent="0.3">
      <c r="A78" t="s">
        <v>431</v>
      </c>
      <c r="B78">
        <f>1-B77</f>
        <v>0.98680000000000001</v>
      </c>
      <c r="C78" t="s">
        <v>355</v>
      </c>
      <c r="D78" t="s">
        <v>424</v>
      </c>
      <c r="F78" t="s">
        <v>431</v>
      </c>
      <c r="G78">
        <f>1-G77</f>
        <v>0.99376666666666669</v>
      </c>
      <c r="H78" t="s">
        <v>355</v>
      </c>
      <c r="I78" t="s">
        <v>424</v>
      </c>
    </row>
    <row r="80" spans="1:9" x14ac:dyDescent="0.3">
      <c r="A80" s="20" t="s">
        <v>10</v>
      </c>
      <c r="B80" s="20"/>
      <c r="C80" s="67" t="s">
        <v>354</v>
      </c>
      <c r="D80" s="67" t="s">
        <v>32</v>
      </c>
      <c r="E80" s="20"/>
      <c r="F80" s="20" t="s">
        <v>11</v>
      </c>
      <c r="G80" s="20"/>
      <c r="H80" s="67" t="s">
        <v>354</v>
      </c>
      <c r="I80" s="67" t="s">
        <v>32</v>
      </c>
    </row>
    <row r="81" spans="1:9" x14ac:dyDescent="0.3">
      <c r="A81" t="s">
        <v>9</v>
      </c>
      <c r="B81" s="40">
        <f>'Parameter Values'!C32</f>
        <v>0.45</v>
      </c>
      <c r="C81" t="s">
        <v>436</v>
      </c>
      <c r="D81" t="s">
        <v>439</v>
      </c>
      <c r="F81" t="s">
        <v>9</v>
      </c>
      <c r="G81">
        <v>0</v>
      </c>
    </row>
    <row r="82" spans="1:9" x14ac:dyDescent="0.3">
      <c r="A82" t="s">
        <v>203</v>
      </c>
      <c r="B82" s="40">
        <f>1-B81</f>
        <v>0.55000000000000004</v>
      </c>
      <c r="C82" t="s">
        <v>355</v>
      </c>
      <c r="F82" t="s">
        <v>203</v>
      </c>
      <c r="G82">
        <v>1</v>
      </c>
      <c r="H82" t="s">
        <v>438</v>
      </c>
      <c r="I82" t="s">
        <v>437</v>
      </c>
    </row>
    <row r="84" spans="1:9" x14ac:dyDescent="0.3">
      <c r="A84" s="82" t="s">
        <v>440</v>
      </c>
    </row>
    <row r="85" spans="1:9" x14ac:dyDescent="0.3">
      <c r="A85" t="s">
        <v>432</v>
      </c>
      <c r="B85" s="21">
        <v>0.8</v>
      </c>
    </row>
    <row r="86" spans="1:9" x14ac:dyDescent="0.3">
      <c r="A86" t="s">
        <v>433</v>
      </c>
      <c r="B86" s="21">
        <v>0.7</v>
      </c>
    </row>
    <row r="87" spans="1:9" x14ac:dyDescent="0.3">
      <c r="A87" t="s">
        <v>434</v>
      </c>
      <c r="B87" s="21">
        <v>0.25</v>
      </c>
    </row>
    <row r="88" spans="1:9" x14ac:dyDescent="0.3">
      <c r="A88" t="s">
        <v>435</v>
      </c>
      <c r="B88" s="21">
        <v>0.05</v>
      </c>
    </row>
    <row r="90" spans="1:9" x14ac:dyDescent="0.3">
      <c r="A90" s="20" t="s">
        <v>409</v>
      </c>
      <c r="B90" s="20"/>
      <c r="C90" s="67" t="s">
        <v>354</v>
      </c>
      <c r="D90" s="67" t="s">
        <v>32</v>
      </c>
      <c r="E90" s="20"/>
      <c r="F90" s="20" t="s">
        <v>408</v>
      </c>
      <c r="G90" s="20"/>
      <c r="H90" s="67" t="s">
        <v>354</v>
      </c>
      <c r="I90" s="67" t="s">
        <v>32</v>
      </c>
    </row>
    <row r="91" spans="1:9" x14ac:dyDescent="0.3">
      <c r="A91" t="s">
        <v>161</v>
      </c>
      <c r="B91" s="40">
        <f>'Parameter Values'!C33</f>
        <v>0.2155</v>
      </c>
      <c r="C91" t="s">
        <v>444</v>
      </c>
      <c r="D91" t="s">
        <v>445</v>
      </c>
      <c r="F91" t="s">
        <v>161</v>
      </c>
      <c r="G91">
        <f>'Parameter Values'!C34</f>
        <v>0.26</v>
      </c>
      <c r="H91" t="s">
        <v>442</v>
      </c>
      <c r="I91" t="s">
        <v>443</v>
      </c>
    </row>
    <row r="92" spans="1:9" x14ac:dyDescent="0.3">
      <c r="A92" t="s">
        <v>441</v>
      </c>
      <c r="B92" s="40">
        <f>1-B91</f>
        <v>0.78449999999999998</v>
      </c>
      <c r="C92" t="s">
        <v>355</v>
      </c>
      <c r="F92" t="s">
        <v>441</v>
      </c>
      <c r="G92">
        <f>1-G91</f>
        <v>0.74</v>
      </c>
      <c r="H92" t="s">
        <v>355</v>
      </c>
    </row>
    <row r="93" spans="1:9" x14ac:dyDescent="0.3">
      <c r="B93" s="40"/>
    </row>
    <row r="94" spans="1:9" x14ac:dyDescent="0.3">
      <c r="A94" s="20" t="s">
        <v>653</v>
      </c>
      <c r="B94" s="20"/>
      <c r="C94" s="67" t="s">
        <v>354</v>
      </c>
      <c r="D94" s="67" t="s">
        <v>32</v>
      </c>
      <c r="E94" s="67"/>
      <c r="F94" s="67" t="s">
        <v>654</v>
      </c>
      <c r="G94" s="67"/>
      <c r="H94" s="67" t="s">
        <v>354</v>
      </c>
      <c r="I94" s="67" t="s">
        <v>32</v>
      </c>
    </row>
    <row r="95" spans="1:9" x14ac:dyDescent="0.3">
      <c r="A95" t="s">
        <v>161</v>
      </c>
      <c r="B95" s="40">
        <f>'Parameter Values'!C35</f>
        <v>0.15</v>
      </c>
      <c r="C95" t="s">
        <v>657</v>
      </c>
      <c r="D95" t="s">
        <v>658</v>
      </c>
      <c r="F95" t="s">
        <v>161</v>
      </c>
      <c r="G95">
        <v>0</v>
      </c>
      <c r="H95" t="s">
        <v>655</v>
      </c>
      <c r="I95" t="s">
        <v>656</v>
      </c>
    </row>
    <row r="96" spans="1:9" x14ac:dyDescent="0.3">
      <c r="A96" t="s">
        <v>371</v>
      </c>
      <c r="B96" s="40">
        <f>1-B95</f>
        <v>0.85</v>
      </c>
      <c r="F96" t="s">
        <v>371</v>
      </c>
      <c r="G96">
        <v>1</v>
      </c>
    </row>
    <row r="98" spans="1:9" x14ac:dyDescent="0.3">
      <c r="A98" s="20" t="s">
        <v>9</v>
      </c>
      <c r="B98" s="20"/>
      <c r="C98" s="67" t="s">
        <v>354</v>
      </c>
      <c r="D98" s="67" t="s">
        <v>32</v>
      </c>
      <c r="E98" s="20"/>
      <c r="F98" s="20" t="s">
        <v>203</v>
      </c>
      <c r="G98" s="20"/>
      <c r="H98" s="67" t="s">
        <v>354</v>
      </c>
      <c r="I98" s="67" t="s">
        <v>32</v>
      </c>
    </row>
    <row r="99" spans="1:9" x14ac:dyDescent="0.3">
      <c r="A99" t="s">
        <v>368</v>
      </c>
      <c r="B99">
        <f>'Parameter Values'!C36</f>
        <v>0.36099999999999999</v>
      </c>
      <c r="C99" t="s">
        <v>447</v>
      </c>
      <c r="D99" t="s">
        <v>448</v>
      </c>
      <c r="F99" t="s">
        <v>368</v>
      </c>
      <c r="G99">
        <v>0</v>
      </c>
    </row>
    <row r="100" spans="1:9" x14ac:dyDescent="0.3">
      <c r="A100" t="s">
        <v>446</v>
      </c>
      <c r="B100">
        <f>1-B99</f>
        <v>0.63900000000000001</v>
      </c>
      <c r="C100" t="s">
        <v>355</v>
      </c>
      <c r="F100" t="s">
        <v>446</v>
      </c>
      <c r="G100">
        <v>1</v>
      </c>
    </row>
    <row r="102" spans="1:9" x14ac:dyDescent="0.3">
      <c r="A102" s="20" t="s">
        <v>161</v>
      </c>
      <c r="B102" s="20"/>
      <c r="C102" s="67" t="s">
        <v>354</v>
      </c>
      <c r="D102" s="67" t="s">
        <v>32</v>
      </c>
      <c r="E102" s="20"/>
      <c r="F102" s="20" t="s">
        <v>371</v>
      </c>
      <c r="G102" s="20"/>
      <c r="H102" s="67" t="s">
        <v>354</v>
      </c>
      <c r="I102" s="67" t="s">
        <v>32</v>
      </c>
    </row>
    <row r="103" spans="1:9" x14ac:dyDescent="0.3">
      <c r="A103" t="s">
        <v>450</v>
      </c>
      <c r="B103">
        <f>'Parameter Values'!C37</f>
        <v>5.1333333333333335E-2</v>
      </c>
      <c r="C103" t="s">
        <v>449</v>
      </c>
      <c r="D103" t="s">
        <v>453</v>
      </c>
      <c r="F103" t="s">
        <v>450</v>
      </c>
      <c r="G103">
        <f>'Parameter Values'!C38</f>
        <v>3.3085576536761752E-2</v>
      </c>
      <c r="H103" t="s">
        <v>452</v>
      </c>
      <c r="I103" t="s">
        <v>453</v>
      </c>
    </row>
    <row r="104" spans="1:9" x14ac:dyDescent="0.3">
      <c r="A104" t="s">
        <v>451</v>
      </c>
      <c r="B104">
        <f>1-B103</f>
        <v>0.94866666666666666</v>
      </c>
      <c r="C104" t="s">
        <v>355</v>
      </c>
      <c r="F104" t="s">
        <v>451</v>
      </c>
      <c r="G104">
        <f>1-G103</f>
        <v>0.9669144234632383</v>
      </c>
      <c r="H104" t="s">
        <v>355</v>
      </c>
    </row>
  </sheetData>
  <phoneticPr fontId="1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C2:P25"/>
  <sheetViews>
    <sheetView workbookViewId="0">
      <selection activeCell="H29" sqref="H29"/>
    </sheetView>
  </sheetViews>
  <sheetFormatPr defaultRowHeight="14.4" x14ac:dyDescent="0.3"/>
  <sheetData>
    <row r="2" spans="3:16" x14ac:dyDescent="0.3">
      <c r="E2" s="1" t="s">
        <v>0</v>
      </c>
      <c r="F2" s="2" t="s">
        <v>42</v>
      </c>
    </row>
    <row r="3" spans="3:16" x14ac:dyDescent="0.3">
      <c r="P3" s="4" t="s">
        <v>24</v>
      </c>
    </row>
    <row r="4" spans="3:16" x14ac:dyDescent="0.3">
      <c r="N4" s="2" t="s">
        <v>22</v>
      </c>
    </row>
    <row r="5" spans="3:16" x14ac:dyDescent="0.3">
      <c r="E5" s="2"/>
      <c r="F5" s="2"/>
      <c r="G5" s="2"/>
      <c r="H5" s="2"/>
      <c r="I5" s="2"/>
      <c r="J5" s="2"/>
      <c r="L5" s="2"/>
      <c r="M5" s="2"/>
      <c r="N5" s="2"/>
    </row>
    <row r="6" spans="3:16" x14ac:dyDescent="0.3">
      <c r="C6" s="3"/>
      <c r="D6" s="2"/>
      <c r="E6" s="2"/>
      <c r="F6" s="2"/>
      <c r="G6" s="2"/>
      <c r="H6" s="2"/>
      <c r="I6" s="2"/>
      <c r="J6" s="2"/>
      <c r="K6" s="2"/>
      <c r="L6" s="2"/>
      <c r="M6" s="2"/>
      <c r="N6" s="2"/>
    </row>
    <row r="7" spans="3:16" x14ac:dyDescent="0.3">
      <c r="C7" s="3"/>
      <c r="D7" s="2"/>
      <c r="E7" s="2"/>
      <c r="F7" s="2"/>
      <c r="G7" s="2"/>
      <c r="H7" s="2"/>
      <c r="I7" s="2"/>
      <c r="J7" s="2"/>
      <c r="K7" s="2" t="s">
        <v>20</v>
      </c>
      <c r="L7" s="2"/>
      <c r="M7" s="2"/>
      <c r="N7" s="2"/>
    </row>
    <row r="8" spans="3:16" x14ac:dyDescent="0.3">
      <c r="C8" s="3"/>
      <c r="D8" s="7" t="s">
        <v>4</v>
      </c>
      <c r="E8" s="2"/>
      <c r="F8" s="2"/>
      <c r="G8" s="2"/>
      <c r="H8" s="2"/>
      <c r="I8" s="2"/>
      <c r="J8" s="2"/>
      <c r="L8" s="2"/>
      <c r="M8" s="2"/>
      <c r="N8" s="2"/>
    </row>
    <row r="9" spans="3:16" x14ac:dyDescent="0.3">
      <c r="C9" s="3"/>
      <c r="D9" s="2"/>
      <c r="E9" s="2"/>
      <c r="F9" s="2"/>
      <c r="G9" s="2"/>
      <c r="H9" s="2"/>
      <c r="I9" s="2"/>
      <c r="J9" s="2"/>
      <c r="K9" s="2"/>
      <c r="L9" s="2"/>
      <c r="M9" s="2"/>
      <c r="N9" s="2" t="s">
        <v>23</v>
      </c>
      <c r="P9" s="4" t="s">
        <v>24</v>
      </c>
    </row>
    <row r="10" spans="3:16" x14ac:dyDescent="0.3">
      <c r="C10" s="3"/>
      <c r="D10" s="2"/>
      <c r="E10" s="2"/>
      <c r="F10" s="2"/>
      <c r="G10" s="2"/>
      <c r="H10" s="2"/>
      <c r="I10" s="2"/>
      <c r="J10" s="2"/>
      <c r="K10" s="2"/>
      <c r="L10" s="2"/>
      <c r="M10" s="2"/>
      <c r="N10" s="2"/>
    </row>
    <row r="11" spans="3:16" x14ac:dyDescent="0.3">
      <c r="C11" s="3"/>
      <c r="D11" s="2"/>
      <c r="E11" s="2"/>
      <c r="F11" s="2"/>
      <c r="G11" s="2"/>
      <c r="H11" s="2"/>
      <c r="I11" s="2"/>
      <c r="J11" s="2"/>
      <c r="K11" s="2"/>
      <c r="L11" s="2"/>
      <c r="M11" s="2"/>
      <c r="N11" s="2" t="s">
        <v>22</v>
      </c>
      <c r="P11" s="4" t="s">
        <v>24</v>
      </c>
    </row>
    <row r="12" spans="3:16" x14ac:dyDescent="0.3">
      <c r="C12" s="3"/>
      <c r="D12" s="2"/>
      <c r="E12" s="2"/>
      <c r="F12" s="2"/>
      <c r="G12" s="2"/>
      <c r="H12" s="2"/>
      <c r="I12" s="2"/>
      <c r="J12" s="2"/>
      <c r="K12" s="2"/>
      <c r="L12" s="2"/>
      <c r="M12" s="2"/>
      <c r="N12" s="2"/>
    </row>
    <row r="13" spans="3:16" x14ac:dyDescent="0.3">
      <c r="C13" s="3"/>
      <c r="D13" s="2"/>
      <c r="E13" s="2"/>
      <c r="F13" s="2"/>
      <c r="G13" s="2"/>
      <c r="H13" s="2"/>
      <c r="I13" s="2"/>
      <c r="J13" s="2"/>
      <c r="K13" s="2" t="s">
        <v>21</v>
      </c>
      <c r="L13" s="2"/>
      <c r="M13" s="2"/>
      <c r="N13" s="2"/>
    </row>
    <row r="14" spans="3:16" x14ac:dyDescent="0.3">
      <c r="C14" s="3"/>
      <c r="D14" s="2"/>
      <c r="E14" s="2"/>
      <c r="F14" s="2"/>
      <c r="G14" s="2"/>
      <c r="H14" s="2"/>
      <c r="I14" s="2"/>
      <c r="J14" s="2"/>
      <c r="K14" s="2"/>
      <c r="L14" s="2"/>
      <c r="M14" s="2"/>
      <c r="N14" s="2"/>
    </row>
    <row r="15" spans="3:16" x14ac:dyDescent="0.3">
      <c r="C15" s="3"/>
      <c r="D15" s="2"/>
      <c r="E15" s="2"/>
      <c r="F15" s="2"/>
      <c r="G15" s="2"/>
      <c r="H15" s="2"/>
      <c r="I15" s="2"/>
      <c r="J15" s="2"/>
      <c r="K15" s="2"/>
      <c r="L15" s="2"/>
      <c r="M15" s="2"/>
      <c r="N15" s="2"/>
    </row>
    <row r="16" spans="3:16" x14ac:dyDescent="0.3">
      <c r="C16" s="3"/>
      <c r="D16" s="2"/>
      <c r="E16" s="2"/>
      <c r="F16" s="2"/>
      <c r="G16" s="2"/>
      <c r="H16" s="2"/>
      <c r="I16" s="2"/>
      <c r="J16" s="2"/>
      <c r="K16" s="2"/>
      <c r="L16" s="2"/>
      <c r="M16" s="2"/>
      <c r="N16" s="2" t="s">
        <v>23</v>
      </c>
      <c r="P16" s="4" t="s">
        <v>24</v>
      </c>
    </row>
    <row r="17" spans="3:16" x14ac:dyDescent="0.3">
      <c r="C17" s="3"/>
      <c r="D17" s="2"/>
      <c r="E17" s="2"/>
      <c r="F17" s="2"/>
      <c r="G17" s="2"/>
      <c r="H17" s="2"/>
      <c r="I17" s="2"/>
      <c r="J17" s="2"/>
      <c r="K17" s="2"/>
      <c r="L17" s="2"/>
      <c r="M17" s="2"/>
      <c r="N17" s="2"/>
    </row>
    <row r="18" spans="3:16" x14ac:dyDescent="0.3">
      <c r="C18" s="3"/>
      <c r="D18" s="2"/>
      <c r="E18" s="2"/>
      <c r="F18" s="2"/>
      <c r="G18" s="2"/>
      <c r="H18" s="2"/>
      <c r="I18" s="2"/>
      <c r="J18" s="2"/>
      <c r="K18" s="2"/>
      <c r="L18" s="2"/>
      <c r="M18" s="2"/>
      <c r="N18" s="2"/>
    </row>
    <row r="19" spans="3:16" x14ac:dyDescent="0.3">
      <c r="C19" s="3"/>
      <c r="D19" s="2"/>
      <c r="E19" s="2"/>
      <c r="F19" s="2"/>
      <c r="G19" s="2"/>
      <c r="H19" s="2"/>
      <c r="I19" s="2"/>
      <c r="J19" s="2"/>
      <c r="K19" s="2"/>
      <c r="L19" s="2"/>
      <c r="M19" s="2"/>
      <c r="N19" s="2" t="s">
        <v>22</v>
      </c>
      <c r="P19" s="4" t="s">
        <v>24</v>
      </c>
    </row>
    <row r="20" spans="3:16" x14ac:dyDescent="0.3">
      <c r="C20" s="3"/>
      <c r="D20" s="2"/>
      <c r="E20" s="2"/>
      <c r="F20" s="2"/>
      <c r="G20" s="2"/>
      <c r="H20" s="2"/>
      <c r="I20" s="2"/>
      <c r="J20" s="2"/>
      <c r="K20" s="2"/>
      <c r="L20" s="2"/>
      <c r="M20" s="2"/>
      <c r="N20" s="2"/>
    </row>
    <row r="21" spans="3:16" x14ac:dyDescent="0.3">
      <c r="C21" s="3"/>
      <c r="D21" s="2"/>
      <c r="E21" s="2"/>
      <c r="F21" s="2"/>
      <c r="G21" s="2"/>
      <c r="H21" s="2"/>
      <c r="I21" s="2"/>
      <c r="J21" s="2"/>
      <c r="K21" s="2"/>
      <c r="L21" s="2"/>
      <c r="M21" s="2"/>
      <c r="N21" s="2"/>
    </row>
    <row r="22" spans="3:16" x14ac:dyDescent="0.3">
      <c r="C22" s="3"/>
      <c r="D22" s="2"/>
      <c r="E22" s="2"/>
      <c r="F22" s="2"/>
      <c r="G22" s="2"/>
      <c r="H22" s="2"/>
      <c r="I22" s="2"/>
      <c r="J22" s="2"/>
      <c r="K22" s="2"/>
      <c r="L22" s="2"/>
      <c r="M22" s="2"/>
      <c r="N22" s="2"/>
    </row>
    <row r="23" spans="3:16" x14ac:dyDescent="0.3">
      <c r="C23" s="3"/>
      <c r="D23" s="7" t="s">
        <v>5</v>
      </c>
      <c r="E23" s="2"/>
      <c r="F23" s="2"/>
      <c r="G23" s="2"/>
      <c r="H23" s="2"/>
      <c r="I23" s="2"/>
      <c r="J23" s="2"/>
      <c r="K23" s="2"/>
      <c r="L23" s="2"/>
      <c r="M23" s="2"/>
      <c r="N23" s="2"/>
    </row>
    <row r="24" spans="3:16" x14ac:dyDescent="0.3">
      <c r="C24" s="3"/>
      <c r="D24" s="2"/>
      <c r="E24" s="2"/>
      <c r="F24" s="2"/>
      <c r="G24" s="2"/>
      <c r="H24" s="2"/>
      <c r="I24" s="2"/>
      <c r="J24" s="2"/>
      <c r="K24" s="2"/>
      <c r="L24" s="2"/>
      <c r="M24" s="2"/>
      <c r="N24" s="2" t="s">
        <v>23</v>
      </c>
      <c r="P24" s="4" t="s">
        <v>24</v>
      </c>
    </row>
    <row r="25" spans="3:16" x14ac:dyDescent="0.3">
      <c r="C25" s="3"/>
      <c r="D25" s="2"/>
      <c r="E25" s="2"/>
      <c r="F25" s="2"/>
      <c r="G25" s="2"/>
      <c r="H25" s="2"/>
      <c r="I25" s="2"/>
      <c r="J25" s="2"/>
      <c r="K25" s="2"/>
      <c r="L25" s="2"/>
      <c r="M25" s="2"/>
      <c r="N25" s="2"/>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2:H27"/>
  <sheetViews>
    <sheetView workbookViewId="0">
      <selection activeCell="K18" sqref="K18"/>
    </sheetView>
  </sheetViews>
  <sheetFormatPr defaultRowHeight="14.4" x14ac:dyDescent="0.3"/>
  <sheetData>
    <row r="2" spans="1:8" x14ac:dyDescent="0.3">
      <c r="E2" s="1" t="s">
        <v>25</v>
      </c>
      <c r="F2" s="17" t="s">
        <v>38</v>
      </c>
    </row>
    <row r="3" spans="1:8" x14ac:dyDescent="0.3">
      <c r="B3" s="3"/>
      <c r="C3" s="2"/>
      <c r="D3" s="2"/>
      <c r="E3" s="2"/>
      <c r="F3" s="2"/>
      <c r="G3" s="2"/>
    </row>
    <row r="4" spans="1:8" x14ac:dyDescent="0.3">
      <c r="A4" s="8"/>
      <c r="B4" s="8"/>
      <c r="C4" s="8"/>
      <c r="E4" s="2"/>
      <c r="F4" s="2"/>
      <c r="G4" s="2"/>
    </row>
    <row r="5" spans="1:8" x14ac:dyDescent="0.3">
      <c r="A5" s="8"/>
      <c r="B5" s="8"/>
      <c r="C5" s="8"/>
      <c r="D5" s="18" t="s">
        <v>24</v>
      </c>
      <c r="E5" s="11"/>
      <c r="F5" s="11"/>
      <c r="G5" s="11"/>
      <c r="H5" s="4" t="s">
        <v>34</v>
      </c>
    </row>
    <row r="6" spans="1:8" x14ac:dyDescent="0.3">
      <c r="A6" s="8"/>
      <c r="B6" s="9" t="s">
        <v>22</v>
      </c>
      <c r="C6" s="8"/>
      <c r="D6" s="8"/>
      <c r="E6" s="11"/>
      <c r="F6" s="13" t="s">
        <v>10</v>
      </c>
      <c r="G6" s="11"/>
      <c r="H6" s="11"/>
    </row>
    <row r="7" spans="1:8" x14ac:dyDescent="0.3">
      <c r="A7" s="8"/>
      <c r="B7" s="9"/>
      <c r="C7" s="8"/>
      <c r="D7" s="8"/>
      <c r="E7" s="11"/>
      <c r="F7" s="13"/>
      <c r="G7" s="11"/>
      <c r="H7" s="11"/>
    </row>
    <row r="8" spans="1:8" x14ac:dyDescent="0.3">
      <c r="A8" s="8"/>
      <c r="B8" s="9"/>
      <c r="C8" s="8"/>
      <c r="D8" s="8"/>
      <c r="E8" s="11"/>
      <c r="F8" s="13"/>
      <c r="G8" s="11"/>
      <c r="H8" s="11"/>
    </row>
    <row r="9" spans="1:8" x14ac:dyDescent="0.3">
      <c r="A9" s="8"/>
      <c r="B9" s="9"/>
      <c r="C9" s="8"/>
      <c r="D9" s="8"/>
      <c r="E9" s="11"/>
      <c r="F9" s="13"/>
      <c r="G9" s="11"/>
      <c r="H9" s="11"/>
    </row>
    <row r="10" spans="1:8" x14ac:dyDescent="0.3">
      <c r="A10" s="8"/>
      <c r="B10" s="9"/>
      <c r="C10" s="8"/>
      <c r="D10" s="8"/>
      <c r="E10" s="11"/>
      <c r="F10" s="13"/>
      <c r="G10" s="11"/>
      <c r="H10" s="11"/>
    </row>
    <row r="11" spans="1:8" x14ac:dyDescent="0.3">
      <c r="A11" s="8"/>
      <c r="B11" s="9" t="s">
        <v>23</v>
      </c>
      <c r="C11" s="8"/>
      <c r="D11" s="18" t="s">
        <v>24</v>
      </c>
      <c r="E11" s="11"/>
      <c r="F11" s="13" t="s">
        <v>11</v>
      </c>
      <c r="G11" s="11"/>
      <c r="H11" s="12"/>
    </row>
    <row r="12" spans="1:8" x14ac:dyDescent="0.3">
      <c r="A12" s="8"/>
      <c r="B12" s="9"/>
      <c r="C12" s="8"/>
      <c r="D12" s="8"/>
      <c r="E12" s="11"/>
      <c r="F12" s="13"/>
      <c r="G12" s="11"/>
      <c r="H12" s="11"/>
    </row>
    <row r="13" spans="1:8" x14ac:dyDescent="0.3">
      <c r="A13" s="8"/>
      <c r="B13" s="9" t="s">
        <v>22</v>
      </c>
      <c r="C13" s="8"/>
      <c r="D13" s="18" t="s">
        <v>24</v>
      </c>
      <c r="E13" s="2"/>
      <c r="F13" s="2"/>
      <c r="G13" s="2"/>
    </row>
    <row r="14" spans="1:8" x14ac:dyDescent="0.3">
      <c r="A14" s="8"/>
      <c r="B14" s="9"/>
      <c r="C14" s="8"/>
      <c r="D14" s="8"/>
      <c r="E14" s="2"/>
      <c r="F14" s="2"/>
      <c r="G14" s="2"/>
    </row>
    <row r="15" spans="1:8" x14ac:dyDescent="0.3">
      <c r="A15" s="8"/>
      <c r="B15" s="9"/>
      <c r="C15" s="8"/>
      <c r="D15" s="8"/>
      <c r="E15" s="2"/>
      <c r="F15" s="2"/>
      <c r="G15" s="2"/>
    </row>
    <row r="16" spans="1:8" x14ac:dyDescent="0.3">
      <c r="A16" s="8"/>
      <c r="B16" s="9"/>
      <c r="C16" s="8"/>
      <c r="D16" s="8"/>
      <c r="E16" s="2"/>
      <c r="F16" s="2"/>
      <c r="G16" s="2"/>
    </row>
    <row r="17" spans="1:7" x14ac:dyDescent="0.3">
      <c r="A17" s="8"/>
      <c r="B17" s="9"/>
      <c r="C17" s="8"/>
      <c r="D17" s="8"/>
      <c r="E17" s="2"/>
      <c r="F17" s="2"/>
      <c r="G17" s="2"/>
    </row>
    <row r="18" spans="1:7" x14ac:dyDescent="0.3">
      <c r="A18" s="8"/>
      <c r="B18" s="9" t="s">
        <v>23</v>
      </c>
      <c r="C18" s="8"/>
      <c r="D18" s="18" t="s">
        <v>24</v>
      </c>
      <c r="E18" s="2"/>
      <c r="F18" s="2"/>
      <c r="G18" s="2"/>
    </row>
    <row r="19" spans="1:7" x14ac:dyDescent="0.3">
      <c r="A19" s="8"/>
      <c r="B19" s="9"/>
      <c r="C19" s="8"/>
      <c r="D19" s="8"/>
      <c r="E19" s="2"/>
      <c r="F19" s="2"/>
      <c r="G19" s="2"/>
    </row>
    <row r="20" spans="1:7" x14ac:dyDescent="0.3">
      <c r="A20" s="8"/>
      <c r="B20" s="9"/>
      <c r="C20" s="8"/>
      <c r="D20" s="8"/>
      <c r="E20" s="2"/>
      <c r="F20" s="2"/>
      <c r="G20" s="2"/>
    </row>
    <row r="21" spans="1:7" x14ac:dyDescent="0.3">
      <c r="A21" s="8"/>
      <c r="B21" s="9" t="s">
        <v>22</v>
      </c>
      <c r="C21" s="8"/>
      <c r="D21" s="18" t="s">
        <v>24</v>
      </c>
      <c r="E21" s="2"/>
      <c r="F21" s="2"/>
      <c r="G21" s="2"/>
    </row>
    <row r="22" spans="1:7" x14ac:dyDescent="0.3">
      <c r="A22" s="8"/>
      <c r="B22" s="9"/>
      <c r="C22" s="8"/>
      <c r="D22" s="8"/>
    </row>
    <row r="23" spans="1:7" x14ac:dyDescent="0.3">
      <c r="A23" s="8"/>
      <c r="B23" s="9"/>
      <c r="C23" s="8"/>
      <c r="D23" s="8"/>
    </row>
    <row r="24" spans="1:7" x14ac:dyDescent="0.3">
      <c r="A24" s="8"/>
      <c r="B24" s="9"/>
      <c r="C24" s="8"/>
      <c r="D24" s="8"/>
    </row>
    <row r="25" spans="1:7" x14ac:dyDescent="0.3">
      <c r="A25" s="8"/>
      <c r="B25" s="9"/>
      <c r="C25" s="8"/>
      <c r="D25" s="8"/>
    </row>
    <row r="26" spans="1:7" x14ac:dyDescent="0.3">
      <c r="A26" s="8"/>
      <c r="B26" s="9" t="s">
        <v>23</v>
      </c>
      <c r="C26" s="8"/>
      <c r="D26" s="18" t="s">
        <v>24</v>
      </c>
    </row>
    <row r="27" spans="1:7" x14ac:dyDescent="0.3">
      <c r="A27" s="8"/>
      <c r="B27" s="9"/>
      <c r="C27" s="8"/>
      <c r="D27" s="8"/>
    </row>
  </sheetData>
  <pageMargins left="0.7" right="0.7" top="0.75" bottom="0.75" header="0.3" footer="0.3"/>
  <pageSetup paperSize="9" orientation="portrait" horizont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2:K26"/>
  <sheetViews>
    <sheetView workbookViewId="0">
      <selection activeCell="B1" sqref="B1"/>
    </sheetView>
  </sheetViews>
  <sheetFormatPr defaultRowHeight="14.4" x14ac:dyDescent="0.3"/>
  <sheetData>
    <row r="2" spans="1:11" x14ac:dyDescent="0.3">
      <c r="E2" s="4" t="s">
        <v>31</v>
      </c>
      <c r="F2" s="17" t="s">
        <v>41</v>
      </c>
    </row>
    <row r="5" spans="1:11" x14ac:dyDescent="0.3">
      <c r="I5" t="s">
        <v>7</v>
      </c>
      <c r="K5" s="12" t="s">
        <v>35</v>
      </c>
    </row>
    <row r="6" spans="1:11" x14ac:dyDescent="0.3">
      <c r="E6" s="2"/>
      <c r="F6" s="2"/>
      <c r="G6" s="2"/>
      <c r="H6" s="2"/>
      <c r="I6" s="2"/>
    </row>
    <row r="7" spans="1:11" x14ac:dyDescent="0.3">
      <c r="E7" s="2"/>
      <c r="F7" s="2"/>
      <c r="G7" s="2"/>
      <c r="H7" s="2"/>
    </row>
    <row r="8" spans="1:11" x14ac:dyDescent="0.3">
      <c r="A8" s="2"/>
      <c r="B8" s="2"/>
      <c r="C8" s="2"/>
      <c r="E8" s="2"/>
      <c r="F8" s="2" t="s">
        <v>1</v>
      </c>
      <c r="G8" s="2"/>
      <c r="H8" s="2"/>
      <c r="I8" s="2" t="s">
        <v>6</v>
      </c>
      <c r="K8" s="12" t="s">
        <v>35</v>
      </c>
    </row>
    <row r="9" spans="1:11" x14ac:dyDescent="0.3">
      <c r="A9" s="2"/>
      <c r="B9" s="2"/>
      <c r="C9" s="2"/>
      <c r="E9" s="2"/>
      <c r="G9" s="2"/>
      <c r="H9" s="2"/>
      <c r="I9" s="2"/>
    </row>
    <row r="10" spans="1:11" x14ac:dyDescent="0.3">
      <c r="A10" s="14"/>
      <c r="B10" s="14"/>
      <c r="C10" s="14"/>
      <c r="D10" s="15"/>
      <c r="E10" s="2"/>
      <c r="F10" s="2"/>
      <c r="G10" s="2"/>
      <c r="H10" s="2"/>
      <c r="I10" s="2"/>
    </row>
    <row r="11" spans="1:11" x14ac:dyDescent="0.3">
      <c r="A11" s="15"/>
      <c r="B11" s="15"/>
      <c r="C11" s="15"/>
      <c r="D11" s="18" t="s">
        <v>34</v>
      </c>
      <c r="E11" s="2"/>
      <c r="F11" s="2"/>
      <c r="G11" s="2"/>
      <c r="H11" s="2"/>
      <c r="I11" s="2" t="s">
        <v>8</v>
      </c>
      <c r="K11" s="12" t="s">
        <v>35</v>
      </c>
    </row>
    <row r="12" spans="1:11" x14ac:dyDescent="0.3">
      <c r="A12" s="15"/>
      <c r="B12" s="14" t="s">
        <v>10</v>
      </c>
      <c r="C12" s="15"/>
      <c r="D12" s="15"/>
      <c r="E12" s="2"/>
      <c r="F12" s="2" t="s">
        <v>2</v>
      </c>
      <c r="G12" s="2"/>
      <c r="H12" s="2"/>
      <c r="I12" s="2"/>
    </row>
    <row r="13" spans="1:11" x14ac:dyDescent="0.3">
      <c r="A13" s="15"/>
      <c r="B13" s="14"/>
      <c r="C13" s="15"/>
      <c r="D13" s="15"/>
      <c r="E13" s="2"/>
      <c r="F13" s="2"/>
      <c r="G13" s="2"/>
      <c r="H13" s="2"/>
      <c r="I13" s="2"/>
    </row>
    <row r="14" spans="1:11" x14ac:dyDescent="0.3">
      <c r="A14" s="15"/>
      <c r="B14" s="14"/>
      <c r="C14" s="15"/>
      <c r="D14" s="15"/>
      <c r="E14" s="2"/>
      <c r="F14" s="2"/>
      <c r="G14" s="2"/>
      <c r="H14" s="2"/>
    </row>
    <row r="15" spans="1:11" x14ac:dyDescent="0.3">
      <c r="A15" s="15"/>
      <c r="B15" s="14"/>
      <c r="C15" s="15"/>
      <c r="D15" s="15"/>
      <c r="E15" s="2"/>
      <c r="F15" s="2" t="s">
        <v>3</v>
      </c>
      <c r="G15" s="2"/>
      <c r="H15" s="2"/>
      <c r="K15" s="12"/>
    </row>
    <row r="16" spans="1:11" x14ac:dyDescent="0.3">
      <c r="A16" s="15"/>
      <c r="B16" s="14"/>
      <c r="C16" s="15"/>
      <c r="D16" s="15"/>
      <c r="E16" s="2"/>
      <c r="F16" s="2"/>
      <c r="G16" s="2"/>
      <c r="H16" s="2"/>
      <c r="I16" s="2"/>
    </row>
    <row r="17" spans="1:11" x14ac:dyDescent="0.3">
      <c r="A17" s="15"/>
      <c r="B17" s="14" t="s">
        <v>11</v>
      </c>
      <c r="C17" s="15"/>
      <c r="D17" s="16"/>
      <c r="E17" s="2"/>
      <c r="F17" s="2"/>
      <c r="G17" s="2"/>
      <c r="H17" s="2"/>
    </row>
    <row r="18" spans="1:11" x14ac:dyDescent="0.3">
      <c r="A18" s="15"/>
      <c r="B18" s="14"/>
      <c r="C18" s="15"/>
      <c r="D18" s="15"/>
      <c r="E18" s="2"/>
      <c r="F18" s="2"/>
      <c r="G18" s="2"/>
      <c r="H18" s="2"/>
      <c r="I18" s="2"/>
      <c r="K18" s="12"/>
    </row>
    <row r="19" spans="1:11" x14ac:dyDescent="0.3">
      <c r="A19" s="14"/>
      <c r="B19" s="14"/>
      <c r="C19" s="14"/>
      <c r="D19" s="15"/>
      <c r="E19" s="2"/>
      <c r="F19" s="2"/>
      <c r="G19" s="2"/>
      <c r="H19" s="2"/>
      <c r="I19" s="2"/>
    </row>
    <row r="20" spans="1:11" x14ac:dyDescent="0.3">
      <c r="A20" s="14"/>
      <c r="B20" s="14"/>
      <c r="C20" s="14"/>
      <c r="D20" s="15"/>
      <c r="E20" s="2"/>
      <c r="F20" s="2"/>
      <c r="G20" s="2"/>
      <c r="H20" s="2"/>
      <c r="I20" s="2"/>
    </row>
    <row r="21" spans="1:11" x14ac:dyDescent="0.3">
      <c r="E21" s="2"/>
      <c r="F21" s="2"/>
      <c r="G21" s="2"/>
      <c r="H21" s="2"/>
      <c r="I21" s="2"/>
      <c r="K21" s="12"/>
    </row>
    <row r="22" spans="1:11" x14ac:dyDescent="0.3">
      <c r="E22" s="2"/>
      <c r="F22" s="2"/>
      <c r="G22" s="2"/>
      <c r="H22" s="2"/>
      <c r="I22" s="2"/>
    </row>
    <row r="23" spans="1:11" x14ac:dyDescent="0.3">
      <c r="E23" s="2"/>
      <c r="F23" s="2"/>
      <c r="G23" s="2"/>
      <c r="H23" s="2"/>
      <c r="I23" s="2"/>
    </row>
    <row r="24" spans="1:11" x14ac:dyDescent="0.3">
      <c r="E24" s="2"/>
      <c r="F24" s="2"/>
      <c r="G24" s="2"/>
      <c r="H24" s="2"/>
      <c r="I24" s="2"/>
    </row>
    <row r="25" spans="1:11" x14ac:dyDescent="0.3">
      <c r="E25" s="2"/>
      <c r="F25" s="2"/>
      <c r="G25" s="2"/>
      <c r="H25" s="2"/>
      <c r="I25" s="2"/>
    </row>
    <row r="26" spans="1:11" x14ac:dyDescent="0.3">
      <c r="E26" s="2"/>
      <c r="F26" s="2"/>
      <c r="G26" s="2"/>
      <c r="H26" s="2"/>
      <c r="I26" s="2"/>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B2:H30"/>
  <sheetViews>
    <sheetView topLeftCell="A4" workbookViewId="0">
      <selection activeCell="A17" sqref="A17"/>
    </sheetView>
  </sheetViews>
  <sheetFormatPr defaultRowHeight="14.4" x14ac:dyDescent="0.3"/>
  <sheetData>
    <row r="2" spans="2:8" x14ac:dyDescent="0.3">
      <c r="E2" s="4" t="s">
        <v>36</v>
      </c>
      <c r="F2" s="17" t="s">
        <v>38</v>
      </c>
    </row>
    <row r="6" spans="2:8" x14ac:dyDescent="0.3">
      <c r="H6" s="2" t="s">
        <v>12</v>
      </c>
    </row>
    <row r="7" spans="2:8" x14ac:dyDescent="0.3">
      <c r="B7" s="15"/>
      <c r="C7" s="15"/>
      <c r="H7" s="2"/>
    </row>
    <row r="8" spans="2:8" x14ac:dyDescent="0.3">
      <c r="B8" s="15"/>
      <c r="C8" s="15"/>
      <c r="H8" s="2"/>
    </row>
    <row r="9" spans="2:8" x14ac:dyDescent="0.3">
      <c r="B9" s="15" t="s">
        <v>7</v>
      </c>
      <c r="C9" s="15"/>
      <c r="D9" s="18" t="s">
        <v>35</v>
      </c>
      <c r="F9" s="2" t="s">
        <v>9</v>
      </c>
      <c r="H9" s="2"/>
    </row>
    <row r="10" spans="2:8" x14ac:dyDescent="0.3">
      <c r="B10" s="14"/>
      <c r="C10" s="15"/>
      <c r="D10" s="8"/>
      <c r="E10" s="2"/>
      <c r="F10" s="2"/>
      <c r="H10" s="2"/>
    </row>
    <row r="11" spans="2:8" x14ac:dyDescent="0.3">
      <c r="B11" s="15"/>
      <c r="C11" s="15"/>
      <c r="D11" s="8"/>
      <c r="E11" s="2"/>
      <c r="F11" s="2"/>
      <c r="H11" s="2" t="s">
        <v>37</v>
      </c>
    </row>
    <row r="12" spans="2:8" x14ac:dyDescent="0.3">
      <c r="B12" s="14" t="s">
        <v>6</v>
      </c>
      <c r="C12" s="15"/>
      <c r="D12" s="18" t="s">
        <v>35</v>
      </c>
      <c r="E12" s="2"/>
      <c r="F12" s="2"/>
      <c r="H12" s="2"/>
    </row>
    <row r="13" spans="2:8" x14ac:dyDescent="0.3">
      <c r="B13" s="14"/>
      <c r="C13" s="15"/>
      <c r="D13" s="8"/>
      <c r="E13" s="2"/>
      <c r="F13" s="2"/>
    </row>
    <row r="14" spans="2:8" x14ac:dyDescent="0.3">
      <c r="B14" s="14"/>
      <c r="C14" s="15"/>
      <c r="D14" s="8"/>
      <c r="E14" s="2"/>
      <c r="F14" s="2" t="s">
        <v>37</v>
      </c>
    </row>
    <row r="15" spans="2:8" x14ac:dyDescent="0.3">
      <c r="B15" s="14" t="s">
        <v>8</v>
      </c>
      <c r="C15" s="15"/>
      <c r="D15" s="18" t="s">
        <v>35</v>
      </c>
      <c r="E15" s="2"/>
      <c r="F15" s="2"/>
    </row>
    <row r="16" spans="2:8" x14ac:dyDescent="0.3">
      <c r="B16" s="14"/>
      <c r="C16" s="15"/>
      <c r="D16" s="8"/>
    </row>
    <row r="17" spans="2:8" x14ac:dyDescent="0.3">
      <c r="B17" s="14"/>
      <c r="C17" s="15"/>
      <c r="H17" s="2" t="s">
        <v>12</v>
      </c>
    </row>
    <row r="18" spans="2:8" x14ac:dyDescent="0.3">
      <c r="B18" s="15"/>
      <c r="C18" s="15"/>
      <c r="H18" s="2"/>
    </row>
    <row r="19" spans="2:8" x14ac:dyDescent="0.3">
      <c r="B19" s="15"/>
      <c r="C19" s="15"/>
      <c r="D19" s="12"/>
      <c r="F19" s="11" t="s">
        <v>40</v>
      </c>
      <c r="H19" s="2"/>
    </row>
    <row r="20" spans="2:8" x14ac:dyDescent="0.3">
      <c r="B20" s="14"/>
      <c r="C20" s="15"/>
      <c r="H20" s="2"/>
    </row>
    <row r="21" spans="2:8" x14ac:dyDescent="0.3">
      <c r="B21" s="15"/>
      <c r="C21" s="15"/>
      <c r="H21" s="2"/>
    </row>
    <row r="22" spans="2:8" x14ac:dyDescent="0.3">
      <c r="B22" s="14"/>
      <c r="C22" s="15"/>
      <c r="D22" s="12"/>
      <c r="F22" s="12"/>
      <c r="H22" s="2" t="s">
        <v>37</v>
      </c>
    </row>
    <row r="23" spans="2:8" x14ac:dyDescent="0.3">
      <c r="B23" s="14"/>
      <c r="C23" s="15"/>
    </row>
    <row r="24" spans="2:8" x14ac:dyDescent="0.3">
      <c r="B24" s="14"/>
      <c r="C24" s="15"/>
      <c r="H24" s="2" t="s">
        <v>12</v>
      </c>
    </row>
    <row r="25" spans="2:8" x14ac:dyDescent="0.3">
      <c r="B25" s="14"/>
      <c r="C25" s="15"/>
      <c r="D25" s="12"/>
      <c r="H25" s="2"/>
    </row>
    <row r="26" spans="2:8" x14ac:dyDescent="0.3">
      <c r="B26" s="14"/>
      <c r="C26" s="15"/>
      <c r="F26" t="s">
        <v>39</v>
      </c>
      <c r="H26" s="2"/>
    </row>
    <row r="27" spans="2:8" x14ac:dyDescent="0.3">
      <c r="B27" s="2"/>
      <c r="H27" s="2"/>
    </row>
    <row r="28" spans="2:8" x14ac:dyDescent="0.3">
      <c r="B28" s="2"/>
      <c r="H28" s="2"/>
    </row>
    <row r="29" spans="2:8" x14ac:dyDescent="0.3">
      <c r="H29" s="2" t="s">
        <v>37</v>
      </c>
    </row>
    <row r="30" spans="2:8" x14ac:dyDescent="0.3">
      <c r="H30" s="2"/>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zoomScale="50" zoomScaleNormal="50" workbookViewId="0">
      <selection activeCell="Y24" sqref="Y24"/>
    </sheetView>
  </sheetViews>
  <sheetFormatPr defaultColWidth="8.88671875" defaultRowHeight="14.4" x14ac:dyDescent="0.3"/>
  <cols>
    <col min="1" max="16384" width="8.88671875" style="24"/>
  </cols>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J271"/>
  <sheetViews>
    <sheetView topLeftCell="A223" zoomScale="70" zoomScaleNormal="70" workbookViewId="0">
      <selection activeCell="B235" sqref="B235"/>
    </sheetView>
  </sheetViews>
  <sheetFormatPr defaultRowHeight="14.4" x14ac:dyDescent="0.3"/>
  <cols>
    <col min="1" max="1" width="26.77734375" customWidth="1"/>
    <col min="2" max="2" width="14.33203125" bestFit="1" customWidth="1"/>
    <col min="3" max="3" width="40.44140625" bestFit="1" customWidth="1"/>
    <col min="4" max="4" width="42" bestFit="1" customWidth="1"/>
    <col min="5" max="5" width="6.77734375" customWidth="1"/>
    <col min="6" max="6" width="34.77734375" customWidth="1"/>
    <col min="7" max="7" width="9.5546875" bestFit="1" customWidth="1"/>
  </cols>
  <sheetData>
    <row r="1" spans="1:10" x14ac:dyDescent="0.3">
      <c r="A1" s="19" t="s">
        <v>43</v>
      </c>
      <c r="B1" s="19"/>
      <c r="C1" s="19"/>
      <c r="D1" s="19"/>
    </row>
    <row r="3" spans="1:10" x14ac:dyDescent="0.3">
      <c r="A3" s="67" t="s">
        <v>290</v>
      </c>
      <c r="B3" s="67"/>
      <c r="C3" s="67" t="s">
        <v>302</v>
      </c>
      <c r="D3" s="67" t="s">
        <v>645</v>
      </c>
    </row>
    <row r="4" spans="1:10" x14ac:dyDescent="0.3">
      <c r="E4" s="21"/>
      <c r="J4">
        <v>0</v>
      </c>
    </row>
    <row r="5" spans="1:10" x14ac:dyDescent="0.3">
      <c r="A5" t="s">
        <v>291</v>
      </c>
      <c r="B5" s="40">
        <f>'Base case probabilities'!B5*(1+e_ANC)</f>
        <v>0.91493099999999994</v>
      </c>
      <c r="C5" t="s">
        <v>303</v>
      </c>
      <c r="D5" t="s">
        <v>644</v>
      </c>
      <c r="F5" s="22"/>
      <c r="G5" s="40"/>
      <c r="H5" s="22"/>
    </row>
    <row r="6" spans="1:10" x14ac:dyDescent="0.3">
      <c r="A6" t="s">
        <v>292</v>
      </c>
      <c r="B6" s="40">
        <f>1-G2ANC</f>
        <v>8.5069000000000061E-2</v>
      </c>
      <c r="C6" t="s">
        <v>304</v>
      </c>
      <c r="F6" s="22"/>
      <c r="G6" s="40"/>
      <c r="H6" s="22"/>
    </row>
    <row r="7" spans="1:10" x14ac:dyDescent="0.3">
      <c r="B7" s="40"/>
      <c r="F7" s="22"/>
      <c r="G7" s="40"/>
      <c r="H7" s="22"/>
    </row>
    <row r="8" spans="1:10" x14ac:dyDescent="0.3">
      <c r="A8" s="84" t="s">
        <v>293</v>
      </c>
      <c r="B8" s="40"/>
      <c r="F8" s="22" t="s">
        <v>714</v>
      </c>
      <c r="G8" s="40"/>
      <c r="H8" s="22"/>
    </row>
    <row r="9" spans="1:10" x14ac:dyDescent="0.3">
      <c r="A9" t="s">
        <v>454</v>
      </c>
      <c r="B9" s="40">
        <f>'Base case probabilities'!B9</f>
        <v>1.6422999999999965E-2</v>
      </c>
      <c r="C9" t="s">
        <v>456</v>
      </c>
      <c r="F9" s="22"/>
      <c r="G9" s="40"/>
      <c r="H9" s="22"/>
    </row>
    <row r="10" spans="1:10" x14ac:dyDescent="0.3">
      <c r="A10" t="s">
        <v>455</v>
      </c>
      <c r="B10" s="40">
        <f>'Base case probabilities'!B10</f>
        <v>0.98357700000000003</v>
      </c>
      <c r="C10" t="s">
        <v>457</v>
      </c>
      <c r="F10" s="22"/>
      <c r="G10" s="40"/>
      <c r="H10" s="22"/>
    </row>
    <row r="11" spans="1:10" x14ac:dyDescent="0.3">
      <c r="B11" s="40"/>
      <c r="F11" s="22"/>
      <c r="G11" s="40"/>
      <c r="H11" s="22"/>
    </row>
    <row r="12" spans="1:10" x14ac:dyDescent="0.3">
      <c r="A12" t="s">
        <v>458</v>
      </c>
      <c r="B12" s="40">
        <f>'Base case probabilities'!B26*e_preterm</f>
        <v>0.13286148238153098</v>
      </c>
      <c r="C12" t="s">
        <v>460</v>
      </c>
      <c r="D12" t="s">
        <v>644</v>
      </c>
      <c r="F12" s="22"/>
      <c r="G12" s="40"/>
      <c r="H12" s="22"/>
    </row>
    <row r="13" spans="1:10" x14ac:dyDescent="0.3">
      <c r="A13" t="s">
        <v>459</v>
      </c>
      <c r="B13" s="40">
        <f>1-LB2prem_1</f>
        <v>0.86713851761846905</v>
      </c>
      <c r="C13" t="s">
        <v>461</v>
      </c>
      <c r="F13" s="22"/>
      <c r="G13" s="40"/>
      <c r="H13" s="22"/>
    </row>
    <row r="14" spans="1:10" x14ac:dyDescent="0.3">
      <c r="B14" s="40"/>
      <c r="F14" s="21"/>
    </row>
    <row r="15" spans="1:10" x14ac:dyDescent="0.3">
      <c r="A15" t="s">
        <v>294</v>
      </c>
      <c r="B15" s="40">
        <f>'Base case probabilities'!B43*e_LBW</f>
        <v>0.48376271186440678</v>
      </c>
      <c r="C15" t="s">
        <v>305</v>
      </c>
      <c r="D15" t="s">
        <v>644</v>
      </c>
      <c r="F15" s="21"/>
    </row>
    <row r="16" spans="1:10" x14ac:dyDescent="0.3">
      <c r="A16" t="s">
        <v>470</v>
      </c>
      <c r="B16" s="40">
        <f>1-Prem2LBW_1</f>
        <v>0.51623728813559322</v>
      </c>
      <c r="C16" t="s">
        <v>306</v>
      </c>
      <c r="F16" s="21"/>
    </row>
    <row r="17" spans="1:6" x14ac:dyDescent="0.3">
      <c r="A17" t="s">
        <v>462</v>
      </c>
      <c r="B17" s="40">
        <f>'Base case probabilities'!G43*e_LBW</f>
        <v>0.24686153846153844</v>
      </c>
      <c r="C17" t="s">
        <v>463</v>
      </c>
      <c r="D17" t="s">
        <v>644</v>
      </c>
      <c r="F17" s="22"/>
    </row>
    <row r="18" spans="1:6" x14ac:dyDescent="0.3">
      <c r="A18" t="s">
        <v>471</v>
      </c>
      <c r="B18" s="40">
        <f>1-LBW2norm_1</f>
        <v>0.75313846153846153</v>
      </c>
      <c r="C18" t="s">
        <v>308</v>
      </c>
      <c r="F18" s="21"/>
    </row>
    <row r="19" spans="1:6" x14ac:dyDescent="0.3">
      <c r="B19" s="40"/>
      <c r="F19" s="21"/>
    </row>
    <row r="20" spans="1:6" x14ac:dyDescent="0.3">
      <c r="A20" t="s">
        <v>464</v>
      </c>
      <c r="B20" s="40">
        <f>'Base case probabilities'!B55*e_SGA</f>
        <v>0.39968592964824123</v>
      </c>
      <c r="C20" t="s">
        <v>476</v>
      </c>
      <c r="D20" t="s">
        <v>644</v>
      </c>
      <c r="F20" s="21"/>
    </row>
    <row r="21" spans="1:6" x14ac:dyDescent="0.3">
      <c r="A21" t="s">
        <v>467</v>
      </c>
      <c r="B21" s="40">
        <f>1-LBW_prem_2SGA_1</f>
        <v>0.60031407035175877</v>
      </c>
      <c r="C21" t="s">
        <v>479</v>
      </c>
      <c r="F21" s="21"/>
    </row>
    <row r="22" spans="1:6" x14ac:dyDescent="0.3">
      <c r="A22" t="s">
        <v>468</v>
      </c>
      <c r="B22" s="40">
        <f>'Base case probabilities'!G55*e_SGA</f>
        <v>0</v>
      </c>
      <c r="C22" t="s">
        <v>477</v>
      </c>
      <c r="D22" t="s">
        <v>644</v>
      </c>
    </row>
    <row r="23" spans="1:6" x14ac:dyDescent="0.3">
      <c r="A23" t="s">
        <v>469</v>
      </c>
      <c r="B23" s="40">
        <f>1-NBW_prem_2SGA_1</f>
        <v>1</v>
      </c>
      <c r="C23" t="s">
        <v>478</v>
      </c>
    </row>
    <row r="24" spans="1:6" x14ac:dyDescent="0.3">
      <c r="A24" t="s">
        <v>472</v>
      </c>
      <c r="B24" s="40">
        <f>'Base case probabilities'!B59*e_SGA</f>
        <v>0.9</v>
      </c>
      <c r="C24" t="s">
        <v>480</v>
      </c>
      <c r="D24" t="s">
        <v>644</v>
      </c>
    </row>
    <row r="25" spans="1:6" x14ac:dyDescent="0.3">
      <c r="A25" t="s">
        <v>473</v>
      </c>
      <c r="B25" s="40">
        <f>1-LBW_term_2SGA_1</f>
        <v>9.9999999999999978E-2</v>
      </c>
      <c r="C25" t="s">
        <v>481</v>
      </c>
    </row>
    <row r="26" spans="1:6" x14ac:dyDescent="0.3">
      <c r="A26" t="s">
        <v>474</v>
      </c>
      <c r="B26" s="40">
        <f>'Base case probabilities'!G59*e_SGA</f>
        <v>0.17096075860597004</v>
      </c>
      <c r="C26" t="s">
        <v>482</v>
      </c>
      <c r="D26" t="s">
        <v>644</v>
      </c>
    </row>
    <row r="27" spans="1:6" x14ac:dyDescent="0.3">
      <c r="A27" t="s">
        <v>475</v>
      </c>
      <c r="B27" s="40">
        <f>1-Hypo2cog_1</f>
        <v>0.82903924139402996</v>
      </c>
      <c r="C27" t="s">
        <v>483</v>
      </c>
    </row>
    <row r="28" spans="1:6" x14ac:dyDescent="0.3">
      <c r="B28" s="40"/>
    </row>
    <row r="29" spans="1:6" x14ac:dyDescent="0.3">
      <c r="A29" s="68" t="s">
        <v>484</v>
      </c>
      <c r="B29" s="40">
        <f>'Base case probabilities'!B74-'Base case probabilities'!B74*(e_mortality)</f>
        <v>7.6248466666666667E-2</v>
      </c>
      <c r="C29" t="s">
        <v>492</v>
      </c>
      <c r="D29" t="s">
        <v>644</v>
      </c>
    </row>
    <row r="30" spans="1:6" x14ac:dyDescent="0.3">
      <c r="A30" t="s">
        <v>485</v>
      </c>
      <c r="B30" s="40">
        <f>1-SGA_prem_2d_1</f>
        <v>0.92375153333333337</v>
      </c>
      <c r="C30" t="s">
        <v>493</v>
      </c>
    </row>
    <row r="31" spans="1:6" x14ac:dyDescent="0.3">
      <c r="A31" s="68" t="s">
        <v>486</v>
      </c>
      <c r="B31" s="40">
        <f>'Base case probabilities'!G74-'Base case probabilities'!G74*(e_mortality)</f>
        <v>3.1903725000000001E-2</v>
      </c>
      <c r="C31" t="s">
        <v>494</v>
      </c>
      <c r="D31" t="s">
        <v>644</v>
      </c>
    </row>
    <row r="32" spans="1:6" x14ac:dyDescent="0.3">
      <c r="A32" t="s">
        <v>487</v>
      </c>
      <c r="B32" s="40">
        <f>1-AGA_prem_2d_1</f>
        <v>0.96809627499999995</v>
      </c>
      <c r="C32" t="s">
        <v>495</v>
      </c>
    </row>
    <row r="33" spans="1:6" x14ac:dyDescent="0.3">
      <c r="A33" s="68" t="s">
        <v>488</v>
      </c>
      <c r="B33" s="40">
        <f>'Base case probabilities'!B77-'Base case probabilities'!B77*(e_mortality)</f>
        <v>1.1972400000000001E-2</v>
      </c>
      <c r="C33" t="s">
        <v>496</v>
      </c>
      <c r="D33" t="s">
        <v>644</v>
      </c>
    </row>
    <row r="34" spans="1:6" x14ac:dyDescent="0.3">
      <c r="A34" t="s">
        <v>489</v>
      </c>
      <c r="B34" s="40">
        <f>1-SGA_term_2d_1</f>
        <v>0.98802760000000001</v>
      </c>
      <c r="C34" t="s">
        <v>497</v>
      </c>
    </row>
    <row r="35" spans="1:6" x14ac:dyDescent="0.3">
      <c r="A35" s="68" t="s">
        <v>490</v>
      </c>
      <c r="B35" s="90">
        <f>'Base case probabilities'!G77-'Base case probabilities'!G77*(e_mortality)</f>
        <v>5.6536333333333339E-3</v>
      </c>
      <c r="C35" t="s">
        <v>498</v>
      </c>
      <c r="D35" t="s">
        <v>644</v>
      </c>
      <c r="E35" t="b">
        <f>F35=AGA_term_2d_1</f>
        <v>0</v>
      </c>
      <c r="F35">
        <f>'Base case probabilities'!G77</f>
        <v>6.2333333333333338E-3</v>
      </c>
    </row>
    <row r="36" spans="1:6" x14ac:dyDescent="0.3">
      <c r="A36" t="s">
        <v>491</v>
      </c>
      <c r="B36" s="40">
        <f>1-AGA_term_2d_1</f>
        <v>0.99434636666666665</v>
      </c>
      <c r="C36" t="s">
        <v>499</v>
      </c>
    </row>
    <row r="37" spans="1:6" x14ac:dyDescent="0.3">
      <c r="B37" s="40"/>
    </row>
    <row r="38" spans="1:6" x14ac:dyDescent="0.3">
      <c r="A38" t="s">
        <v>500</v>
      </c>
      <c r="B38" s="40">
        <f>'Base case probabilities'!B81</f>
        <v>0.45</v>
      </c>
      <c r="C38" t="s">
        <v>504</v>
      </c>
    </row>
    <row r="39" spans="1:6" x14ac:dyDescent="0.3">
      <c r="A39" t="s">
        <v>501</v>
      </c>
      <c r="B39" s="40">
        <f>'Base case probabilities'!B82</f>
        <v>0.55000000000000004</v>
      </c>
      <c r="C39" t="s">
        <v>505</v>
      </c>
    </row>
    <row r="40" spans="1:6" x14ac:dyDescent="0.3">
      <c r="A40" t="s">
        <v>502</v>
      </c>
      <c r="B40" s="40">
        <f>'Base case probabilities'!G81</f>
        <v>0</v>
      </c>
      <c r="C40" t="s">
        <v>506</v>
      </c>
    </row>
    <row r="41" spans="1:6" x14ac:dyDescent="0.3">
      <c r="A41" t="s">
        <v>503</v>
      </c>
      <c r="B41" s="40">
        <f>'Base case probabilities'!G82</f>
        <v>1</v>
      </c>
      <c r="C41" t="s">
        <v>507</v>
      </c>
    </row>
    <row r="42" spans="1:6" x14ac:dyDescent="0.3">
      <c r="B42" s="40"/>
    </row>
    <row r="43" spans="1:6" x14ac:dyDescent="0.3">
      <c r="A43" t="s">
        <v>508</v>
      </c>
      <c r="B43" s="40">
        <f>'Base case probabilities'!B91</f>
        <v>0.2155</v>
      </c>
      <c r="C43" t="s">
        <v>515</v>
      </c>
    </row>
    <row r="44" spans="1:6" x14ac:dyDescent="0.3">
      <c r="A44" t="s">
        <v>513</v>
      </c>
      <c r="B44" s="40">
        <f>'Base case probabilities'!B92</f>
        <v>0.78449999999999998</v>
      </c>
      <c r="C44" t="s">
        <v>516</v>
      </c>
    </row>
    <row r="45" spans="1:6" x14ac:dyDescent="0.3">
      <c r="A45" t="s">
        <v>511</v>
      </c>
      <c r="B45" s="40">
        <f>'Base case probabilities'!G91</f>
        <v>0.26</v>
      </c>
      <c r="C45" t="s">
        <v>517</v>
      </c>
    </row>
    <row r="46" spans="1:6" x14ac:dyDescent="0.3">
      <c r="A46" t="s">
        <v>514</v>
      </c>
      <c r="B46" s="40">
        <f>'Base case probabilities'!G92</f>
        <v>0.74</v>
      </c>
      <c r="C46" t="s">
        <v>518</v>
      </c>
    </row>
    <row r="47" spans="1:6" x14ac:dyDescent="0.3">
      <c r="A47" t="s">
        <v>676</v>
      </c>
      <c r="B47" s="40">
        <f>'Base case probabilities'!B95</f>
        <v>0.15</v>
      </c>
      <c r="C47" t="s">
        <v>663</v>
      </c>
    </row>
    <row r="48" spans="1:6" x14ac:dyDescent="0.3">
      <c r="A48" t="s">
        <v>677</v>
      </c>
      <c r="B48" s="40">
        <f>'Base case probabilities'!B96</f>
        <v>0.85</v>
      </c>
      <c r="C48" t="s">
        <v>664</v>
      </c>
    </row>
    <row r="49" spans="1:6" x14ac:dyDescent="0.3">
      <c r="A49" t="s">
        <v>678</v>
      </c>
      <c r="B49" s="40">
        <f>'Base case probabilities'!G95</f>
        <v>0</v>
      </c>
      <c r="C49" t="s">
        <v>661</v>
      </c>
    </row>
    <row r="50" spans="1:6" x14ac:dyDescent="0.3">
      <c r="A50" t="s">
        <v>679</v>
      </c>
      <c r="B50" s="40">
        <f>'Base case probabilities'!G96</f>
        <v>1</v>
      </c>
      <c r="C50" t="s">
        <v>662</v>
      </c>
    </row>
    <row r="51" spans="1:6" x14ac:dyDescent="0.3">
      <c r="B51" s="40"/>
    </row>
    <row r="52" spans="1:6" x14ac:dyDescent="0.3">
      <c r="A52" t="s">
        <v>519</v>
      </c>
      <c r="B52" s="40">
        <f>'Base case probabilities'!B99</f>
        <v>0.36099999999999999</v>
      </c>
      <c r="C52" t="s">
        <v>307</v>
      </c>
    </row>
    <row r="53" spans="1:6" x14ac:dyDescent="0.3">
      <c r="A53" t="s">
        <v>521</v>
      </c>
      <c r="B53" s="40">
        <f>'Base case probabilities'!B100</f>
        <v>0.63900000000000001</v>
      </c>
      <c r="C53" t="s">
        <v>523</v>
      </c>
    </row>
    <row r="54" spans="1:6" x14ac:dyDescent="0.3">
      <c r="A54" t="s">
        <v>522</v>
      </c>
      <c r="B54" s="40">
        <f>'Base case probabilities'!G99</f>
        <v>0</v>
      </c>
      <c r="C54" t="s">
        <v>524</v>
      </c>
    </row>
    <row r="55" spans="1:6" x14ac:dyDescent="0.3">
      <c r="A55" t="s">
        <v>520</v>
      </c>
      <c r="B55" s="40">
        <f>'Base case probabilities'!G100</f>
        <v>1</v>
      </c>
      <c r="C55" t="s">
        <v>525</v>
      </c>
    </row>
    <row r="56" spans="1:6" x14ac:dyDescent="0.3">
      <c r="B56" s="40"/>
    </row>
    <row r="57" spans="1:6" x14ac:dyDescent="0.3">
      <c r="A57" t="s">
        <v>530</v>
      </c>
      <c r="B57" s="40">
        <f>'Base case probabilities'!B103</f>
        <v>5.1333333333333335E-2</v>
      </c>
      <c r="C57" t="s">
        <v>526</v>
      </c>
    </row>
    <row r="58" spans="1:6" x14ac:dyDescent="0.3">
      <c r="A58" t="s">
        <v>531</v>
      </c>
      <c r="B58" s="40">
        <f>'Base case probabilities'!B104</f>
        <v>0.94866666666666666</v>
      </c>
      <c r="C58" t="s">
        <v>527</v>
      </c>
    </row>
    <row r="59" spans="1:6" x14ac:dyDescent="0.3">
      <c r="A59" t="s">
        <v>532</v>
      </c>
      <c r="B59" s="40">
        <f>'Base case probabilities'!G103</f>
        <v>3.3085576536761752E-2</v>
      </c>
      <c r="C59" t="s">
        <v>528</v>
      </c>
    </row>
    <row r="60" spans="1:6" x14ac:dyDescent="0.3">
      <c r="A60" t="s">
        <v>533</v>
      </c>
      <c r="B60" s="40">
        <f>'Base case probabilities'!G104</f>
        <v>0.9669144234632383</v>
      </c>
      <c r="C60" t="s">
        <v>529</v>
      </c>
    </row>
    <row r="61" spans="1:6" x14ac:dyDescent="0.3">
      <c r="B61" s="40"/>
    </row>
    <row r="62" spans="1:6" x14ac:dyDescent="0.3">
      <c r="A62" s="20" t="s">
        <v>295</v>
      </c>
      <c r="B62" s="40"/>
      <c r="F62" s="22" t="s">
        <v>714</v>
      </c>
    </row>
    <row r="63" spans="1:6" x14ac:dyDescent="0.3">
      <c r="A63" t="s">
        <v>647</v>
      </c>
      <c r="B63" s="40">
        <f>'Base case probabilities'!G9</f>
        <v>3.1562974203338388E-2</v>
      </c>
      <c r="C63" t="s">
        <v>649</v>
      </c>
      <c r="F63" s="22"/>
    </row>
    <row r="64" spans="1:6" x14ac:dyDescent="0.3">
      <c r="A64" t="s">
        <v>648</v>
      </c>
      <c r="B64" s="40">
        <f>'Base case probabilities'!G10</f>
        <v>0.96843702579666158</v>
      </c>
      <c r="C64" t="s">
        <v>650</v>
      </c>
      <c r="F64" s="22"/>
    </row>
    <row r="65" spans="1:6" x14ac:dyDescent="0.3">
      <c r="B65" s="40"/>
      <c r="F65" s="22"/>
    </row>
    <row r="66" spans="1:6" x14ac:dyDescent="0.3">
      <c r="A66" t="s">
        <v>536</v>
      </c>
      <c r="B66" s="40">
        <f>'Base case probabilities'!G26*e_preterm</f>
        <v>0.13176882661996497</v>
      </c>
      <c r="C66" t="s">
        <v>460</v>
      </c>
      <c r="D66" t="s">
        <v>644</v>
      </c>
      <c r="F66" s="22"/>
    </row>
    <row r="67" spans="1:6" x14ac:dyDescent="0.3">
      <c r="A67" t="s">
        <v>537</v>
      </c>
      <c r="B67" s="40">
        <f>1-LB2prem_2</f>
        <v>0.86823117338003497</v>
      </c>
      <c r="C67" t="s">
        <v>461</v>
      </c>
      <c r="F67" s="22"/>
    </row>
    <row r="68" spans="1:6" x14ac:dyDescent="0.3">
      <c r="B68" s="40"/>
      <c r="F68" s="21"/>
    </row>
    <row r="69" spans="1:6" x14ac:dyDescent="0.3">
      <c r="A69" t="s">
        <v>296</v>
      </c>
      <c r="B69" s="40">
        <f>'Base case probabilities'!B43*e_LBW</f>
        <v>0.48376271186440678</v>
      </c>
      <c r="C69" t="s">
        <v>305</v>
      </c>
      <c r="D69" t="s">
        <v>644</v>
      </c>
      <c r="F69" s="21"/>
    </row>
    <row r="70" spans="1:6" x14ac:dyDescent="0.3">
      <c r="A70" t="s">
        <v>538</v>
      </c>
      <c r="B70" s="40">
        <f>1-Prem2LBW_2</f>
        <v>0.51623728813559322</v>
      </c>
      <c r="C70" t="s">
        <v>306</v>
      </c>
      <c r="F70" s="21"/>
    </row>
    <row r="71" spans="1:6" x14ac:dyDescent="0.3">
      <c r="A71" t="s">
        <v>539</v>
      </c>
      <c r="B71" s="40">
        <f>'Base case probabilities'!G43*e_LBW</f>
        <v>0.24686153846153844</v>
      </c>
      <c r="C71" t="s">
        <v>463</v>
      </c>
      <c r="D71" t="s">
        <v>644</v>
      </c>
      <c r="F71" s="22"/>
    </row>
    <row r="72" spans="1:6" x14ac:dyDescent="0.3">
      <c r="A72" t="s">
        <v>540</v>
      </c>
      <c r="B72" s="40">
        <f>1-Term2LBW_2</f>
        <v>0.75313846153846153</v>
      </c>
      <c r="C72" t="s">
        <v>308</v>
      </c>
      <c r="F72" s="21"/>
    </row>
    <row r="73" spans="1:6" x14ac:dyDescent="0.3">
      <c r="B73" s="40"/>
      <c r="F73" s="21"/>
    </row>
    <row r="74" spans="1:6" x14ac:dyDescent="0.3">
      <c r="A74" t="s">
        <v>465</v>
      </c>
      <c r="B74" s="40">
        <f>'Base case probabilities'!B55*e_SGA</f>
        <v>0.39968592964824123</v>
      </c>
      <c r="C74" t="s">
        <v>476</v>
      </c>
      <c r="D74" t="s">
        <v>644</v>
      </c>
      <c r="F74" s="21"/>
    </row>
    <row r="75" spans="1:6" x14ac:dyDescent="0.3">
      <c r="A75" t="s">
        <v>466</v>
      </c>
      <c r="B75" s="40">
        <f>1-LBW_prem_2SGA_2</f>
        <v>0.60031407035175877</v>
      </c>
      <c r="C75" t="s">
        <v>479</v>
      </c>
      <c r="F75" s="21"/>
    </row>
    <row r="76" spans="1:6" x14ac:dyDescent="0.3">
      <c r="A76" t="s">
        <v>541</v>
      </c>
      <c r="B76" s="40">
        <f>'Base case probabilities'!G55*e_SGA</f>
        <v>0</v>
      </c>
      <c r="C76" t="s">
        <v>477</v>
      </c>
      <c r="D76" t="s">
        <v>644</v>
      </c>
    </row>
    <row r="77" spans="1:6" x14ac:dyDescent="0.3">
      <c r="A77" t="s">
        <v>542</v>
      </c>
      <c r="B77" s="40">
        <f>1-NBW_prem_2SGA_2</f>
        <v>1</v>
      </c>
      <c r="C77" t="s">
        <v>478</v>
      </c>
    </row>
    <row r="78" spans="1:6" x14ac:dyDescent="0.3">
      <c r="A78" t="s">
        <v>543</v>
      </c>
      <c r="B78" s="40">
        <f>'Base case probabilities'!B59*e_SGA</f>
        <v>0.9</v>
      </c>
      <c r="C78" t="s">
        <v>480</v>
      </c>
      <c r="D78" t="s">
        <v>644</v>
      </c>
    </row>
    <row r="79" spans="1:6" x14ac:dyDescent="0.3">
      <c r="A79" t="s">
        <v>544</v>
      </c>
      <c r="B79" s="40">
        <f>1-LBW_term_2SGA_2</f>
        <v>9.9999999999999978E-2</v>
      </c>
      <c r="C79" t="s">
        <v>481</v>
      </c>
    </row>
    <row r="80" spans="1:6" x14ac:dyDescent="0.3">
      <c r="A80" t="s">
        <v>545</v>
      </c>
      <c r="B80" s="40">
        <f>'Base case probabilities'!G59*e_SGA</f>
        <v>0.17096075860597004</v>
      </c>
      <c r="C80" t="s">
        <v>482</v>
      </c>
      <c r="D80" t="s">
        <v>644</v>
      </c>
    </row>
    <row r="81" spans="1:4" x14ac:dyDescent="0.3">
      <c r="A81" t="s">
        <v>546</v>
      </c>
      <c r="B81" s="40">
        <f>1-NBW_term_2SGA_2</f>
        <v>0.82903924139402996</v>
      </c>
      <c r="C81" t="s">
        <v>483</v>
      </c>
    </row>
    <row r="82" spans="1:4" x14ac:dyDescent="0.3">
      <c r="B82" s="40"/>
    </row>
    <row r="83" spans="1:4" x14ac:dyDescent="0.3">
      <c r="A83" s="68" t="s">
        <v>547</v>
      </c>
      <c r="B83" s="40">
        <f>'Base case probabilities'!B74-'Base case probabilities'!B74*(e_mortality)</f>
        <v>7.6248466666666667E-2</v>
      </c>
      <c r="C83" t="s">
        <v>492</v>
      </c>
      <c r="D83" t="s">
        <v>644</v>
      </c>
    </row>
    <row r="84" spans="1:4" x14ac:dyDescent="0.3">
      <c r="A84" t="s">
        <v>548</v>
      </c>
      <c r="B84" s="40">
        <f>1-SGA_prem_2d_2</f>
        <v>0.92375153333333337</v>
      </c>
      <c r="C84" t="s">
        <v>493</v>
      </c>
    </row>
    <row r="85" spans="1:4" x14ac:dyDescent="0.3">
      <c r="A85" s="68" t="s">
        <v>549</v>
      </c>
      <c r="B85" s="40">
        <f>'Base case probabilities'!G74-'Base case probabilities'!G74*(e_mortality)</f>
        <v>3.1903725000000001E-2</v>
      </c>
      <c r="C85" t="s">
        <v>494</v>
      </c>
      <c r="D85" t="s">
        <v>644</v>
      </c>
    </row>
    <row r="86" spans="1:4" x14ac:dyDescent="0.3">
      <c r="A86" t="s">
        <v>550</v>
      </c>
      <c r="B86" s="40">
        <f>1-AGA_prem_2d_2</f>
        <v>0.96809627499999995</v>
      </c>
      <c r="C86" t="s">
        <v>495</v>
      </c>
    </row>
    <row r="87" spans="1:4" x14ac:dyDescent="0.3">
      <c r="A87" s="68" t="s">
        <v>551</v>
      </c>
      <c r="B87" s="90">
        <f>'Base case probabilities'!B77-'Base case probabilities'!B77*(e_mortality)</f>
        <v>1.1972400000000001E-2</v>
      </c>
      <c r="C87" t="s">
        <v>496</v>
      </c>
      <c r="D87" t="s">
        <v>644</v>
      </c>
    </row>
    <row r="88" spans="1:4" x14ac:dyDescent="0.3">
      <c r="A88" t="s">
        <v>552</v>
      </c>
      <c r="B88" s="40">
        <f>1-SGA_term_2d_2</f>
        <v>0.98802760000000001</v>
      </c>
      <c r="C88" t="s">
        <v>497</v>
      </c>
    </row>
    <row r="89" spans="1:4" x14ac:dyDescent="0.3">
      <c r="A89" s="68" t="s">
        <v>553</v>
      </c>
      <c r="B89" s="40">
        <f>'Base case probabilities'!G77-'Base case probabilities'!G77*(e_mortality)</f>
        <v>5.6536333333333339E-3</v>
      </c>
      <c r="C89" t="s">
        <v>498</v>
      </c>
      <c r="D89" t="s">
        <v>644</v>
      </c>
    </row>
    <row r="90" spans="1:4" x14ac:dyDescent="0.3">
      <c r="A90" t="s">
        <v>554</v>
      </c>
      <c r="B90" s="40">
        <f>1-AGA_term_2d_2</f>
        <v>0.99434636666666665</v>
      </c>
      <c r="C90" t="s">
        <v>499</v>
      </c>
    </row>
    <row r="91" spans="1:4" x14ac:dyDescent="0.3">
      <c r="B91" s="40"/>
    </row>
    <row r="92" spans="1:4" x14ac:dyDescent="0.3">
      <c r="A92" t="s">
        <v>555</v>
      </c>
      <c r="B92" s="40">
        <f>'Base case probabilities'!B81</f>
        <v>0.45</v>
      </c>
      <c r="C92" t="s">
        <v>504</v>
      </c>
    </row>
    <row r="93" spans="1:4" x14ac:dyDescent="0.3">
      <c r="A93" t="s">
        <v>556</v>
      </c>
      <c r="B93" s="40">
        <f>'Base case probabilities'!B82</f>
        <v>0.55000000000000004</v>
      </c>
      <c r="C93" t="s">
        <v>505</v>
      </c>
    </row>
    <row r="94" spans="1:4" x14ac:dyDescent="0.3">
      <c r="A94" t="s">
        <v>557</v>
      </c>
      <c r="B94" s="40">
        <f>'Base case probabilities'!G81</f>
        <v>0</v>
      </c>
      <c r="C94" t="s">
        <v>506</v>
      </c>
    </row>
    <row r="95" spans="1:4" x14ac:dyDescent="0.3">
      <c r="A95" t="s">
        <v>558</v>
      </c>
      <c r="B95" s="40">
        <f>'Base case probabilities'!G82</f>
        <v>1</v>
      </c>
      <c r="C95" t="s">
        <v>507</v>
      </c>
    </row>
    <row r="96" spans="1:4" x14ac:dyDescent="0.3">
      <c r="B96" s="40"/>
    </row>
    <row r="97" spans="1:3" x14ac:dyDescent="0.3">
      <c r="A97" t="s">
        <v>509</v>
      </c>
      <c r="B97" s="40">
        <f>'Base case probabilities'!B91</f>
        <v>0.2155</v>
      </c>
      <c r="C97" t="s">
        <v>515</v>
      </c>
    </row>
    <row r="98" spans="1:3" x14ac:dyDescent="0.3">
      <c r="A98" t="s">
        <v>510</v>
      </c>
      <c r="B98" s="40">
        <f>'Base case probabilities'!B92</f>
        <v>0.78449999999999998</v>
      </c>
      <c r="C98" t="s">
        <v>516</v>
      </c>
    </row>
    <row r="99" spans="1:3" x14ac:dyDescent="0.3">
      <c r="A99" t="s">
        <v>559</v>
      </c>
      <c r="B99" s="40">
        <f>'Base case probabilities'!G91</f>
        <v>0.26</v>
      </c>
      <c r="C99" t="s">
        <v>517</v>
      </c>
    </row>
    <row r="100" spans="1:3" x14ac:dyDescent="0.3">
      <c r="A100" t="s">
        <v>512</v>
      </c>
      <c r="B100" s="40">
        <f>'Base case probabilities'!G92</f>
        <v>0.74</v>
      </c>
      <c r="C100" t="s">
        <v>518</v>
      </c>
    </row>
    <row r="101" spans="1:3" x14ac:dyDescent="0.3">
      <c r="A101" t="s">
        <v>680</v>
      </c>
      <c r="B101" s="40">
        <f>'Base case probabilities'!B95</f>
        <v>0.15</v>
      </c>
      <c r="C101" t="s">
        <v>663</v>
      </c>
    </row>
    <row r="102" spans="1:3" x14ac:dyDescent="0.3">
      <c r="A102" t="s">
        <v>681</v>
      </c>
      <c r="B102" s="40">
        <f>'Base case probabilities'!B96</f>
        <v>0.85</v>
      </c>
      <c r="C102" t="s">
        <v>664</v>
      </c>
    </row>
    <row r="103" spans="1:3" x14ac:dyDescent="0.3">
      <c r="A103" t="s">
        <v>682</v>
      </c>
      <c r="B103" s="40">
        <f>'Base case probabilities'!G95</f>
        <v>0</v>
      </c>
      <c r="C103" t="s">
        <v>661</v>
      </c>
    </row>
    <row r="104" spans="1:3" x14ac:dyDescent="0.3">
      <c r="A104" t="s">
        <v>683</v>
      </c>
      <c r="B104" s="40">
        <f>'Base case probabilities'!G96</f>
        <v>1</v>
      </c>
      <c r="C104" t="s">
        <v>662</v>
      </c>
    </row>
    <row r="105" spans="1:3" x14ac:dyDescent="0.3">
      <c r="B105" s="40"/>
    </row>
    <row r="106" spans="1:3" x14ac:dyDescent="0.3">
      <c r="A106" t="s">
        <v>560</v>
      </c>
      <c r="B106" s="40">
        <f>'Base case probabilities'!B99</f>
        <v>0.36099999999999999</v>
      </c>
      <c r="C106" t="s">
        <v>307</v>
      </c>
    </row>
    <row r="107" spans="1:3" x14ac:dyDescent="0.3">
      <c r="A107" t="s">
        <v>561</v>
      </c>
      <c r="B107" s="40">
        <f>'Base case probabilities'!B100</f>
        <v>0.63900000000000001</v>
      </c>
      <c r="C107" t="s">
        <v>523</v>
      </c>
    </row>
    <row r="108" spans="1:3" x14ac:dyDescent="0.3">
      <c r="A108" t="s">
        <v>562</v>
      </c>
      <c r="B108" s="40">
        <f>'Base case probabilities'!G99</f>
        <v>0</v>
      </c>
      <c r="C108" t="s">
        <v>524</v>
      </c>
    </row>
    <row r="109" spans="1:3" x14ac:dyDescent="0.3">
      <c r="A109" t="s">
        <v>563</v>
      </c>
      <c r="B109" s="40">
        <f>'Base case probabilities'!G100</f>
        <v>1</v>
      </c>
      <c r="C109" t="s">
        <v>525</v>
      </c>
    </row>
    <row r="110" spans="1:3" x14ac:dyDescent="0.3">
      <c r="B110" s="40"/>
    </row>
    <row r="111" spans="1:3" x14ac:dyDescent="0.3">
      <c r="A111" t="s">
        <v>564</v>
      </c>
      <c r="B111" s="40">
        <f>'Base case probabilities'!B103</f>
        <v>5.1333333333333335E-2</v>
      </c>
      <c r="C111" t="s">
        <v>526</v>
      </c>
    </row>
    <row r="112" spans="1:3" x14ac:dyDescent="0.3">
      <c r="A112" t="s">
        <v>565</v>
      </c>
      <c r="B112" s="40">
        <f>'Base case probabilities'!B104</f>
        <v>0.94866666666666666</v>
      </c>
      <c r="C112" t="s">
        <v>527</v>
      </c>
    </row>
    <row r="113" spans="1:6" x14ac:dyDescent="0.3">
      <c r="A113" t="s">
        <v>566</v>
      </c>
      <c r="B113" s="40">
        <f>'Base case probabilities'!G103</f>
        <v>3.3085576536761752E-2</v>
      </c>
      <c r="C113" t="s">
        <v>528</v>
      </c>
    </row>
    <row r="114" spans="1:6" x14ac:dyDescent="0.3">
      <c r="A114" t="s">
        <v>567</v>
      </c>
      <c r="B114" s="40">
        <f>'Base case probabilities'!G104</f>
        <v>0.9669144234632383</v>
      </c>
      <c r="C114" t="s">
        <v>529</v>
      </c>
    </row>
    <row r="115" spans="1:6" x14ac:dyDescent="0.3">
      <c r="B115" s="40"/>
    </row>
    <row r="116" spans="1:6" x14ac:dyDescent="0.3">
      <c r="A116" s="67" t="s">
        <v>297</v>
      </c>
      <c r="B116" s="67"/>
      <c r="C116" s="67" t="s">
        <v>302</v>
      </c>
      <c r="D116" s="67"/>
    </row>
    <row r="117" spans="1:6" x14ac:dyDescent="0.3">
      <c r="E117" s="21"/>
    </row>
    <row r="118" spans="1:6" x14ac:dyDescent="0.3">
      <c r="A118" t="s">
        <v>534</v>
      </c>
      <c r="B118" s="40">
        <f>'Base case probabilities'!B5</f>
        <v>0.83099999999999996</v>
      </c>
      <c r="C118" t="s">
        <v>309</v>
      </c>
      <c r="D118">
        <f>G2ANC</f>
        <v>0.91493099999999994</v>
      </c>
      <c r="F118" t="b">
        <f>D118=B118</f>
        <v>0</v>
      </c>
    </row>
    <row r="119" spans="1:6" x14ac:dyDescent="0.3">
      <c r="A119" t="s">
        <v>535</v>
      </c>
      <c r="B119" s="40">
        <f>'Base case probabilities'!B6</f>
        <v>0.16900000000000004</v>
      </c>
      <c r="C119" t="s">
        <v>310</v>
      </c>
    </row>
    <row r="120" spans="1:6" x14ac:dyDescent="0.3">
      <c r="B120" s="40"/>
    </row>
    <row r="121" spans="1:6" x14ac:dyDescent="0.3">
      <c r="A121" s="84" t="s">
        <v>298</v>
      </c>
      <c r="B121" s="40"/>
      <c r="F121" t="s">
        <v>714</v>
      </c>
    </row>
    <row r="122" spans="1:6" x14ac:dyDescent="0.3">
      <c r="A122" t="s">
        <v>568</v>
      </c>
      <c r="B122" s="40">
        <f>'Base case probabilities'!B9</f>
        <v>1.6422999999999965E-2</v>
      </c>
      <c r="C122" t="s">
        <v>456</v>
      </c>
    </row>
    <row r="123" spans="1:6" x14ac:dyDescent="0.3">
      <c r="A123" t="s">
        <v>569</v>
      </c>
      <c r="B123" s="40">
        <f>'Base case probabilities'!B10</f>
        <v>0.98357700000000003</v>
      </c>
      <c r="C123" t="s">
        <v>457</v>
      </c>
      <c r="D123">
        <f>ANC2LB_1</f>
        <v>0.98357700000000003</v>
      </c>
      <c r="F123" t="b">
        <f>D123=B123</f>
        <v>1</v>
      </c>
    </row>
    <row r="124" spans="1:6" x14ac:dyDescent="0.3">
      <c r="B124" s="40"/>
    </row>
    <row r="125" spans="1:6" x14ac:dyDescent="0.3">
      <c r="A125" t="s">
        <v>570</v>
      </c>
      <c r="B125" s="40">
        <f>'Base case probabilities'!B26</f>
        <v>0.17481773997569866</v>
      </c>
      <c r="C125" t="s">
        <v>460</v>
      </c>
    </row>
    <row r="126" spans="1:6" x14ac:dyDescent="0.3">
      <c r="A126" t="s">
        <v>571</v>
      </c>
      <c r="B126" s="40">
        <f>'Base case probabilities'!B27</f>
        <v>0.82518226002430128</v>
      </c>
      <c r="C126" t="s">
        <v>461</v>
      </c>
      <c r="D126">
        <f>LB2term_1</f>
        <v>0.86713851761846905</v>
      </c>
      <c r="F126" t="b">
        <f>D126=B126</f>
        <v>0</v>
      </c>
    </row>
    <row r="127" spans="1:6" x14ac:dyDescent="0.3">
      <c r="B127" s="40"/>
    </row>
    <row r="128" spans="1:6" x14ac:dyDescent="0.3">
      <c r="A128" t="s">
        <v>299</v>
      </c>
      <c r="B128" s="40">
        <f>'Base case probabilities'!B43</f>
        <v>0.68135593220338986</v>
      </c>
      <c r="C128" t="s">
        <v>305</v>
      </c>
    </row>
    <row r="129" spans="1:8" x14ac:dyDescent="0.3">
      <c r="A129" t="s">
        <v>572</v>
      </c>
      <c r="B129" s="40">
        <f>'Base case probabilities'!B44</f>
        <v>0.31864406779661014</v>
      </c>
      <c r="C129" t="s">
        <v>306</v>
      </c>
    </row>
    <row r="130" spans="1:8" x14ac:dyDescent="0.3">
      <c r="A130" t="s">
        <v>573</v>
      </c>
      <c r="B130" s="40">
        <f>'Base case probabilities'!G43</f>
        <v>0.34769230769230769</v>
      </c>
      <c r="C130" t="s">
        <v>463</v>
      </c>
    </row>
    <row r="131" spans="1:8" x14ac:dyDescent="0.3">
      <c r="A131" t="s">
        <v>574</v>
      </c>
      <c r="B131" s="40">
        <f>'Base case probabilities'!G44</f>
        <v>0.65230769230769226</v>
      </c>
      <c r="C131" t="s">
        <v>308</v>
      </c>
      <c r="D131">
        <f>Term2NBW_1</f>
        <v>0.75313846153846153</v>
      </c>
      <c r="F131" t="b">
        <f>D131=B131</f>
        <v>0</v>
      </c>
    </row>
    <row r="132" spans="1:8" x14ac:dyDescent="0.3">
      <c r="B132" s="40"/>
    </row>
    <row r="133" spans="1:8" x14ac:dyDescent="0.3">
      <c r="A133" t="s">
        <v>575</v>
      </c>
      <c r="B133" s="40">
        <f>'Base case probabilities'!B55</f>
        <v>0.44409547738693467</v>
      </c>
      <c r="C133" t="s">
        <v>476</v>
      </c>
    </row>
    <row r="134" spans="1:8" x14ac:dyDescent="0.3">
      <c r="A134" t="s">
        <v>576</v>
      </c>
      <c r="B134" s="40">
        <f>'Base case probabilities'!B56</f>
        <v>0.55590452261306533</v>
      </c>
      <c r="C134" t="s">
        <v>479</v>
      </c>
      <c r="D134">
        <f>LBW_prem_2AGA_1</f>
        <v>0.60031407035175877</v>
      </c>
      <c r="F134" t="b">
        <f>D134=B134</f>
        <v>0</v>
      </c>
    </row>
    <row r="135" spans="1:8" x14ac:dyDescent="0.3">
      <c r="A135" t="s">
        <v>577</v>
      </c>
      <c r="B135" s="40">
        <f>'Base case probabilities'!G55</f>
        <v>0</v>
      </c>
      <c r="C135" t="s">
        <v>477</v>
      </c>
    </row>
    <row r="136" spans="1:8" x14ac:dyDescent="0.3">
      <c r="A136" t="s">
        <v>578</v>
      </c>
      <c r="B136" s="40">
        <f>'Base case probabilities'!G56</f>
        <v>1</v>
      </c>
      <c r="C136" t="s">
        <v>478</v>
      </c>
    </row>
    <row r="137" spans="1:8" x14ac:dyDescent="0.3">
      <c r="A137" t="s">
        <v>579</v>
      </c>
      <c r="B137" s="40">
        <f>'Base case probabilities'!B59</f>
        <v>1</v>
      </c>
      <c r="C137" t="s">
        <v>480</v>
      </c>
      <c r="D137">
        <f>NBW_term_2AGA_3</f>
        <v>0.81004360154892219</v>
      </c>
    </row>
    <row r="138" spans="1:8" x14ac:dyDescent="0.3">
      <c r="A138" t="s">
        <v>580</v>
      </c>
      <c r="B138" s="40">
        <f>'Base case probabilities'!B60</f>
        <v>0</v>
      </c>
      <c r="C138" t="s">
        <v>481</v>
      </c>
    </row>
    <row r="139" spans="1:8" x14ac:dyDescent="0.3">
      <c r="A139" t="s">
        <v>581</v>
      </c>
      <c r="B139" s="40">
        <f>'Base case probabilities'!G59</f>
        <v>0.18995639845107781</v>
      </c>
      <c r="C139" t="s">
        <v>482</v>
      </c>
      <c r="H139" s="41"/>
    </row>
    <row r="140" spans="1:8" x14ac:dyDescent="0.3">
      <c r="A140" t="s">
        <v>582</v>
      </c>
      <c r="B140" s="40">
        <f>'Base case probabilities'!G60</f>
        <v>0.81004360154892219</v>
      </c>
      <c r="C140" t="s">
        <v>483</v>
      </c>
    </row>
    <row r="141" spans="1:8" x14ac:dyDescent="0.3">
      <c r="B141" s="40"/>
    </row>
    <row r="142" spans="1:8" x14ac:dyDescent="0.3">
      <c r="A142" s="68" t="s">
        <v>583</v>
      </c>
      <c r="B142" s="40">
        <f>'Base case probabilities'!B74</f>
        <v>8.4066666666666665E-2</v>
      </c>
      <c r="C142" t="s">
        <v>492</v>
      </c>
    </row>
    <row r="143" spans="1:8" x14ac:dyDescent="0.3">
      <c r="A143" t="s">
        <v>584</v>
      </c>
      <c r="B143" s="40">
        <f>'Base case probabilities'!B75</f>
        <v>0.91593333333333338</v>
      </c>
      <c r="C143" t="s">
        <v>493</v>
      </c>
      <c r="D143">
        <f>SGA_prem_2s_1</f>
        <v>0.92375153333333337</v>
      </c>
      <c r="F143" t="b">
        <f>D143=B143</f>
        <v>0</v>
      </c>
    </row>
    <row r="144" spans="1:8" x14ac:dyDescent="0.3">
      <c r="A144" s="68" t="s">
        <v>585</v>
      </c>
      <c r="B144" s="40">
        <f>'Base case probabilities'!G74</f>
        <v>3.5174999999999998E-2</v>
      </c>
      <c r="C144" t="s">
        <v>494</v>
      </c>
    </row>
    <row r="145" spans="1:7" x14ac:dyDescent="0.3">
      <c r="A145" t="s">
        <v>586</v>
      </c>
      <c r="B145" s="40">
        <f>'Base case probabilities'!G75</f>
        <v>0.96482500000000004</v>
      </c>
      <c r="C145" t="s">
        <v>495</v>
      </c>
      <c r="D145">
        <f>AGA_prem_2s_1</f>
        <v>0.96809627499999995</v>
      </c>
      <c r="F145" t="b">
        <f>D145=B145</f>
        <v>0</v>
      </c>
    </row>
    <row r="146" spans="1:7" x14ac:dyDescent="0.3">
      <c r="A146" s="68" t="s">
        <v>587</v>
      </c>
      <c r="B146" s="40">
        <f>'Base case probabilities'!B77</f>
        <v>1.3200000000000002E-2</v>
      </c>
      <c r="C146" t="s">
        <v>496</v>
      </c>
    </row>
    <row r="147" spans="1:7" x14ac:dyDescent="0.3">
      <c r="A147" t="s">
        <v>588</v>
      </c>
      <c r="B147" s="40">
        <f>'Base case probabilities'!B78</f>
        <v>0.98680000000000001</v>
      </c>
      <c r="C147" t="s">
        <v>497</v>
      </c>
    </row>
    <row r="148" spans="1:7" x14ac:dyDescent="0.3">
      <c r="A148" s="68" t="s">
        <v>589</v>
      </c>
      <c r="B148" s="40">
        <f>'Base case probabilities'!G77</f>
        <v>6.2333333333333338E-3</v>
      </c>
      <c r="C148" t="s">
        <v>498</v>
      </c>
      <c r="D148">
        <f>AGA_term_2d_1</f>
        <v>5.6536333333333339E-3</v>
      </c>
    </row>
    <row r="149" spans="1:7" x14ac:dyDescent="0.3">
      <c r="A149" t="s">
        <v>590</v>
      </c>
      <c r="B149" s="40">
        <f>'Base case probabilities'!G78</f>
        <v>0.99376666666666669</v>
      </c>
      <c r="C149" t="s">
        <v>499</v>
      </c>
    </row>
    <row r="150" spans="1:7" x14ac:dyDescent="0.3">
      <c r="B150" s="40"/>
    </row>
    <row r="151" spans="1:7" x14ac:dyDescent="0.3">
      <c r="A151" t="s">
        <v>591</v>
      </c>
      <c r="B151" s="40">
        <f>'Base case probabilities'!B81</f>
        <v>0.45</v>
      </c>
      <c r="C151" t="s">
        <v>504</v>
      </c>
      <c r="D151">
        <f>S_prem_2RDS_1</f>
        <v>0.45</v>
      </c>
      <c r="F151" t="b">
        <f t="shared" ref="F151:F152" si="0">D151=B151</f>
        <v>1</v>
      </c>
    </row>
    <row r="152" spans="1:7" x14ac:dyDescent="0.3">
      <c r="A152" t="s">
        <v>592</v>
      </c>
      <c r="B152" s="89">
        <f>'Base case probabilities'!B82</f>
        <v>0.55000000000000004</v>
      </c>
      <c r="C152" t="s">
        <v>505</v>
      </c>
      <c r="D152" s="88">
        <f>S_prem_2noRDS_1</f>
        <v>0.55000000000000004</v>
      </c>
      <c r="F152" t="b">
        <f t="shared" si="0"/>
        <v>1</v>
      </c>
    </row>
    <row r="153" spans="1:7" ht="15.6" x14ac:dyDescent="0.3">
      <c r="A153" t="s">
        <v>593</v>
      </c>
      <c r="B153" s="40">
        <f>'Base case probabilities'!G81</f>
        <v>0</v>
      </c>
      <c r="C153" t="s">
        <v>506</v>
      </c>
      <c r="G153" s="23"/>
    </row>
    <row r="154" spans="1:7" ht="15.6" x14ac:dyDescent="0.3">
      <c r="A154" t="s">
        <v>594</v>
      </c>
      <c r="B154" s="40">
        <f>'Base case probabilities'!G82</f>
        <v>1</v>
      </c>
      <c r="C154" t="s">
        <v>507</v>
      </c>
      <c r="G154" s="23"/>
    </row>
    <row r="155" spans="1:7" x14ac:dyDescent="0.3">
      <c r="B155" s="40"/>
    </row>
    <row r="156" spans="1:7" x14ac:dyDescent="0.3">
      <c r="A156" t="s">
        <v>595</v>
      </c>
      <c r="B156" s="40">
        <f>'Base case probabilities'!B91</f>
        <v>0.2155</v>
      </c>
      <c r="C156" t="s">
        <v>515</v>
      </c>
    </row>
    <row r="157" spans="1:7" x14ac:dyDescent="0.3">
      <c r="A157" t="s">
        <v>596</v>
      </c>
      <c r="B157" s="40">
        <f>'Base case probabilities'!B92</f>
        <v>0.78449999999999998</v>
      </c>
      <c r="C157" t="s">
        <v>516</v>
      </c>
    </row>
    <row r="158" spans="1:7" x14ac:dyDescent="0.3">
      <c r="A158" t="s">
        <v>597</v>
      </c>
      <c r="B158" s="40">
        <f>'Base case probabilities'!G91</f>
        <v>0.26</v>
      </c>
      <c r="C158" t="s">
        <v>517</v>
      </c>
    </row>
    <row r="159" spans="1:7" x14ac:dyDescent="0.3">
      <c r="A159" t="s">
        <v>598</v>
      </c>
      <c r="B159" s="40">
        <f>'Base case probabilities'!G92</f>
        <v>0.74</v>
      </c>
      <c r="C159" t="s">
        <v>518</v>
      </c>
    </row>
    <row r="160" spans="1:7" x14ac:dyDescent="0.3">
      <c r="A160" t="s">
        <v>684</v>
      </c>
      <c r="B160" s="40">
        <f>'Base case probabilities'!B95</f>
        <v>0.15</v>
      </c>
      <c r="C160" t="s">
        <v>663</v>
      </c>
      <c r="D160">
        <f>AGA_prem_2hypoglycaemia_1</f>
        <v>0.15</v>
      </c>
      <c r="F160" t="b">
        <f t="shared" ref="F160" si="1">D160=B160</f>
        <v>1</v>
      </c>
    </row>
    <row r="161" spans="1:6" x14ac:dyDescent="0.3">
      <c r="A161" t="s">
        <v>685</v>
      </c>
      <c r="B161" s="40">
        <f>'Base case probabilities'!B96</f>
        <v>0.85</v>
      </c>
      <c r="C161" t="s">
        <v>664</v>
      </c>
    </row>
    <row r="162" spans="1:6" x14ac:dyDescent="0.3">
      <c r="A162" t="s">
        <v>686</v>
      </c>
      <c r="B162" s="40">
        <f>'Base case probabilities'!G95</f>
        <v>0</v>
      </c>
      <c r="C162" t="s">
        <v>661</v>
      </c>
    </row>
    <row r="163" spans="1:6" x14ac:dyDescent="0.3">
      <c r="A163" t="s">
        <v>687</v>
      </c>
      <c r="B163" s="40">
        <f>'Base case probabilities'!G96</f>
        <v>1</v>
      </c>
      <c r="C163" t="s">
        <v>662</v>
      </c>
    </row>
    <row r="164" spans="1:6" x14ac:dyDescent="0.3">
      <c r="B164" s="40"/>
    </row>
    <row r="165" spans="1:6" x14ac:dyDescent="0.3">
      <c r="A165" t="s">
        <v>599</v>
      </c>
      <c r="B165" s="40">
        <f>'Base case probabilities'!B99</f>
        <v>0.36099999999999999</v>
      </c>
      <c r="C165" t="s">
        <v>307</v>
      </c>
      <c r="D165">
        <f>RDS2CLD_1</f>
        <v>0.36099999999999999</v>
      </c>
      <c r="F165" t="b">
        <f t="shared" ref="F165" si="2">D165=B165</f>
        <v>1</v>
      </c>
    </row>
    <row r="166" spans="1:6" x14ac:dyDescent="0.3">
      <c r="A166" t="s">
        <v>600</v>
      </c>
      <c r="B166" s="40">
        <f>'Base case probabilities'!B100</f>
        <v>0.63900000000000001</v>
      </c>
      <c r="C166" t="s">
        <v>523</v>
      </c>
    </row>
    <row r="167" spans="1:6" x14ac:dyDescent="0.3">
      <c r="A167" t="s">
        <v>601</v>
      </c>
      <c r="B167" s="40">
        <f>'Base case probabilities'!G99</f>
        <v>0</v>
      </c>
      <c r="C167" t="s">
        <v>524</v>
      </c>
    </row>
    <row r="168" spans="1:6" x14ac:dyDescent="0.3">
      <c r="A168" t="s">
        <v>602</v>
      </c>
      <c r="B168" s="40">
        <f>'Base case probabilities'!G100</f>
        <v>1</v>
      </c>
      <c r="C168" t="s">
        <v>525</v>
      </c>
    </row>
    <row r="169" spans="1:6" x14ac:dyDescent="0.3">
      <c r="B169" s="40"/>
    </row>
    <row r="170" spans="1:6" x14ac:dyDescent="0.3">
      <c r="A170" t="s">
        <v>603</v>
      </c>
      <c r="B170" s="40">
        <f>'Base case probabilities'!B103</f>
        <v>5.1333333333333335E-2</v>
      </c>
      <c r="C170" t="s">
        <v>526</v>
      </c>
      <c r="D170">
        <f>Hypo2CI_1</f>
        <v>5.1333333333333335E-2</v>
      </c>
      <c r="F170" t="b">
        <f t="shared" ref="F170" si="3">D170=B170</f>
        <v>1</v>
      </c>
    </row>
    <row r="171" spans="1:6" x14ac:dyDescent="0.3">
      <c r="A171" t="s">
        <v>604</v>
      </c>
      <c r="B171" s="40">
        <f>'Base case probabilities'!B104</f>
        <v>0.94866666666666666</v>
      </c>
      <c r="C171" t="s">
        <v>527</v>
      </c>
    </row>
    <row r="172" spans="1:6" x14ac:dyDescent="0.3">
      <c r="A172" t="s">
        <v>605</v>
      </c>
      <c r="B172" s="40">
        <f>'Base case probabilities'!G103</f>
        <v>3.3085576536761752E-2</v>
      </c>
      <c r="C172" t="s">
        <v>528</v>
      </c>
    </row>
    <row r="173" spans="1:6" x14ac:dyDescent="0.3">
      <c r="A173" t="s">
        <v>606</v>
      </c>
      <c r="B173" s="40">
        <f>'Base case probabilities'!G104</f>
        <v>0.9669144234632383</v>
      </c>
      <c r="C173" t="s">
        <v>529</v>
      </c>
    </row>
    <row r="174" spans="1:6" x14ac:dyDescent="0.3">
      <c r="B174" s="40"/>
    </row>
    <row r="175" spans="1:6" x14ac:dyDescent="0.3">
      <c r="A175" s="20" t="s">
        <v>300</v>
      </c>
      <c r="B175" s="40"/>
      <c r="F175" t="s">
        <v>714</v>
      </c>
    </row>
    <row r="176" spans="1:6" x14ac:dyDescent="0.3">
      <c r="A176" t="s">
        <v>651</v>
      </c>
      <c r="B176" s="40">
        <f>'Base case probabilities'!G9</f>
        <v>3.1562974203338388E-2</v>
      </c>
      <c r="C176" t="s">
        <v>649</v>
      </c>
    </row>
    <row r="177" spans="1:3" x14ac:dyDescent="0.3">
      <c r="A177" t="s">
        <v>652</v>
      </c>
      <c r="B177" s="40">
        <f>'Base case probabilities'!G10</f>
        <v>0.96843702579666158</v>
      </c>
      <c r="C177" t="s">
        <v>650</v>
      </c>
    </row>
    <row r="178" spans="1:3" x14ac:dyDescent="0.3">
      <c r="B178" s="40"/>
    </row>
    <row r="179" spans="1:3" x14ac:dyDescent="0.3">
      <c r="A179" t="s">
        <v>607</v>
      </c>
      <c r="B179" s="40">
        <f>'Base case probabilities'!G26</f>
        <v>0.1733800350262697</v>
      </c>
      <c r="C179" t="s">
        <v>460</v>
      </c>
    </row>
    <row r="180" spans="1:3" x14ac:dyDescent="0.3">
      <c r="A180" t="s">
        <v>608</v>
      </c>
      <c r="B180" s="40">
        <f>'Base case probabilities'!G27</f>
        <v>0.82661996497373025</v>
      </c>
      <c r="C180" t="s">
        <v>461</v>
      </c>
    </row>
    <row r="181" spans="1:3" x14ac:dyDescent="0.3">
      <c r="B181" s="40"/>
    </row>
    <row r="182" spans="1:3" x14ac:dyDescent="0.3">
      <c r="A182" t="s">
        <v>301</v>
      </c>
      <c r="B182" s="40">
        <f>'Base case probabilities'!B43</f>
        <v>0.68135593220338986</v>
      </c>
      <c r="C182" t="s">
        <v>305</v>
      </c>
    </row>
    <row r="183" spans="1:3" x14ac:dyDescent="0.3">
      <c r="A183" t="s">
        <v>609</v>
      </c>
      <c r="B183" s="40">
        <f>'Base case probabilities'!B44</f>
        <v>0.31864406779661014</v>
      </c>
      <c r="C183" t="s">
        <v>306</v>
      </c>
    </row>
    <row r="184" spans="1:3" x14ac:dyDescent="0.3">
      <c r="A184" t="s">
        <v>610</v>
      </c>
      <c r="B184" s="40">
        <f>'Base case probabilities'!G43</f>
        <v>0.34769230769230769</v>
      </c>
      <c r="C184" t="s">
        <v>463</v>
      </c>
    </row>
    <row r="185" spans="1:3" x14ac:dyDescent="0.3">
      <c r="A185" t="s">
        <v>611</v>
      </c>
      <c r="B185" s="40">
        <f>'Base case probabilities'!G44</f>
        <v>0.65230769230769226</v>
      </c>
      <c r="C185" t="s">
        <v>308</v>
      </c>
    </row>
    <row r="186" spans="1:3" x14ac:dyDescent="0.3">
      <c r="B186" s="40"/>
    </row>
    <row r="187" spans="1:3" x14ac:dyDescent="0.3">
      <c r="A187" t="s">
        <v>612</v>
      </c>
      <c r="B187" s="40">
        <f>'Base case probabilities'!B55</f>
        <v>0.44409547738693467</v>
      </c>
      <c r="C187" t="s">
        <v>476</v>
      </c>
    </row>
    <row r="188" spans="1:3" x14ac:dyDescent="0.3">
      <c r="A188" t="s">
        <v>613</v>
      </c>
      <c r="B188" s="40">
        <f>'Base case probabilities'!B56</f>
        <v>0.55590452261306533</v>
      </c>
      <c r="C188" t="s">
        <v>479</v>
      </c>
    </row>
    <row r="189" spans="1:3" x14ac:dyDescent="0.3">
      <c r="A189" t="s">
        <v>614</v>
      </c>
      <c r="B189" s="40">
        <f>'Base case probabilities'!G55</f>
        <v>0</v>
      </c>
      <c r="C189" t="s">
        <v>477</v>
      </c>
    </row>
    <row r="190" spans="1:3" x14ac:dyDescent="0.3">
      <c r="A190" t="s">
        <v>615</v>
      </c>
      <c r="B190" s="40">
        <f>'Base case probabilities'!G56</f>
        <v>1</v>
      </c>
      <c r="C190" t="s">
        <v>478</v>
      </c>
    </row>
    <row r="191" spans="1:3" x14ac:dyDescent="0.3">
      <c r="A191" t="s">
        <v>616</v>
      </c>
      <c r="B191" s="40">
        <f>'Base case probabilities'!B59</f>
        <v>1</v>
      </c>
      <c r="C191" t="s">
        <v>480</v>
      </c>
    </row>
    <row r="192" spans="1:3" x14ac:dyDescent="0.3">
      <c r="A192" t="s">
        <v>617</v>
      </c>
      <c r="B192" s="40">
        <f>'Base case probabilities'!C60</f>
        <v>0</v>
      </c>
      <c r="C192" t="s">
        <v>481</v>
      </c>
    </row>
    <row r="193" spans="1:3" x14ac:dyDescent="0.3">
      <c r="A193" t="s">
        <v>618</v>
      </c>
      <c r="B193" s="40">
        <f>'Base case probabilities'!G59</f>
        <v>0.18995639845107781</v>
      </c>
      <c r="C193" t="s">
        <v>482</v>
      </c>
    </row>
    <row r="194" spans="1:3" x14ac:dyDescent="0.3">
      <c r="A194" t="s">
        <v>619</v>
      </c>
      <c r="B194" s="40">
        <f>'Base case probabilities'!G60</f>
        <v>0.81004360154892219</v>
      </c>
      <c r="C194" t="s">
        <v>483</v>
      </c>
    </row>
    <row r="195" spans="1:3" x14ac:dyDescent="0.3">
      <c r="B195" s="40"/>
    </row>
    <row r="196" spans="1:3" x14ac:dyDescent="0.3">
      <c r="A196" s="68" t="s">
        <v>620</v>
      </c>
      <c r="B196" s="40">
        <f>'Base case probabilities'!B74</f>
        <v>8.4066666666666665E-2</v>
      </c>
      <c r="C196" t="s">
        <v>492</v>
      </c>
    </row>
    <row r="197" spans="1:3" x14ac:dyDescent="0.3">
      <c r="A197" t="s">
        <v>621</v>
      </c>
      <c r="B197" s="40">
        <f>'Base case probabilities'!B75</f>
        <v>0.91593333333333338</v>
      </c>
      <c r="C197" t="s">
        <v>493</v>
      </c>
    </row>
    <row r="198" spans="1:3" x14ac:dyDescent="0.3">
      <c r="A198" s="68" t="s">
        <v>622</v>
      </c>
      <c r="B198" s="40">
        <f>'Base case probabilities'!G74</f>
        <v>3.5174999999999998E-2</v>
      </c>
      <c r="C198" t="s">
        <v>494</v>
      </c>
    </row>
    <row r="199" spans="1:3" x14ac:dyDescent="0.3">
      <c r="A199" t="s">
        <v>623</v>
      </c>
      <c r="B199" s="40">
        <f>'Base case probabilities'!G75</f>
        <v>0.96482500000000004</v>
      </c>
      <c r="C199" t="s">
        <v>495</v>
      </c>
    </row>
    <row r="200" spans="1:3" x14ac:dyDescent="0.3">
      <c r="A200" s="68" t="s">
        <v>624</v>
      </c>
      <c r="B200" s="40">
        <f>'Base case probabilities'!B77</f>
        <v>1.3200000000000002E-2</v>
      </c>
      <c r="C200" t="s">
        <v>496</v>
      </c>
    </row>
    <row r="201" spans="1:3" x14ac:dyDescent="0.3">
      <c r="A201" t="s">
        <v>625</v>
      </c>
      <c r="B201" s="40">
        <f>'Base case probabilities'!B78</f>
        <v>0.98680000000000001</v>
      </c>
      <c r="C201" t="s">
        <v>497</v>
      </c>
    </row>
    <row r="202" spans="1:3" x14ac:dyDescent="0.3">
      <c r="A202" s="68" t="s">
        <v>626</v>
      </c>
      <c r="B202" s="40">
        <f>'Base case probabilities'!G77</f>
        <v>6.2333333333333338E-3</v>
      </c>
      <c r="C202" t="s">
        <v>498</v>
      </c>
    </row>
    <row r="203" spans="1:3" x14ac:dyDescent="0.3">
      <c r="A203" t="s">
        <v>627</v>
      </c>
      <c r="B203" s="40">
        <f>'Base case probabilities'!G78</f>
        <v>0.99376666666666669</v>
      </c>
      <c r="C203" t="s">
        <v>499</v>
      </c>
    </row>
    <row r="204" spans="1:3" x14ac:dyDescent="0.3">
      <c r="B204" s="40"/>
    </row>
    <row r="205" spans="1:3" x14ac:dyDescent="0.3">
      <c r="A205" t="s">
        <v>628</v>
      </c>
      <c r="B205" s="40">
        <f>'Base case probabilities'!B81</f>
        <v>0.45</v>
      </c>
      <c r="C205" t="s">
        <v>504</v>
      </c>
    </row>
    <row r="206" spans="1:3" x14ac:dyDescent="0.3">
      <c r="A206" t="s">
        <v>629</v>
      </c>
      <c r="B206" s="40">
        <f>'Base case probabilities'!B82</f>
        <v>0.55000000000000004</v>
      </c>
      <c r="C206" t="s">
        <v>505</v>
      </c>
    </row>
    <row r="207" spans="1:3" x14ac:dyDescent="0.3">
      <c r="A207" t="s">
        <v>630</v>
      </c>
      <c r="B207" s="40">
        <f>'Base case probabilities'!G81</f>
        <v>0</v>
      </c>
      <c r="C207" t="s">
        <v>506</v>
      </c>
    </row>
    <row r="208" spans="1:3" x14ac:dyDescent="0.3">
      <c r="A208" t="s">
        <v>631</v>
      </c>
      <c r="B208" s="40">
        <f>'Base case probabilities'!G82</f>
        <v>1</v>
      </c>
      <c r="C208" t="s">
        <v>507</v>
      </c>
    </row>
    <row r="209" spans="1:3" x14ac:dyDescent="0.3">
      <c r="B209" s="40"/>
    </row>
    <row r="210" spans="1:3" x14ac:dyDescent="0.3">
      <c r="A210" t="s">
        <v>632</v>
      </c>
      <c r="B210" s="40">
        <f>'Base case probabilities'!B91</f>
        <v>0.2155</v>
      </c>
      <c r="C210" t="s">
        <v>515</v>
      </c>
    </row>
    <row r="211" spans="1:3" x14ac:dyDescent="0.3">
      <c r="A211" t="s">
        <v>633</v>
      </c>
      <c r="B211" s="40">
        <f>'Base case probabilities'!B92</f>
        <v>0.78449999999999998</v>
      </c>
      <c r="C211" t="s">
        <v>516</v>
      </c>
    </row>
    <row r="212" spans="1:3" x14ac:dyDescent="0.3">
      <c r="A212" t="s">
        <v>634</v>
      </c>
      <c r="B212" s="40">
        <f>'Base case probabilities'!G91</f>
        <v>0.26</v>
      </c>
      <c r="C212" t="s">
        <v>517</v>
      </c>
    </row>
    <row r="213" spans="1:3" x14ac:dyDescent="0.3">
      <c r="A213" t="s">
        <v>635</v>
      </c>
      <c r="B213" s="40">
        <f>'Base case probabilities'!G92</f>
        <v>0.74</v>
      </c>
      <c r="C213" t="s">
        <v>518</v>
      </c>
    </row>
    <row r="214" spans="1:3" x14ac:dyDescent="0.3">
      <c r="A214" t="s">
        <v>660</v>
      </c>
      <c r="B214" s="40">
        <f>'Base case probabilities'!B95</f>
        <v>0.15</v>
      </c>
      <c r="C214" t="s">
        <v>663</v>
      </c>
    </row>
    <row r="215" spans="1:3" x14ac:dyDescent="0.3">
      <c r="A215" t="s">
        <v>659</v>
      </c>
      <c r="B215" s="40">
        <f>'Base case probabilities'!B96</f>
        <v>0.85</v>
      </c>
      <c r="C215" t="s">
        <v>664</v>
      </c>
    </row>
    <row r="216" spans="1:3" x14ac:dyDescent="0.3">
      <c r="A216" t="s">
        <v>665</v>
      </c>
      <c r="B216" s="40">
        <f>'Base case probabilities'!G95</f>
        <v>0</v>
      </c>
      <c r="C216" t="s">
        <v>661</v>
      </c>
    </row>
    <row r="217" spans="1:3" x14ac:dyDescent="0.3">
      <c r="A217" t="s">
        <v>666</v>
      </c>
      <c r="B217" s="40">
        <f>'Base case probabilities'!G96</f>
        <v>1</v>
      </c>
      <c r="C217" t="s">
        <v>662</v>
      </c>
    </row>
    <row r="218" spans="1:3" x14ac:dyDescent="0.3">
      <c r="B218" s="40"/>
    </row>
    <row r="219" spans="1:3" x14ac:dyDescent="0.3">
      <c r="A219" t="s">
        <v>636</v>
      </c>
      <c r="B219" s="40">
        <f>'Base case probabilities'!B99</f>
        <v>0.36099999999999999</v>
      </c>
      <c r="C219" t="s">
        <v>307</v>
      </c>
    </row>
    <row r="220" spans="1:3" x14ac:dyDescent="0.3">
      <c r="A220" t="s">
        <v>637</v>
      </c>
      <c r="B220" s="40">
        <f>'Base case probabilities'!B100</f>
        <v>0.63900000000000001</v>
      </c>
      <c r="C220" t="s">
        <v>523</v>
      </c>
    </row>
    <row r="221" spans="1:3" x14ac:dyDescent="0.3">
      <c r="A221" t="s">
        <v>638</v>
      </c>
      <c r="B221" s="40">
        <f>'Base case probabilities'!G99</f>
        <v>0</v>
      </c>
      <c r="C221" t="s">
        <v>524</v>
      </c>
    </row>
    <row r="222" spans="1:3" x14ac:dyDescent="0.3">
      <c r="A222" t="s">
        <v>639</v>
      </c>
      <c r="B222" s="40">
        <f>'Base case probabilities'!G100</f>
        <v>1</v>
      </c>
      <c r="C222" t="s">
        <v>525</v>
      </c>
    </row>
    <row r="223" spans="1:3" x14ac:dyDescent="0.3">
      <c r="B223" s="40"/>
    </row>
    <row r="224" spans="1:3" x14ac:dyDescent="0.3">
      <c r="A224" t="s">
        <v>640</v>
      </c>
      <c r="B224" s="40">
        <f>'Base case probabilities'!B103</f>
        <v>5.1333333333333335E-2</v>
      </c>
      <c r="C224" t="s">
        <v>526</v>
      </c>
    </row>
    <row r="225" spans="1:5" x14ac:dyDescent="0.3">
      <c r="A225" t="s">
        <v>641</v>
      </c>
      <c r="B225" s="40">
        <f>'Base case probabilities'!B104</f>
        <v>0.94866666666666666</v>
      </c>
      <c r="C225" t="s">
        <v>527</v>
      </c>
    </row>
    <row r="226" spans="1:5" x14ac:dyDescent="0.3">
      <c r="A226" t="s">
        <v>642</v>
      </c>
      <c r="B226" s="40">
        <f>'Base case probabilities'!G103</f>
        <v>3.3085576536761752E-2</v>
      </c>
      <c r="C226" t="s">
        <v>528</v>
      </c>
    </row>
    <row r="227" spans="1:5" x14ac:dyDescent="0.3">
      <c r="A227" t="s">
        <v>643</v>
      </c>
      <c r="B227" s="40">
        <f>'Base case probabilities'!G104</f>
        <v>0.9669144234632383</v>
      </c>
      <c r="C227" t="s">
        <v>529</v>
      </c>
    </row>
    <row r="228" spans="1:5" x14ac:dyDescent="0.3">
      <c r="B228" s="40"/>
    </row>
    <row r="229" spans="1:5" x14ac:dyDescent="0.3">
      <c r="A229" s="67" t="s">
        <v>311</v>
      </c>
      <c r="B229" s="67"/>
      <c r="C229" s="67"/>
      <c r="D229" s="67" t="s">
        <v>302</v>
      </c>
      <c r="E229" s="67" t="s">
        <v>32</v>
      </c>
    </row>
    <row r="231" spans="1:5" ht="28.8" x14ac:dyDescent="0.3">
      <c r="A231" t="s">
        <v>314</v>
      </c>
      <c r="B231" s="88">
        <f>'Parameter Values'!C11</f>
        <v>0.10100000000000001</v>
      </c>
      <c r="C231" s="22"/>
      <c r="D231" s="35" t="s">
        <v>667</v>
      </c>
      <c r="E231" t="s">
        <v>668</v>
      </c>
    </row>
    <row r="232" spans="1:5" x14ac:dyDescent="0.3">
      <c r="A232" t="s">
        <v>646</v>
      </c>
      <c r="B232" s="88">
        <f>'Parameter Values'!C12</f>
        <v>0.76</v>
      </c>
      <c r="C232" t="s">
        <v>671</v>
      </c>
      <c r="D232" t="s">
        <v>312</v>
      </c>
      <c r="E232" t="s">
        <v>669</v>
      </c>
    </row>
    <row r="233" spans="1:5" x14ac:dyDescent="0.3">
      <c r="A233" t="s">
        <v>315</v>
      </c>
      <c r="B233" s="88">
        <f>'Parameter Values'!C13</f>
        <v>0.71</v>
      </c>
      <c r="C233" t="s">
        <v>670</v>
      </c>
      <c r="D233" t="s">
        <v>313</v>
      </c>
      <c r="E233" t="s">
        <v>673</v>
      </c>
    </row>
    <row r="234" spans="1:5" x14ac:dyDescent="0.3">
      <c r="A234" t="s">
        <v>316</v>
      </c>
      <c r="B234" s="88">
        <f>'Parameter Values'!C14</f>
        <v>0.9</v>
      </c>
      <c r="C234" t="s">
        <v>672</v>
      </c>
      <c r="D234" t="s">
        <v>317</v>
      </c>
      <c r="E234" t="s">
        <v>674</v>
      </c>
    </row>
    <row r="235" spans="1:5" x14ac:dyDescent="0.3">
      <c r="A235" t="s">
        <v>675</v>
      </c>
      <c r="B235" s="88">
        <f>'Parameter Values'!C15</f>
        <v>9.2999999999999999E-2</v>
      </c>
      <c r="D235" t="s">
        <v>817</v>
      </c>
      <c r="E235" t="s">
        <v>818</v>
      </c>
    </row>
    <row r="237" spans="1:5" x14ac:dyDescent="0.3">
      <c r="A237" s="20" t="s">
        <v>58</v>
      </c>
      <c r="B237" s="20"/>
      <c r="C237" s="20"/>
      <c r="D237" s="20"/>
      <c r="E237" s="20"/>
    </row>
    <row r="238" spans="1:5" x14ac:dyDescent="0.3">
      <c r="B238" s="21"/>
      <c r="C238" s="21"/>
      <c r="E238" s="21"/>
    </row>
    <row r="239" spans="1:5" x14ac:dyDescent="0.3">
      <c r="A239" t="s">
        <v>278</v>
      </c>
      <c r="B239" s="42">
        <f>'Parameter Values'!C10</f>
        <v>2300</v>
      </c>
      <c r="C239" s="42"/>
      <c r="E239" s="42"/>
    </row>
    <row r="240" spans="1:5" x14ac:dyDescent="0.3">
      <c r="A240" t="s">
        <v>739</v>
      </c>
      <c r="B240" s="42">
        <f>'Parameter Values'!C39</f>
        <v>11040</v>
      </c>
      <c r="C240" s="42"/>
      <c r="E240" s="42"/>
    </row>
    <row r="241" spans="1:5" x14ac:dyDescent="0.3">
      <c r="A241" t="s">
        <v>279</v>
      </c>
      <c r="B241" s="42">
        <f>'Parameter Values'!C40</f>
        <v>177</v>
      </c>
      <c r="C241" s="42"/>
      <c r="D241" s="42"/>
    </row>
    <row r="242" spans="1:5" x14ac:dyDescent="0.3">
      <c r="A242" t="s">
        <v>280</v>
      </c>
      <c r="B242" s="42">
        <f>'Parameter Values'!C41</f>
        <v>577.9017081081081</v>
      </c>
      <c r="C242" s="42"/>
      <c r="D242" s="42"/>
    </row>
    <row r="243" spans="1:5" x14ac:dyDescent="0.3">
      <c r="A243" t="s">
        <v>281</v>
      </c>
      <c r="B243" s="42">
        <f>'Parameter Values'!C42</f>
        <v>254701.55809999997</v>
      </c>
      <c r="C243" s="42"/>
      <c r="D243" s="42"/>
    </row>
    <row r="244" spans="1:5" x14ac:dyDescent="0.3">
      <c r="A244" t="s">
        <v>730</v>
      </c>
      <c r="B244" s="42">
        <f>'Parameter Values'!C43</f>
        <v>1255.2</v>
      </c>
      <c r="C244" s="42"/>
      <c r="D244" s="42"/>
    </row>
    <row r="245" spans="1:5" x14ac:dyDescent="0.3">
      <c r="A245" t="s">
        <v>339</v>
      </c>
      <c r="B245" s="42">
        <f>'Parameter Values'!C44</f>
        <v>1792</v>
      </c>
      <c r="C245" s="42"/>
      <c r="D245" s="42"/>
    </row>
    <row r="246" spans="1:5" x14ac:dyDescent="0.3">
      <c r="A246" t="s">
        <v>282</v>
      </c>
      <c r="B246" s="42">
        <f>'Parameter Values'!C45</f>
        <v>30595.610148205637</v>
      </c>
      <c r="C246" s="42"/>
      <c r="D246" s="42"/>
    </row>
    <row r="247" spans="1:5" x14ac:dyDescent="0.3">
      <c r="A247" t="s">
        <v>283</v>
      </c>
      <c r="B247" s="42">
        <f>'Parameter Values'!C46</f>
        <v>2936.2604000000001</v>
      </c>
      <c r="C247" s="42"/>
      <c r="D247" s="42"/>
    </row>
    <row r="248" spans="1:5" x14ac:dyDescent="0.3">
      <c r="A248" t="s">
        <v>284</v>
      </c>
      <c r="B248" s="42">
        <f>'Parameter Values'!C47</f>
        <v>42582.510902399998</v>
      </c>
      <c r="C248" s="42"/>
      <c r="D248" s="42"/>
    </row>
    <row r="249" spans="1:5" x14ac:dyDescent="0.3">
      <c r="A249" t="s">
        <v>285</v>
      </c>
      <c r="B249" s="42">
        <f>'Parameter Values'!C48</f>
        <v>3819</v>
      </c>
      <c r="C249" s="42"/>
      <c r="D249" s="42"/>
    </row>
    <row r="250" spans="1:5" x14ac:dyDescent="0.3">
      <c r="A250" t="s">
        <v>286</v>
      </c>
      <c r="B250" s="42">
        <f>'Parameter Values'!C49</f>
        <v>907</v>
      </c>
      <c r="C250" s="42"/>
      <c r="D250" s="42"/>
    </row>
    <row r="251" spans="1:5" x14ac:dyDescent="0.3">
      <c r="A251" t="s">
        <v>287</v>
      </c>
      <c r="B251" s="42">
        <f>'Parameter Values'!C50</f>
        <v>3363</v>
      </c>
      <c r="C251" s="42"/>
      <c r="D251" s="42"/>
    </row>
    <row r="252" spans="1:5" hidden="1" x14ac:dyDescent="0.3">
      <c r="A252" t="s">
        <v>288</v>
      </c>
      <c r="B252" s="42">
        <f>Cost!D76</f>
        <v>492838.31415600004</v>
      </c>
      <c r="C252" s="42"/>
      <c r="D252" s="42"/>
    </row>
    <row r="253" spans="1:5" hidden="1" x14ac:dyDescent="0.3">
      <c r="A253" t="s">
        <v>289</v>
      </c>
      <c r="B253" s="42">
        <f>Cost!D77/(1+DR)^2</f>
        <v>1994562.3061877554</v>
      </c>
      <c r="C253" s="42" t="s">
        <v>348</v>
      </c>
    </row>
    <row r="254" spans="1:5" x14ac:dyDescent="0.3">
      <c r="B254" s="42"/>
      <c r="C254" s="42"/>
      <c r="D254" s="42"/>
    </row>
    <row r="255" spans="1:5" x14ac:dyDescent="0.3">
      <c r="A255" s="20" t="s">
        <v>50</v>
      </c>
      <c r="B255" s="20"/>
      <c r="C255" s="20"/>
      <c r="D255" s="20"/>
      <c r="E255" s="20"/>
    </row>
    <row r="256" spans="1:5" x14ac:dyDescent="0.3">
      <c r="B256" s="42"/>
      <c r="C256" s="42"/>
      <c r="D256" s="42"/>
    </row>
    <row r="257" spans="1:5" x14ac:dyDescent="0.3">
      <c r="A257" t="s">
        <v>368</v>
      </c>
      <c r="B257" s="40">
        <f>'Parameter Values'!C17</f>
        <v>0.13300000000000001</v>
      </c>
      <c r="C257" s="40" t="s">
        <v>709</v>
      </c>
      <c r="D257" s="42"/>
    </row>
    <row r="258" spans="1:5" x14ac:dyDescent="0.3">
      <c r="A258" t="s">
        <v>712</v>
      </c>
      <c r="B258" s="40">
        <f>'Parameter Values'!C18</f>
        <v>6.0999999999999999E-2</v>
      </c>
      <c r="C258" s="40" t="s">
        <v>704</v>
      </c>
      <c r="D258" s="42"/>
    </row>
    <row r="259" spans="1:5" x14ac:dyDescent="0.3">
      <c r="A259" t="s">
        <v>165</v>
      </c>
      <c r="B259" s="40">
        <v>1</v>
      </c>
      <c r="C259" s="40"/>
      <c r="D259" s="42"/>
    </row>
    <row r="260" spans="1:5" x14ac:dyDescent="0.3">
      <c r="B260" s="40"/>
      <c r="C260" s="40"/>
      <c r="D260" s="42"/>
    </row>
    <row r="261" spans="1:5" x14ac:dyDescent="0.3">
      <c r="A261" s="20" t="s">
        <v>713</v>
      </c>
      <c r="B261" s="20"/>
      <c r="C261" s="20"/>
      <c r="D261" s="20"/>
      <c r="E261" s="20"/>
    </row>
    <row r="262" spans="1:5" x14ac:dyDescent="0.3">
      <c r="B262" s="42"/>
      <c r="C262" s="42"/>
      <c r="D262" s="42"/>
    </row>
    <row r="263" spans="1:5" x14ac:dyDescent="0.3">
      <c r="A263" t="s">
        <v>214</v>
      </c>
      <c r="B263" s="40">
        <f>'DALY - SB'!D71</f>
        <v>19.181538114427529</v>
      </c>
      <c r="C263" s="40" t="s">
        <v>698</v>
      </c>
      <c r="D263" s="40"/>
      <c r="E263" t="s">
        <v>327</v>
      </c>
    </row>
    <row r="264" spans="1:5" x14ac:dyDescent="0.3">
      <c r="A264" t="s">
        <v>215</v>
      </c>
      <c r="B264" s="40">
        <v>0</v>
      </c>
      <c r="C264" s="40" t="s">
        <v>698</v>
      </c>
      <c r="D264" s="40"/>
      <c r="E264" t="s">
        <v>327</v>
      </c>
    </row>
    <row r="265" spans="1:5" x14ac:dyDescent="0.3">
      <c r="A265" t="s">
        <v>224</v>
      </c>
      <c r="B265" s="40">
        <f>'DALY - CLD'!B10</f>
        <v>0.53465956747782661</v>
      </c>
      <c r="C265" s="40" t="s">
        <v>698</v>
      </c>
      <c r="E265" t="s">
        <v>327</v>
      </c>
    </row>
    <row r="266" spans="1:5" x14ac:dyDescent="0.3">
      <c r="A266" t="s">
        <v>223</v>
      </c>
      <c r="B266" s="40">
        <f>'DALY - motor impairement'!B10</f>
        <v>17.270393127285455</v>
      </c>
      <c r="C266" s="40" t="s">
        <v>698</v>
      </c>
      <c r="E266" t="s">
        <v>327</v>
      </c>
    </row>
    <row r="267" spans="1:5" x14ac:dyDescent="0.3">
      <c r="A267" s="73" t="s">
        <v>319</v>
      </c>
      <c r="B267" s="74">
        <v>0.92</v>
      </c>
      <c r="C267" s="73" t="s">
        <v>350</v>
      </c>
      <c r="D267" s="73" t="s">
        <v>320</v>
      </c>
      <c r="E267" s="73" t="s">
        <v>321</v>
      </c>
    </row>
    <row r="268" spans="1:5" x14ac:dyDescent="0.3">
      <c r="B268" s="40"/>
      <c r="C268" s="40"/>
    </row>
    <row r="269" spans="1:5" x14ac:dyDescent="0.3">
      <c r="A269" s="20" t="s">
        <v>51</v>
      </c>
      <c r="B269" s="20"/>
      <c r="C269" s="20"/>
      <c r="D269" s="20"/>
      <c r="E269" s="20"/>
    </row>
    <row r="271" spans="1:5" x14ac:dyDescent="0.3">
      <c r="A271" t="s">
        <v>52</v>
      </c>
      <c r="B271" s="21">
        <v>0.05</v>
      </c>
      <c r="C271" s="21"/>
      <c r="D271" s="21" t="s">
        <v>318</v>
      </c>
      <c r="E271" t="s">
        <v>55</v>
      </c>
    </row>
  </sheetData>
  <phoneticPr fontId="14"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X131"/>
  <sheetViews>
    <sheetView zoomScale="50" zoomScaleNormal="50" workbookViewId="0">
      <selection activeCell="H44" sqref="H44"/>
    </sheetView>
  </sheetViews>
  <sheetFormatPr defaultColWidth="8.88671875" defaultRowHeight="14.4" x14ac:dyDescent="0.3"/>
  <cols>
    <col min="1" max="1" width="11.21875" bestFit="1" customWidth="1"/>
    <col min="4" max="4" width="10.77734375" bestFit="1" customWidth="1"/>
    <col min="6" max="6" width="13.109375" bestFit="1" customWidth="1"/>
    <col min="8" max="8" width="18.109375" bestFit="1" customWidth="1"/>
    <col min="10" max="10" width="21" bestFit="1" customWidth="1"/>
    <col min="12" max="12" width="25.88671875" style="46" bestFit="1" customWidth="1"/>
    <col min="13" max="13" width="28.77734375" bestFit="1" customWidth="1"/>
    <col min="14" max="14" width="14.44140625" style="42" bestFit="1" customWidth="1"/>
    <col min="15" max="15" width="14.5546875" bestFit="1" customWidth="1"/>
    <col min="16" max="16" width="17.6640625" style="42" bestFit="1" customWidth="1"/>
    <col min="17" max="17" width="20.109375" bestFit="1" customWidth="1"/>
  </cols>
  <sheetData>
    <row r="1" spans="4:17" x14ac:dyDescent="0.3">
      <c r="L1" s="52" t="s">
        <v>59</v>
      </c>
      <c r="M1" s="53" t="s">
        <v>60</v>
      </c>
      <c r="N1" s="54" t="s">
        <v>67</v>
      </c>
      <c r="O1" s="53" t="s">
        <v>63</v>
      </c>
      <c r="P1" s="55" t="s">
        <v>66</v>
      </c>
      <c r="Q1" s="53" t="s">
        <v>64</v>
      </c>
    </row>
    <row r="2" spans="4:17" x14ac:dyDescent="0.3">
      <c r="L2" s="56" t="s">
        <v>4</v>
      </c>
      <c r="M2" s="57"/>
      <c r="N2" s="55"/>
      <c r="O2" s="57"/>
      <c r="P2" s="55"/>
      <c r="Q2" s="57"/>
    </row>
    <row r="3" spans="4:17" x14ac:dyDescent="0.3">
      <c r="L3"/>
      <c r="N3"/>
      <c r="P3"/>
    </row>
    <row r="4" spans="4:17" x14ac:dyDescent="0.3">
      <c r="J4" s="19" t="s">
        <v>221</v>
      </c>
      <c r="K4" s="19"/>
      <c r="L4">
        <v>1</v>
      </c>
      <c r="M4" s="59" t="e">
        <f>B22*D14*F11*H8*J5</f>
        <v>#REF!</v>
      </c>
      <c r="N4" s="42">
        <f>A29+B23+D15+F12+H9+J6</f>
        <v>331841.58085871371</v>
      </c>
      <c r="O4">
        <f>u_ChronicResp</f>
        <v>0.53465956747782661</v>
      </c>
      <c r="P4" s="60" t="e">
        <f>M4*N4</f>
        <v>#REF!</v>
      </c>
      <c r="Q4" s="62" t="e">
        <f>M4*O4</f>
        <v>#REF!</v>
      </c>
    </row>
    <row r="5" spans="4:17" x14ac:dyDescent="0.3">
      <c r="J5" s="47" t="e">
        <f>Rate_of_chronic_lung_disease</f>
        <v>#REF!</v>
      </c>
      <c r="L5"/>
      <c r="N5"/>
      <c r="P5"/>
    </row>
    <row r="6" spans="4:17" x14ac:dyDescent="0.3">
      <c r="J6" s="48">
        <f>ChronicResp_cost</f>
        <v>42582.510902399998</v>
      </c>
      <c r="L6" s="58"/>
      <c r="M6" s="59"/>
      <c r="N6" s="59"/>
      <c r="O6" s="59"/>
      <c r="P6" s="59"/>
      <c r="Q6" s="59"/>
    </row>
    <row r="7" spans="4:17" x14ac:dyDescent="0.3">
      <c r="H7" s="19" t="s">
        <v>9</v>
      </c>
      <c r="I7" s="19"/>
      <c r="J7" s="19" t="s">
        <v>220</v>
      </c>
      <c r="K7" s="19"/>
      <c r="L7" s="46">
        <v>2</v>
      </c>
      <c r="M7" s="59" t="e">
        <f>B22*D14*F11*H8*J8</f>
        <v>#REF!</v>
      </c>
      <c r="N7" s="60">
        <f>A29+B23+D15+F12+H9+J9</f>
        <v>289259.0699563137</v>
      </c>
      <c r="O7" s="59">
        <f>u_Healthy</f>
        <v>0</v>
      </c>
      <c r="P7" s="60" t="e">
        <f>M7*N7</f>
        <v>#REF!</v>
      </c>
      <c r="Q7" s="59" t="e">
        <f>M7*O7</f>
        <v>#REF!</v>
      </c>
    </row>
    <row r="8" spans="4:17" x14ac:dyDescent="0.3">
      <c r="H8" s="47" t="e">
        <f>RDS_rate</f>
        <v>#REF!</v>
      </c>
      <c r="J8" s="47" t="e">
        <f>1-J5</f>
        <v>#REF!</v>
      </c>
      <c r="L8" s="61"/>
      <c r="M8" s="59"/>
      <c r="N8" s="60"/>
      <c r="O8" s="59"/>
      <c r="P8" s="60"/>
      <c r="Q8" s="62"/>
    </row>
    <row r="9" spans="4:17" x14ac:dyDescent="0.3">
      <c r="H9" s="48">
        <f>RDS_cost+follow_up__hosp__cost</f>
        <v>31502.610148205637</v>
      </c>
      <c r="J9" s="48"/>
      <c r="L9" s="61"/>
      <c r="M9" s="59"/>
      <c r="N9" s="60"/>
      <c r="O9" s="59"/>
      <c r="P9" s="60"/>
      <c r="Q9" s="62"/>
    </row>
    <row r="10" spans="4:17" x14ac:dyDescent="0.3">
      <c r="F10" s="19" t="s">
        <v>8</v>
      </c>
      <c r="H10" s="19" t="s">
        <v>203</v>
      </c>
      <c r="I10" s="19"/>
      <c r="J10" s="19"/>
      <c r="K10" s="19"/>
      <c r="L10" s="46">
        <v>3</v>
      </c>
      <c r="M10" s="59" t="e">
        <f>B22*D14*F11*H11</f>
        <v>#REF!</v>
      </c>
      <c r="N10" s="60">
        <f>A29+B23+D15+F12+H12</f>
        <v>258663.45980810808</v>
      </c>
      <c r="O10" s="59">
        <f>u_Healthy</f>
        <v>0</v>
      </c>
      <c r="P10" s="60" t="e">
        <f>M10*N10</f>
        <v>#REF!</v>
      </c>
      <c r="Q10" s="62" t="e">
        <f>M10*O10</f>
        <v>#REF!</v>
      </c>
    </row>
    <row r="11" spans="4:17" x14ac:dyDescent="0.3">
      <c r="F11" s="47" t="e">
        <f>LBW__reduction</f>
        <v>#REF!</v>
      </c>
      <c r="H11" s="47" t="e">
        <f>1-H8-H14</f>
        <v>#REF!</v>
      </c>
      <c r="L11"/>
      <c r="M11" s="59"/>
      <c r="N11" s="60"/>
      <c r="O11" s="59"/>
      <c r="P11" s="60"/>
      <c r="Q11" s="62"/>
    </row>
    <row r="12" spans="4:17" x14ac:dyDescent="0.3">
      <c r="F12" s="48">
        <f>LBW_cost</f>
        <v>254701.55809999997</v>
      </c>
      <c r="H12" s="48">
        <f>follow_up__hosp__cost</f>
        <v>907</v>
      </c>
      <c r="L12"/>
      <c r="M12" s="59"/>
      <c r="N12" s="60"/>
      <c r="O12" s="59"/>
      <c r="P12" s="60"/>
      <c r="Q12" s="62"/>
    </row>
    <row r="13" spans="4:17" x14ac:dyDescent="0.3">
      <c r="D13" s="19" t="s">
        <v>10</v>
      </c>
      <c r="H13" s="19" t="s">
        <v>165</v>
      </c>
      <c r="I13" s="19"/>
      <c r="J13" s="19"/>
      <c r="K13" s="19"/>
      <c r="L13" s="58">
        <v>4</v>
      </c>
      <c r="M13" s="59" t="e">
        <f>B22*D14*F11*H14</f>
        <v>#REF!</v>
      </c>
      <c r="N13" s="60">
        <f>A29+B23+D15+F12</f>
        <v>257756.45980810808</v>
      </c>
      <c r="O13" s="59">
        <f>u_Death</f>
        <v>19.181538114427529</v>
      </c>
      <c r="P13" s="60" t="e">
        <f>M13*N13</f>
        <v>#REF!</v>
      </c>
      <c r="Q13" s="62" t="e">
        <f>M13*O13</f>
        <v>#REF!</v>
      </c>
    </row>
    <row r="14" spans="4:17" x14ac:dyDescent="0.3">
      <c r="D14" s="47" t="e">
        <f>Preterm__ANC_and_PSG</f>
        <v>#REF!</v>
      </c>
      <c r="H14" s="47" t="e">
        <f>Rate_of_prem_death</f>
        <v>#REF!</v>
      </c>
      <c r="M14" s="59"/>
      <c r="N14" s="60"/>
      <c r="O14" s="59"/>
      <c r="P14" s="60"/>
      <c r="Q14" s="62"/>
    </row>
    <row r="15" spans="4:17" x14ac:dyDescent="0.3">
      <c r="D15" s="48">
        <f>Preterm_cost</f>
        <v>577.9017081081081</v>
      </c>
      <c r="L15" s="61"/>
      <c r="M15" s="59"/>
      <c r="N15" s="60"/>
      <c r="O15" s="59"/>
      <c r="P15" s="60"/>
      <c r="Q15" s="62"/>
    </row>
    <row r="16" spans="4:17" x14ac:dyDescent="0.3">
      <c r="F16" s="19" t="s">
        <v>201</v>
      </c>
      <c r="G16" s="19"/>
      <c r="H16" s="19"/>
      <c r="I16" s="19"/>
      <c r="J16" s="19"/>
      <c r="K16" s="19"/>
      <c r="L16" s="61">
        <v>5</v>
      </c>
      <c r="M16" s="59" t="e">
        <f>B22*D14*F17</f>
        <v>#REF!</v>
      </c>
      <c r="N16" s="60">
        <f>A29+B23+D15+F21</f>
        <v>3054.9017081081083</v>
      </c>
      <c r="O16" s="59">
        <f>u_Healthy</f>
        <v>0</v>
      </c>
      <c r="P16" s="60" t="e">
        <f>M16*N16</f>
        <v>#REF!</v>
      </c>
      <c r="Q16" s="62" t="e">
        <f>M16*O16</f>
        <v>#REF!</v>
      </c>
    </row>
    <row r="17" spans="1:17" x14ac:dyDescent="0.3">
      <c r="F17" s="47" t="e">
        <f>1-F11</f>
        <v>#REF!</v>
      </c>
      <c r="M17" s="59"/>
      <c r="N17" s="60"/>
      <c r="O17" s="59"/>
      <c r="P17" s="60"/>
      <c r="Q17" s="62"/>
    </row>
    <row r="18" spans="1:17" x14ac:dyDescent="0.3">
      <c r="F18" s="48">
        <f>follow_up__clinic__cost</f>
        <v>3363</v>
      </c>
      <c r="L18"/>
      <c r="M18" s="59"/>
      <c r="N18" s="60"/>
      <c r="O18" s="59"/>
      <c r="P18" s="60"/>
      <c r="Q18" s="62"/>
    </row>
    <row r="19" spans="1:17" x14ac:dyDescent="0.3">
      <c r="J19" s="19" t="s">
        <v>226</v>
      </c>
      <c r="K19" s="19"/>
      <c r="L19">
        <v>6</v>
      </c>
      <c r="M19" s="59" t="e">
        <f>B22*D28*F26*H23*J20</f>
        <v>#REF!</v>
      </c>
      <c r="N19" s="60">
        <f>A29+B23+H24+J21</f>
        <v>12595.260399999999</v>
      </c>
      <c r="O19" s="59">
        <f>u_CongnitiveImpairement</f>
        <v>17.270393127285455</v>
      </c>
      <c r="P19" s="60" t="e">
        <f>M19*N19</f>
        <v>#REF!</v>
      </c>
      <c r="Q19" s="62" t="e">
        <f>M19*O19</f>
        <v>#REF!</v>
      </c>
    </row>
    <row r="20" spans="1:17" x14ac:dyDescent="0.3">
      <c r="J20" s="47" t="e">
        <f>Rate_of_cognitive_impairement</f>
        <v>#REF!</v>
      </c>
      <c r="L20" s="58"/>
      <c r="M20" s="59"/>
      <c r="N20" s="60"/>
      <c r="O20" s="59"/>
      <c r="P20" s="60"/>
      <c r="Q20" s="62"/>
    </row>
    <row r="21" spans="1:17" x14ac:dyDescent="0.3">
      <c r="B21" s="19" t="s">
        <v>202</v>
      </c>
      <c r="J21" s="48">
        <f>Cognitive_impairement_cost</f>
        <v>3819</v>
      </c>
      <c r="M21" s="59"/>
      <c r="N21" s="60"/>
      <c r="O21" s="59"/>
      <c r="P21" s="60"/>
      <c r="Q21" s="62"/>
    </row>
    <row r="22" spans="1:17" x14ac:dyDescent="0.3">
      <c r="B22" s="47" t="e">
        <f>ANC_first_vist__increase</f>
        <v>#REF!</v>
      </c>
      <c r="H22" s="19" t="s">
        <v>161</v>
      </c>
      <c r="I22" s="19"/>
      <c r="J22" s="19" t="s">
        <v>204</v>
      </c>
      <c r="K22" s="19"/>
      <c r="L22" s="61">
        <v>7</v>
      </c>
      <c r="M22" s="59" t="e">
        <f>B22*D28*F26*H23*J23</f>
        <v>#REF!</v>
      </c>
      <c r="N22" s="60">
        <f>A29+B23+H24+J24</f>
        <v>8776.2603999999992</v>
      </c>
      <c r="O22" s="59">
        <f>u_Healthy</f>
        <v>0</v>
      </c>
      <c r="P22" s="60" t="e">
        <f>M22*N22</f>
        <v>#REF!</v>
      </c>
      <c r="Q22" s="62" t="e">
        <f>M22*O22</f>
        <v>#REF!</v>
      </c>
    </row>
    <row r="23" spans="1:17" x14ac:dyDescent="0.3">
      <c r="B23" s="48">
        <f>ANC_cost</f>
        <v>177</v>
      </c>
      <c r="H23" s="47" t="e">
        <f>Hypoglycaemia</f>
        <v>#REF!</v>
      </c>
      <c r="J23" s="47" t="e">
        <f>1-J20</f>
        <v>#REF!</v>
      </c>
      <c r="L23" s="61"/>
      <c r="M23" s="59"/>
      <c r="N23" s="60"/>
      <c r="O23" s="59"/>
      <c r="P23" s="60"/>
      <c r="Q23" s="62"/>
    </row>
    <row r="24" spans="1:17" x14ac:dyDescent="0.3">
      <c r="H24" s="48">
        <f>Hypoglycaemia_cost+follow_up__clinic__cost</f>
        <v>6299.2604000000001</v>
      </c>
      <c r="M24" s="59"/>
      <c r="N24" s="60"/>
      <c r="O24" s="59"/>
      <c r="P24" s="60"/>
      <c r="Q24" s="62"/>
    </row>
    <row r="25" spans="1:17" x14ac:dyDescent="0.3">
      <c r="F25" s="19" t="s">
        <v>164</v>
      </c>
      <c r="H25" s="19" t="s">
        <v>204</v>
      </c>
      <c r="I25" s="19"/>
      <c r="J25" s="19"/>
      <c r="K25" s="19"/>
      <c r="L25">
        <v>8</v>
      </c>
      <c r="M25" s="59" t="e">
        <f>B22*D28*F26*H26</f>
        <v>#REF!</v>
      </c>
      <c r="N25" s="60">
        <f>A29+B23+H27</f>
        <v>5840</v>
      </c>
      <c r="O25" s="59">
        <f>u_Healthy</f>
        <v>0</v>
      </c>
      <c r="P25" s="60" t="e">
        <f>M25*N25</f>
        <v>#REF!</v>
      </c>
      <c r="Q25" s="62" t="e">
        <f>M25*O25</f>
        <v>#REF!</v>
      </c>
    </row>
    <row r="26" spans="1:17" x14ac:dyDescent="0.3">
      <c r="F26" s="47" t="e">
        <f>SGA__reduction</f>
        <v>#REF!</v>
      </c>
      <c r="H26" s="47" t="e">
        <f>1-H23</f>
        <v>#REF!</v>
      </c>
      <c r="L26"/>
      <c r="M26" s="59"/>
      <c r="N26" s="60"/>
      <c r="O26" s="59"/>
      <c r="P26" s="60"/>
      <c r="Q26" s="62"/>
    </row>
    <row r="27" spans="1:17" x14ac:dyDescent="0.3">
      <c r="D27" s="19" t="s">
        <v>11</v>
      </c>
      <c r="H27" s="48">
        <f>follow_up__clinic__cost</f>
        <v>3363</v>
      </c>
      <c r="L27" s="58"/>
      <c r="M27" s="59"/>
      <c r="N27" s="60"/>
      <c r="O27" s="59"/>
      <c r="P27" s="60"/>
      <c r="Q27" s="62"/>
    </row>
    <row r="28" spans="1:17" x14ac:dyDescent="0.3">
      <c r="A28" s="19" t="s">
        <v>205</v>
      </c>
      <c r="D28" s="47" t="e">
        <f>1-D14</f>
        <v>#REF!</v>
      </c>
      <c r="F28" s="19" t="s">
        <v>201</v>
      </c>
      <c r="G28" s="19"/>
      <c r="H28" s="19"/>
      <c r="I28" s="19"/>
      <c r="J28" s="19"/>
      <c r="K28" s="19"/>
      <c r="L28" s="46">
        <v>9</v>
      </c>
      <c r="M28" s="59" t="e">
        <f>B22*D28*F29</f>
        <v>#REF!</v>
      </c>
      <c r="N28" s="60">
        <f>A29+B23+F30</f>
        <v>5840</v>
      </c>
      <c r="O28" s="59">
        <f>u_Healthy</f>
        <v>0</v>
      </c>
      <c r="P28" s="60" t="e">
        <f>M28*N28</f>
        <v>#REF!</v>
      </c>
      <c r="Q28" s="62" t="e">
        <f>M28*O28</f>
        <v>#REF!</v>
      </c>
    </row>
    <row r="29" spans="1:17" x14ac:dyDescent="0.3">
      <c r="A29" s="48">
        <f>Grant_cost</f>
        <v>2300</v>
      </c>
      <c r="F29" s="47" t="e">
        <f>1-F26-F32</f>
        <v>#REF!</v>
      </c>
      <c r="L29" s="61"/>
      <c r="M29" s="59"/>
      <c r="N29" s="60"/>
      <c r="O29" s="59"/>
      <c r="P29" s="60"/>
      <c r="Q29" s="62"/>
    </row>
    <row r="30" spans="1:17" x14ac:dyDescent="0.3">
      <c r="F30" s="48">
        <f>follow_up__clinic__cost</f>
        <v>3363</v>
      </c>
      <c r="L30" s="61"/>
      <c r="M30" s="59"/>
      <c r="N30" s="60"/>
      <c r="O30" s="59"/>
      <c r="P30" s="60"/>
      <c r="Q30" s="62"/>
    </row>
    <row r="31" spans="1:17" x14ac:dyDescent="0.3">
      <c r="F31" s="19" t="s">
        <v>207</v>
      </c>
      <c r="G31" s="19"/>
      <c r="H31" s="19"/>
      <c r="I31" s="19"/>
      <c r="J31" s="19"/>
      <c r="K31" s="19"/>
      <c r="L31" s="46">
        <v>10</v>
      </c>
      <c r="M31" s="59" t="e">
        <f>B22*D28*F32</f>
        <v>#REF!</v>
      </c>
      <c r="N31" s="60">
        <f>A29+B23</f>
        <v>2477</v>
      </c>
      <c r="O31" s="59">
        <f>u_Death</f>
        <v>19.181538114427529</v>
      </c>
      <c r="P31" s="60" t="e">
        <f>M31*N31</f>
        <v>#REF!</v>
      </c>
      <c r="Q31" s="62" t="e">
        <f>M31*O31</f>
        <v>#REF!</v>
      </c>
    </row>
    <row r="32" spans="1:17" x14ac:dyDescent="0.3">
      <c r="F32" s="47" t="e">
        <f>Term_stillbirth</f>
        <v>#REF!</v>
      </c>
      <c r="L32"/>
      <c r="M32" s="59"/>
      <c r="N32" s="60"/>
      <c r="O32" s="59"/>
      <c r="P32" s="60"/>
      <c r="Q32" s="62"/>
    </row>
    <row r="33" spans="4:17" x14ac:dyDescent="0.3">
      <c r="L33"/>
      <c r="M33" s="59"/>
      <c r="N33" s="60"/>
      <c r="O33" s="59"/>
      <c r="P33" s="60"/>
      <c r="Q33" s="62"/>
    </row>
    <row r="34" spans="4:17" x14ac:dyDescent="0.3">
      <c r="J34" s="19" t="s">
        <v>221</v>
      </c>
      <c r="K34" s="19"/>
      <c r="L34" s="58">
        <v>11</v>
      </c>
      <c r="M34" s="59" t="e">
        <f>B52*D44*F41*H38*J35</f>
        <v>#REF!</v>
      </c>
      <c r="N34" s="60">
        <f>A29+D45+F42+H39+J36</f>
        <v>334120.58085871371</v>
      </c>
      <c r="O34" s="59">
        <f>u_ChronicResp</f>
        <v>0.53465956747782661</v>
      </c>
      <c r="P34" s="60" t="e">
        <f>M34*N34</f>
        <v>#REF!</v>
      </c>
      <c r="Q34" s="62" t="e">
        <f>M34*O34</f>
        <v>#REF!</v>
      </c>
    </row>
    <row r="35" spans="4:17" x14ac:dyDescent="0.3">
      <c r="J35" s="47" t="e">
        <f>Rate_of_chronic_lung_disease</f>
        <v>#REF!</v>
      </c>
      <c r="M35" s="59"/>
      <c r="N35" s="60"/>
      <c r="O35" s="59"/>
      <c r="P35" s="60"/>
      <c r="Q35" s="62"/>
    </row>
    <row r="36" spans="4:17" x14ac:dyDescent="0.3">
      <c r="J36" s="48">
        <f>ChronicResp_cost</f>
        <v>42582.510902399998</v>
      </c>
      <c r="L36" s="61"/>
      <c r="M36" s="59"/>
      <c r="N36" s="60"/>
      <c r="O36" s="59"/>
      <c r="P36" s="60"/>
      <c r="Q36" s="62"/>
    </row>
    <row r="37" spans="4:17" x14ac:dyDescent="0.3">
      <c r="H37" s="19" t="s">
        <v>9</v>
      </c>
      <c r="I37" s="19"/>
      <c r="J37" s="19" t="s">
        <v>220</v>
      </c>
      <c r="K37" s="19"/>
      <c r="L37" s="61">
        <v>12</v>
      </c>
      <c r="M37" s="59" t="e">
        <f>B52*D44*F41*H38*J38</f>
        <v>#REF!</v>
      </c>
      <c r="N37" s="60">
        <f>A29+D45+F42+H39+J39</f>
        <v>291538.0699563137</v>
      </c>
      <c r="O37" s="59">
        <f>u_Healthy</f>
        <v>0</v>
      </c>
      <c r="P37" s="60" t="e">
        <f>M37*N37</f>
        <v>#REF!</v>
      </c>
      <c r="Q37" s="62" t="e">
        <f>M37*O37</f>
        <v>#REF!</v>
      </c>
    </row>
    <row r="38" spans="4:17" x14ac:dyDescent="0.3">
      <c r="H38" s="47" t="e">
        <f>RDS_rate</f>
        <v>#REF!</v>
      </c>
      <c r="J38" s="47" t="e">
        <f>1-J35</f>
        <v>#REF!</v>
      </c>
      <c r="M38" s="59"/>
      <c r="N38" s="60"/>
      <c r="O38" s="59"/>
      <c r="P38" s="60"/>
      <c r="Q38" s="62"/>
    </row>
    <row r="39" spans="4:17" x14ac:dyDescent="0.3">
      <c r="H39" s="48">
        <f>RDS_cost+follow_up__clinic__cost</f>
        <v>33958.61014820564</v>
      </c>
      <c r="J39" s="48"/>
      <c r="L39"/>
      <c r="M39" s="59"/>
      <c r="N39" s="60"/>
      <c r="O39" s="59"/>
      <c r="P39" s="60"/>
      <c r="Q39" s="62"/>
    </row>
    <row r="40" spans="4:17" x14ac:dyDescent="0.3">
      <c r="F40" s="19" t="s">
        <v>8</v>
      </c>
      <c r="H40" s="19" t="s">
        <v>203</v>
      </c>
      <c r="I40" s="19"/>
      <c r="J40" s="19"/>
      <c r="K40" s="19"/>
      <c r="L40">
        <v>13</v>
      </c>
      <c r="M40" s="59" t="e">
        <f>B52*D44*F41*H41</f>
        <v>#REF!</v>
      </c>
      <c r="N40" s="60">
        <f>A29+D45+F42+H42</f>
        <v>258486.45980810808</v>
      </c>
      <c r="O40" s="59">
        <f>u_Healthy</f>
        <v>0</v>
      </c>
      <c r="P40" s="60" t="e">
        <f>M40*N40</f>
        <v>#REF!</v>
      </c>
      <c r="Q40" s="62" t="e">
        <f>M40*O40</f>
        <v>#REF!</v>
      </c>
    </row>
    <row r="41" spans="4:17" x14ac:dyDescent="0.3">
      <c r="F41" s="47" t="e">
        <f>LBW__reduction</f>
        <v>#REF!</v>
      </c>
      <c r="H41" s="47" t="e">
        <f>1-H38-H44</f>
        <v>#REF!</v>
      </c>
      <c r="L41" s="58"/>
      <c r="M41" s="59"/>
      <c r="N41" s="60"/>
      <c r="O41" s="59"/>
      <c r="P41" s="60"/>
      <c r="Q41" s="62"/>
    </row>
    <row r="42" spans="4:17" x14ac:dyDescent="0.3">
      <c r="F42" s="48">
        <f>LBW_cost</f>
        <v>254701.55809999997</v>
      </c>
      <c r="H42" s="48">
        <f>follow_up__hosp__cost</f>
        <v>907</v>
      </c>
      <c r="M42" s="59"/>
      <c r="N42" s="60"/>
      <c r="O42" s="59"/>
      <c r="P42" s="60"/>
      <c r="Q42" s="62"/>
    </row>
    <row r="43" spans="4:17" x14ac:dyDescent="0.3">
      <c r="D43" s="19" t="s">
        <v>10</v>
      </c>
      <c r="H43" s="19" t="s">
        <v>165</v>
      </c>
      <c r="I43" s="19"/>
      <c r="J43" s="19"/>
      <c r="K43" s="19"/>
      <c r="L43" s="61">
        <v>14</v>
      </c>
      <c r="M43" s="59" t="e">
        <f>B52*D44*F41*H44</f>
        <v>#REF!</v>
      </c>
      <c r="N43" s="60">
        <f>A29+D45+F42</f>
        <v>257579.45980810808</v>
      </c>
      <c r="O43" s="59">
        <f>u_Death</f>
        <v>19.181538114427529</v>
      </c>
      <c r="P43" s="60" t="e">
        <f>M43*N43</f>
        <v>#REF!</v>
      </c>
      <c r="Q43" s="62" t="e">
        <f>M43*O43</f>
        <v>#REF!</v>
      </c>
    </row>
    <row r="44" spans="4:17" x14ac:dyDescent="0.3">
      <c r="D44" s="47" t="e">
        <f>Preterm__reduction</f>
        <v>#REF!</v>
      </c>
      <c r="H44" s="47" t="e">
        <f>Rate_of_prem_death</f>
        <v>#REF!</v>
      </c>
      <c r="L44" s="61"/>
      <c r="M44" s="59"/>
      <c r="N44" s="60"/>
      <c r="O44" s="59"/>
      <c r="P44" s="60"/>
      <c r="Q44" s="62"/>
    </row>
    <row r="45" spans="4:17" x14ac:dyDescent="0.3">
      <c r="D45" s="48">
        <f>Preterm_cost</f>
        <v>577.9017081081081</v>
      </c>
      <c r="M45" s="59"/>
      <c r="N45" s="60"/>
      <c r="O45" s="59"/>
      <c r="P45" s="60"/>
      <c r="Q45" s="62"/>
    </row>
    <row r="46" spans="4:17" x14ac:dyDescent="0.3">
      <c r="F46" s="19" t="s">
        <v>201</v>
      </c>
      <c r="G46" s="19"/>
      <c r="H46" s="19"/>
      <c r="I46" s="19"/>
      <c r="J46" s="19"/>
      <c r="K46" s="19"/>
      <c r="L46">
        <v>15</v>
      </c>
      <c r="M46" s="59" t="e">
        <f>B52*D44*F47</f>
        <v>#REF!</v>
      </c>
      <c r="N46" s="60">
        <f>A29+D45+F48</f>
        <v>6240.9017081081083</v>
      </c>
      <c r="O46" s="59">
        <f>u_Healthy</f>
        <v>0</v>
      </c>
      <c r="P46" s="60" t="e">
        <f>M46*N46</f>
        <v>#REF!</v>
      </c>
      <c r="Q46" s="62" t="e">
        <f>M46*O46</f>
        <v>#REF!</v>
      </c>
    </row>
    <row r="47" spans="4:17" x14ac:dyDescent="0.3">
      <c r="F47" s="47" t="e">
        <f>1-F41</f>
        <v>#REF!</v>
      </c>
      <c r="L47"/>
      <c r="M47" s="59"/>
      <c r="N47" s="60"/>
      <c r="O47" s="59"/>
      <c r="P47" s="60"/>
      <c r="Q47" s="62"/>
    </row>
    <row r="48" spans="4:17" x14ac:dyDescent="0.3">
      <c r="F48" s="48">
        <f>follow_up__clinic__cost</f>
        <v>3363</v>
      </c>
      <c r="L48" s="58"/>
      <c r="M48" s="59"/>
      <c r="N48" s="60"/>
      <c r="O48" s="59"/>
      <c r="P48" s="60"/>
      <c r="Q48" s="62"/>
    </row>
    <row r="49" spans="1:17" x14ac:dyDescent="0.3">
      <c r="J49" s="19" t="s">
        <v>226</v>
      </c>
      <c r="K49" s="19"/>
      <c r="L49" s="46">
        <v>16</v>
      </c>
      <c r="M49" s="59" t="e">
        <f>B52*D60*F56*H53*J50</f>
        <v>#REF!</v>
      </c>
      <c r="N49" s="60">
        <f>A29+H54+J51</f>
        <v>12418.260399999999</v>
      </c>
      <c r="O49" s="59">
        <f>u_CongnitiveImpairement</f>
        <v>17.270393127285455</v>
      </c>
      <c r="P49" s="60" t="e">
        <f>M49*N49</f>
        <v>#REF!</v>
      </c>
      <c r="Q49" s="62" t="e">
        <f>M49*O49</f>
        <v>#REF!</v>
      </c>
    </row>
    <row r="50" spans="1:17" x14ac:dyDescent="0.3">
      <c r="J50" s="47" t="e">
        <f>Rate_of_cognitive_impairement</f>
        <v>#REF!</v>
      </c>
      <c r="L50" s="61"/>
      <c r="M50" s="59"/>
      <c r="N50" s="60"/>
      <c r="O50" s="59"/>
      <c r="P50" s="60"/>
      <c r="Q50" s="62"/>
    </row>
    <row r="51" spans="1:17" x14ac:dyDescent="0.3">
      <c r="B51" s="19" t="s">
        <v>23</v>
      </c>
      <c r="J51" s="48">
        <f>Cognitive_impairement_cost</f>
        <v>3819</v>
      </c>
      <c r="L51" s="61"/>
      <c r="M51" s="59"/>
      <c r="N51" s="60"/>
      <c r="O51" s="59"/>
      <c r="P51" s="60"/>
      <c r="Q51" s="62"/>
    </row>
    <row r="52" spans="1:17" x14ac:dyDescent="0.3">
      <c r="B52" s="47" t="e">
        <f>1-B22</f>
        <v>#REF!</v>
      </c>
      <c r="H52" s="19" t="s">
        <v>161</v>
      </c>
      <c r="I52" s="19"/>
      <c r="J52" s="19" t="s">
        <v>204</v>
      </c>
      <c r="K52" s="19"/>
      <c r="L52" s="46">
        <v>17</v>
      </c>
      <c r="M52" s="59" t="e">
        <f>B52*D60*F56*H53*J53</f>
        <v>#REF!</v>
      </c>
      <c r="N52" s="60">
        <f>A29+H54+J54</f>
        <v>8599.2603999999992</v>
      </c>
      <c r="O52" s="59">
        <f>u_Healthy</f>
        <v>0</v>
      </c>
      <c r="P52" s="60" t="e">
        <f>M52*N52</f>
        <v>#REF!</v>
      </c>
      <c r="Q52" s="62" t="e">
        <f>M52*O52</f>
        <v>#REF!</v>
      </c>
    </row>
    <row r="53" spans="1:17" x14ac:dyDescent="0.3">
      <c r="H53" s="47" t="e">
        <f>Hypoglycaemia</f>
        <v>#REF!</v>
      </c>
      <c r="J53" s="47" t="e">
        <f>1-J50</f>
        <v>#REF!</v>
      </c>
      <c r="L53"/>
      <c r="M53" s="59"/>
      <c r="N53" s="60"/>
      <c r="O53" s="59"/>
      <c r="P53" s="60"/>
      <c r="Q53" s="62"/>
    </row>
    <row r="54" spans="1:17" x14ac:dyDescent="0.3">
      <c r="H54" s="48">
        <f>Hypoglycaemia_cost+follow_up__clinic__cost</f>
        <v>6299.2604000000001</v>
      </c>
      <c r="L54"/>
      <c r="M54" s="59"/>
      <c r="N54" s="60"/>
      <c r="O54" s="59"/>
      <c r="P54" s="60"/>
      <c r="Q54" s="62"/>
    </row>
    <row r="55" spans="1:17" x14ac:dyDescent="0.3">
      <c r="F55" s="19" t="s">
        <v>164</v>
      </c>
      <c r="H55" s="19" t="s">
        <v>204</v>
      </c>
      <c r="I55" s="19"/>
      <c r="J55" s="19"/>
      <c r="K55" s="19"/>
      <c r="L55" s="58">
        <v>18</v>
      </c>
      <c r="M55" s="59" t="e">
        <f>B52*D60*F56*H56</f>
        <v>#REF!</v>
      </c>
      <c r="N55" s="60">
        <f>A29+H57</f>
        <v>5663</v>
      </c>
      <c r="O55" s="59">
        <f>u_Healthy</f>
        <v>0</v>
      </c>
      <c r="P55" s="60" t="e">
        <f>M55*N55</f>
        <v>#REF!</v>
      </c>
      <c r="Q55" s="62" t="e">
        <f>M55*O55</f>
        <v>#REF!</v>
      </c>
    </row>
    <row r="56" spans="1:17" x14ac:dyDescent="0.3">
      <c r="F56" s="47" t="e">
        <f>SGA__reduction</f>
        <v>#REF!</v>
      </c>
      <c r="H56" s="47" t="e">
        <f>1-H53</f>
        <v>#REF!</v>
      </c>
      <c r="M56" s="59"/>
      <c r="N56" s="60"/>
      <c r="O56" s="59"/>
      <c r="P56" s="60"/>
      <c r="Q56" s="62"/>
    </row>
    <row r="57" spans="1:17" x14ac:dyDescent="0.3">
      <c r="H57" s="48">
        <f>follow_up__clinic__cost</f>
        <v>3363</v>
      </c>
      <c r="L57" s="61"/>
      <c r="M57" s="59"/>
      <c r="N57" s="60"/>
      <c r="O57" s="59"/>
      <c r="P57" s="60"/>
      <c r="Q57" s="62"/>
    </row>
    <row r="58" spans="1:17" x14ac:dyDescent="0.3">
      <c r="F58" s="19" t="s">
        <v>201</v>
      </c>
      <c r="G58" s="19"/>
      <c r="H58" s="19"/>
      <c r="I58" s="19"/>
      <c r="J58" s="19"/>
      <c r="K58" s="19"/>
      <c r="L58" s="61">
        <v>19</v>
      </c>
      <c r="M58" s="59" t="e">
        <f>B52*D60*F59</f>
        <v>#REF!</v>
      </c>
      <c r="N58" s="60">
        <f>A29+F60</f>
        <v>5663</v>
      </c>
      <c r="O58" s="59">
        <f>u_Healthy</f>
        <v>0</v>
      </c>
      <c r="P58" s="60" t="e">
        <f>M58*N58</f>
        <v>#REF!</v>
      </c>
      <c r="Q58" s="62" t="e">
        <f>M58*O58</f>
        <v>#REF!</v>
      </c>
    </row>
    <row r="59" spans="1:17" x14ac:dyDescent="0.3">
      <c r="D59" s="19" t="s">
        <v>11</v>
      </c>
      <c r="F59" s="47" t="e">
        <f>1-F56-F62</f>
        <v>#REF!</v>
      </c>
      <c r="L59" s="61"/>
      <c r="M59" s="59"/>
      <c r="N59" s="60"/>
      <c r="O59" s="59"/>
      <c r="P59" s="60"/>
      <c r="Q59" s="62"/>
    </row>
    <row r="60" spans="1:17" x14ac:dyDescent="0.3">
      <c r="D60" s="47" t="e">
        <f>1-D44</f>
        <v>#REF!</v>
      </c>
      <c r="F60" s="48">
        <f>follow_up__clinic__cost</f>
        <v>3363</v>
      </c>
      <c r="L60" s="61"/>
      <c r="M60" s="59"/>
      <c r="N60" s="60"/>
      <c r="O60" s="59"/>
      <c r="P60" s="60"/>
      <c r="Q60" s="62"/>
    </row>
    <row r="61" spans="1:17" x14ac:dyDescent="0.3">
      <c r="F61" s="19" t="s">
        <v>207</v>
      </c>
      <c r="G61" s="19"/>
      <c r="H61" s="19"/>
      <c r="I61" s="19"/>
      <c r="J61" s="19"/>
      <c r="K61" s="19"/>
      <c r="L61" s="61">
        <v>20</v>
      </c>
      <c r="M61" s="59" t="e">
        <f>B52*D60*F62</f>
        <v>#REF!</v>
      </c>
      <c r="N61" s="60">
        <f>A29</f>
        <v>2300</v>
      </c>
      <c r="O61" s="59">
        <f>u_Death</f>
        <v>19.181538114427529</v>
      </c>
      <c r="P61" s="60" t="e">
        <f>M61*N61</f>
        <v>#REF!</v>
      </c>
      <c r="Q61" s="62" t="e">
        <f>M61*O61</f>
        <v>#REF!</v>
      </c>
    </row>
    <row r="62" spans="1:17" x14ac:dyDescent="0.3">
      <c r="F62" s="47" t="e">
        <f>Term_stillbirth</f>
        <v>#REF!</v>
      </c>
      <c r="L62" s="61"/>
      <c r="M62" s="59"/>
      <c r="N62" s="60"/>
      <c r="O62" s="59"/>
      <c r="P62" s="60"/>
      <c r="Q62" s="62"/>
    </row>
    <row r="63" spans="1:17" x14ac:dyDescent="0.3">
      <c r="O63" s="59"/>
      <c r="P63" s="60"/>
      <c r="Q63" s="62"/>
    </row>
    <row r="64" spans="1:17" x14ac:dyDescent="0.3">
      <c r="A64" s="20"/>
      <c r="B64" s="20"/>
      <c r="C64" s="20"/>
      <c r="D64" s="20"/>
      <c r="E64" s="20"/>
      <c r="F64" s="20"/>
      <c r="G64" s="20"/>
      <c r="H64" s="20"/>
      <c r="I64" s="20"/>
      <c r="J64" s="20"/>
      <c r="K64" s="20"/>
      <c r="L64" s="49" t="s">
        <v>206</v>
      </c>
      <c r="M64" s="20" t="e">
        <f>SUM(M4:M61)</f>
        <v>#REF!</v>
      </c>
      <c r="N64" s="20">
        <f>SUM(N3:N61)</f>
        <v>2358712.9858787037</v>
      </c>
      <c r="O64" s="20">
        <f>SUM(O4:O61)</f>
        <v>112.33625784723668</v>
      </c>
      <c r="P64" s="50" t="e">
        <f>SUM(P3:P61)</f>
        <v>#REF!</v>
      </c>
      <c r="Q64" s="20" t="e">
        <f>SUM(Q4:Q61)</f>
        <v>#REF!</v>
      </c>
    </row>
    <row r="65" spans="4:24" x14ac:dyDescent="0.3">
      <c r="L65" s="49" t="s">
        <v>5</v>
      </c>
      <c r="M65" s="49"/>
      <c r="N65" s="51"/>
      <c r="O65" s="49"/>
      <c r="P65" s="51"/>
      <c r="Q65" s="49"/>
    </row>
    <row r="66" spans="4:24" x14ac:dyDescent="0.3">
      <c r="L66"/>
      <c r="N66"/>
      <c r="P66"/>
    </row>
    <row r="67" spans="4:24" x14ac:dyDescent="0.3">
      <c r="J67" s="19" t="s">
        <v>221</v>
      </c>
      <c r="K67" s="19"/>
      <c r="L67">
        <v>1</v>
      </c>
      <c r="M67" s="63" t="e">
        <f>B86*D77*F74*H71*J68</f>
        <v>#REF!</v>
      </c>
      <c r="N67" s="42">
        <f>B87+D78+F75+H72+J69</f>
        <v>329541.58085871371</v>
      </c>
      <c r="O67">
        <f>u_ChronicResp</f>
        <v>0.53465956747782661</v>
      </c>
      <c r="P67" s="60" t="e">
        <f>M67*N67</f>
        <v>#REF!</v>
      </c>
      <c r="Q67" s="62" t="e">
        <f>M67*O67</f>
        <v>#REF!</v>
      </c>
    </row>
    <row r="68" spans="4:24" x14ac:dyDescent="0.3">
      <c r="J68" s="47" t="e">
        <f>Rate_of_chronic_lung_disease</f>
        <v>#REF!</v>
      </c>
      <c r="L68"/>
      <c r="M68" s="63"/>
      <c r="N68"/>
      <c r="P68"/>
    </row>
    <row r="69" spans="4:24" x14ac:dyDescent="0.3">
      <c r="J69" s="48">
        <f>ChronicResp_cost</f>
        <v>42582.510902399998</v>
      </c>
      <c r="L69"/>
      <c r="M69" s="63"/>
      <c r="N69"/>
      <c r="P69"/>
    </row>
    <row r="70" spans="4:24" x14ac:dyDescent="0.3">
      <c r="H70" s="19" t="s">
        <v>9</v>
      </c>
      <c r="I70" s="19"/>
      <c r="J70" s="19" t="s">
        <v>220</v>
      </c>
      <c r="K70" s="19"/>
      <c r="L70" s="46">
        <v>2</v>
      </c>
      <c r="M70" s="63" t="e">
        <f>B86*D77*F74*H71*J71</f>
        <v>#REF!</v>
      </c>
      <c r="N70" s="42">
        <f>B87+D78+F75+H72+J72</f>
        <v>286959.0699563137</v>
      </c>
      <c r="O70" s="59">
        <f>u_Healthy</f>
        <v>0</v>
      </c>
      <c r="P70" s="60" t="e">
        <f>M70*N70</f>
        <v>#REF!</v>
      </c>
      <c r="Q70" s="62" t="e">
        <f>M70*O70</f>
        <v>#REF!</v>
      </c>
    </row>
    <row r="71" spans="4:24" x14ac:dyDescent="0.3">
      <c r="H71" s="47" t="e">
        <f>RDS_rate</f>
        <v>#REF!</v>
      </c>
      <c r="J71" s="47" t="e">
        <f>1-J68</f>
        <v>#REF!</v>
      </c>
      <c r="L71" s="61"/>
      <c r="M71" s="63"/>
      <c r="O71" s="59"/>
      <c r="P71" s="60"/>
      <c r="Q71" s="62"/>
      <c r="R71" s="46"/>
      <c r="S71" s="46"/>
      <c r="T71" s="46"/>
      <c r="U71" s="46"/>
      <c r="V71" s="46"/>
      <c r="W71" s="46"/>
      <c r="X71" s="46"/>
    </row>
    <row r="72" spans="4:24" x14ac:dyDescent="0.3">
      <c r="H72" s="48">
        <f>RDS_cost+follow_up__hosp__cost</f>
        <v>31502.610148205637</v>
      </c>
      <c r="J72" s="48"/>
      <c r="L72" s="61"/>
      <c r="M72" s="63"/>
      <c r="O72" s="59"/>
      <c r="P72" s="60"/>
      <c r="Q72" s="62"/>
    </row>
    <row r="73" spans="4:24" x14ac:dyDescent="0.3">
      <c r="F73" s="19" t="s">
        <v>8</v>
      </c>
      <c r="H73" s="19" t="s">
        <v>203</v>
      </c>
      <c r="I73" s="19"/>
      <c r="J73" s="19"/>
      <c r="K73" s="19"/>
      <c r="L73" s="46">
        <v>3</v>
      </c>
      <c r="M73" s="63" t="e">
        <f>B86*D77*F74*H74</f>
        <v>#REF!</v>
      </c>
      <c r="N73" s="42">
        <f>B87+D78+F75+H75</f>
        <v>256363.45980810808</v>
      </c>
      <c r="O73" s="59">
        <f>u_Healthy</f>
        <v>0</v>
      </c>
      <c r="P73" s="60" t="e">
        <f>M73*N73</f>
        <v>#REF!</v>
      </c>
      <c r="Q73" s="62" t="e">
        <f>M73*O73</f>
        <v>#REF!</v>
      </c>
    </row>
    <row r="74" spans="4:24" x14ac:dyDescent="0.3">
      <c r="F74" s="47" t="e">
        <f>Rate_of_LBW</f>
        <v>#REF!</v>
      </c>
      <c r="H74" s="47" t="e">
        <f>1-H71-H77</f>
        <v>#REF!</v>
      </c>
      <c r="L74" s="61"/>
      <c r="M74" s="63"/>
      <c r="O74" s="59"/>
      <c r="P74" s="60"/>
      <c r="Q74" s="62"/>
    </row>
    <row r="75" spans="4:24" x14ac:dyDescent="0.3">
      <c r="F75" s="48">
        <f>LBW_cost</f>
        <v>254701.55809999997</v>
      </c>
      <c r="H75" s="48">
        <f>follow_up__hosp__cost</f>
        <v>907</v>
      </c>
      <c r="L75" s="61"/>
      <c r="M75" s="63"/>
      <c r="O75" s="59"/>
      <c r="P75" s="60"/>
      <c r="Q75" s="62"/>
    </row>
    <row r="76" spans="4:24" x14ac:dyDescent="0.3">
      <c r="D76" s="19" t="s">
        <v>10</v>
      </c>
      <c r="H76" s="19" t="s">
        <v>165</v>
      </c>
      <c r="I76" s="19"/>
      <c r="J76" s="19"/>
      <c r="K76" s="19"/>
      <c r="L76" s="61">
        <v>4</v>
      </c>
      <c r="M76" s="63" t="e">
        <f>B86*D77*F74*H77</f>
        <v>#REF!</v>
      </c>
      <c r="N76" s="42">
        <f>B87+D78+F75</f>
        <v>255456.45980810808</v>
      </c>
      <c r="O76" s="59">
        <f>u_Death</f>
        <v>19.181538114427529</v>
      </c>
      <c r="P76" s="60" t="e">
        <f>M76*N76</f>
        <v>#REF!</v>
      </c>
      <c r="Q76" s="62" t="e">
        <f>M76*O76</f>
        <v>#REF!</v>
      </c>
    </row>
    <row r="77" spans="4:24" x14ac:dyDescent="0.3">
      <c r="D77" s="47" t="e">
        <f>Preterm_reduction_with_ANC</f>
        <v>#REF!</v>
      </c>
      <c r="H77" s="47" t="e">
        <f>Rate_of_prem_death</f>
        <v>#REF!</v>
      </c>
      <c r="L77" s="61"/>
      <c r="M77" s="63"/>
      <c r="O77" s="59"/>
      <c r="P77" s="60"/>
      <c r="Q77" s="62"/>
    </row>
    <row r="78" spans="4:24" x14ac:dyDescent="0.3">
      <c r="D78" s="48">
        <f>Preterm_cost</f>
        <v>577.9017081081081</v>
      </c>
      <c r="L78" s="61"/>
      <c r="M78" s="63"/>
      <c r="O78" s="59"/>
      <c r="P78" s="60"/>
      <c r="Q78" s="62"/>
    </row>
    <row r="79" spans="4:24" x14ac:dyDescent="0.3">
      <c r="F79" s="19" t="s">
        <v>201</v>
      </c>
      <c r="G79" s="19"/>
      <c r="H79" s="19"/>
      <c r="I79" s="19"/>
      <c r="J79" s="19"/>
      <c r="K79" s="19"/>
      <c r="L79" s="61">
        <v>5</v>
      </c>
      <c r="M79" s="63" t="e">
        <f>B86*D77*F80</f>
        <v>#REF!</v>
      </c>
      <c r="N79" s="42">
        <f>B87+D78+F84</f>
        <v>754.9017081081081</v>
      </c>
      <c r="O79" s="59">
        <f>u_Healthy</f>
        <v>0</v>
      </c>
      <c r="P79" s="60" t="e">
        <f>M79*N79</f>
        <v>#REF!</v>
      </c>
      <c r="Q79" s="62" t="e">
        <f>M79*O79</f>
        <v>#REF!</v>
      </c>
    </row>
    <row r="80" spans="4:24" x14ac:dyDescent="0.3">
      <c r="F80" s="47" t="e">
        <f>1-F74</f>
        <v>#REF!</v>
      </c>
      <c r="L80" s="61"/>
      <c r="M80" s="63"/>
      <c r="O80" s="59"/>
      <c r="P80" s="60"/>
      <c r="Q80" s="62"/>
    </row>
    <row r="81" spans="2:17" x14ac:dyDescent="0.3">
      <c r="F81" s="48">
        <f>follow_up__clinic__cost</f>
        <v>3363</v>
      </c>
      <c r="L81" s="61"/>
      <c r="M81" s="63"/>
      <c r="O81" s="59"/>
      <c r="P81" s="60"/>
      <c r="Q81" s="62"/>
    </row>
    <row r="82" spans="2:17" x14ac:dyDescent="0.3">
      <c r="J82" s="19" t="s">
        <v>226</v>
      </c>
      <c r="K82" s="19"/>
      <c r="L82" s="61">
        <v>6</v>
      </c>
      <c r="M82" s="63" t="e">
        <f>B86*D93*F89*H86*J83</f>
        <v>#REF!</v>
      </c>
      <c r="N82" s="42">
        <f>B87+H87+J84</f>
        <v>10295.260399999999</v>
      </c>
      <c r="O82" s="59">
        <f>u_CongnitiveImpairement</f>
        <v>17.270393127285455</v>
      </c>
      <c r="P82" s="60" t="e">
        <f>M82*N82</f>
        <v>#REF!</v>
      </c>
      <c r="Q82" s="62" t="e">
        <f>M82*O82</f>
        <v>#REF!</v>
      </c>
    </row>
    <row r="83" spans="2:17" x14ac:dyDescent="0.3">
      <c r="J83" s="47" t="e">
        <f>Rate_of_cognitive_impairement</f>
        <v>#REF!</v>
      </c>
      <c r="L83" s="61"/>
      <c r="M83" s="63"/>
      <c r="O83" s="59"/>
      <c r="P83" s="60"/>
      <c r="Q83" s="62"/>
    </row>
    <row r="84" spans="2:17" x14ac:dyDescent="0.3">
      <c r="J84" s="48">
        <f>Cognitive_impairement_cost</f>
        <v>3819</v>
      </c>
      <c r="L84" s="61"/>
      <c r="M84" s="63"/>
      <c r="O84" s="59"/>
      <c r="P84" s="60"/>
      <c r="Q84" s="62"/>
    </row>
    <row r="85" spans="2:17" x14ac:dyDescent="0.3">
      <c r="B85" s="19" t="s">
        <v>202</v>
      </c>
      <c r="H85" s="19" t="s">
        <v>161</v>
      </c>
      <c r="I85" s="19"/>
      <c r="J85" s="19" t="s">
        <v>204</v>
      </c>
      <c r="K85" s="19"/>
      <c r="L85" s="61">
        <v>7</v>
      </c>
      <c r="M85" s="63" t="e">
        <f>B86*D93*F89*H86*J86</f>
        <v>#REF!</v>
      </c>
      <c r="N85" s="42">
        <f>B87+H87+J87</f>
        <v>6476.2604000000001</v>
      </c>
      <c r="O85" s="59">
        <f>u_Healthy</f>
        <v>0</v>
      </c>
      <c r="P85" s="60" t="e">
        <f>M85*N85</f>
        <v>#REF!</v>
      </c>
      <c r="Q85" s="62" t="e">
        <f>M85*O85</f>
        <v>#REF!</v>
      </c>
    </row>
    <row r="86" spans="2:17" x14ac:dyDescent="0.3">
      <c r="B86" s="47">
        <f>ANC_first_visit_coverage_rate</f>
        <v>0.83099999999999996</v>
      </c>
      <c r="H86" s="47" t="e">
        <f>Hypoglycaemia</f>
        <v>#REF!</v>
      </c>
      <c r="J86" s="47" t="e">
        <f>1-J83</f>
        <v>#REF!</v>
      </c>
      <c r="L86" s="61"/>
      <c r="M86" s="63"/>
      <c r="O86" s="59"/>
      <c r="P86" s="60"/>
      <c r="Q86" s="62"/>
    </row>
    <row r="87" spans="2:17" x14ac:dyDescent="0.3">
      <c r="B87" s="48">
        <f>ANC_cost</f>
        <v>177</v>
      </c>
      <c r="H87" s="48">
        <f>Hypoglycaemia_cost+follow_up__clinic__cost</f>
        <v>6299.2604000000001</v>
      </c>
      <c r="L87" s="61"/>
      <c r="M87" s="63"/>
      <c r="O87" s="59"/>
      <c r="P87" s="60"/>
      <c r="Q87" s="62"/>
    </row>
    <row r="88" spans="2:17" x14ac:dyDescent="0.3">
      <c r="F88" s="19" t="s">
        <v>164</v>
      </c>
      <c r="H88" s="19" t="s">
        <v>204</v>
      </c>
      <c r="I88" s="19"/>
      <c r="J88" s="19"/>
      <c r="K88" s="19"/>
      <c r="L88" s="61">
        <v>8</v>
      </c>
      <c r="M88" s="63" t="e">
        <f>B86*D93*F89*H89</f>
        <v>#REF!</v>
      </c>
      <c r="N88" s="42">
        <f>B87+H90</f>
        <v>3540</v>
      </c>
      <c r="O88" s="59">
        <f>u_Healthy</f>
        <v>0</v>
      </c>
      <c r="P88" s="60" t="e">
        <f>M88*N88</f>
        <v>#REF!</v>
      </c>
      <c r="Q88" s="62" t="e">
        <f>M88*O88</f>
        <v>#REF!</v>
      </c>
    </row>
    <row r="89" spans="2:17" x14ac:dyDescent="0.3">
      <c r="F89" s="47" t="e">
        <f>SGA</f>
        <v>#REF!</v>
      </c>
      <c r="H89" s="47" t="e">
        <f>1-H86</f>
        <v>#REF!</v>
      </c>
      <c r="L89" s="61"/>
      <c r="M89" s="63"/>
      <c r="O89" s="59"/>
      <c r="P89" s="60"/>
      <c r="Q89" s="62"/>
    </row>
    <row r="90" spans="2:17" x14ac:dyDescent="0.3">
      <c r="H90" s="48">
        <f>follow_up__clinic__cost</f>
        <v>3363</v>
      </c>
      <c r="L90" s="61"/>
      <c r="M90" s="63"/>
      <c r="O90" s="59"/>
      <c r="P90" s="60"/>
      <c r="Q90" s="62"/>
    </row>
    <row r="91" spans="2:17" x14ac:dyDescent="0.3">
      <c r="F91" s="19" t="s">
        <v>201</v>
      </c>
      <c r="G91" s="19"/>
      <c r="H91" s="19"/>
      <c r="I91" s="19"/>
      <c r="J91" s="19"/>
      <c r="K91" s="19"/>
      <c r="L91" s="61">
        <v>9</v>
      </c>
      <c r="M91" s="63" t="e">
        <f>B86*D93*F92</f>
        <v>#REF!</v>
      </c>
      <c r="N91" s="42">
        <f>B87+F93</f>
        <v>3540</v>
      </c>
      <c r="O91" s="59">
        <f>u_Healthy</f>
        <v>0</v>
      </c>
      <c r="P91" s="60" t="e">
        <f>M91*N91</f>
        <v>#REF!</v>
      </c>
      <c r="Q91" s="62" t="e">
        <f>M91*O91</f>
        <v>#REF!</v>
      </c>
    </row>
    <row r="92" spans="2:17" x14ac:dyDescent="0.3">
      <c r="D92" s="19" t="s">
        <v>11</v>
      </c>
      <c r="F92" s="47" t="e">
        <f>1-F89-F95</f>
        <v>#REF!</v>
      </c>
      <c r="L92" s="61"/>
      <c r="M92" s="63"/>
      <c r="O92" s="59"/>
      <c r="P92" s="60"/>
      <c r="Q92" s="62"/>
    </row>
    <row r="93" spans="2:17" x14ac:dyDescent="0.3">
      <c r="D93" s="47" t="e">
        <f>1-D77</f>
        <v>#REF!</v>
      </c>
      <c r="F93" s="48">
        <f>follow_up__clinic__cost</f>
        <v>3363</v>
      </c>
      <c r="L93" s="61"/>
      <c r="M93" s="63"/>
      <c r="O93" s="59"/>
      <c r="P93" s="60"/>
      <c r="Q93" s="62"/>
    </row>
    <row r="94" spans="2:17" x14ac:dyDescent="0.3">
      <c r="F94" s="19" t="s">
        <v>207</v>
      </c>
      <c r="G94" s="19"/>
      <c r="H94" s="19"/>
      <c r="I94" s="19"/>
      <c r="J94" s="19"/>
      <c r="K94" s="19"/>
      <c r="L94" s="61">
        <v>10</v>
      </c>
      <c r="M94" s="63" t="e">
        <f>B86*D93*F95</f>
        <v>#REF!</v>
      </c>
      <c r="N94" s="42">
        <f>B87</f>
        <v>177</v>
      </c>
      <c r="O94" s="59">
        <f>u_Death</f>
        <v>19.181538114427529</v>
      </c>
      <c r="P94" s="60" t="e">
        <f>M94*N94</f>
        <v>#REF!</v>
      </c>
      <c r="Q94" s="62" t="e">
        <f>M94*O94</f>
        <v>#REF!</v>
      </c>
    </row>
    <row r="95" spans="2:17" x14ac:dyDescent="0.3">
      <c r="F95" s="47" t="e">
        <f>Term_stillbirth</f>
        <v>#REF!</v>
      </c>
      <c r="L95" s="61"/>
      <c r="M95" s="63"/>
      <c r="O95" s="59"/>
      <c r="P95" s="60"/>
      <c r="Q95" s="62"/>
    </row>
    <row r="96" spans="2:17" x14ac:dyDescent="0.3">
      <c r="L96" s="61"/>
      <c r="M96" s="63"/>
      <c r="O96" s="59"/>
      <c r="P96" s="60"/>
      <c r="Q96" s="62"/>
    </row>
    <row r="97" spans="4:17" x14ac:dyDescent="0.3">
      <c r="J97" s="19" t="s">
        <v>221</v>
      </c>
      <c r="K97" s="19"/>
      <c r="L97" s="61">
        <v>11</v>
      </c>
      <c r="M97" s="63" t="e">
        <f>B119*D110*F104*H101*J98</f>
        <v>#REF!</v>
      </c>
      <c r="N97" s="42">
        <f>D111+F105+H102+J99</f>
        <v>329364.58085871371</v>
      </c>
      <c r="O97" s="59">
        <f>u_ChronicResp</f>
        <v>0.53465956747782661</v>
      </c>
      <c r="P97" s="60" t="e">
        <f>M97*N97</f>
        <v>#REF!</v>
      </c>
      <c r="Q97" s="62" t="e">
        <f>M97*O97</f>
        <v>#REF!</v>
      </c>
    </row>
    <row r="98" spans="4:17" x14ac:dyDescent="0.3">
      <c r="J98" s="47" t="e">
        <f>Rate_of_chronic_lung_disease</f>
        <v>#REF!</v>
      </c>
      <c r="L98" s="61"/>
      <c r="M98" s="63"/>
      <c r="O98" s="59"/>
      <c r="P98" s="60"/>
      <c r="Q98" s="62"/>
    </row>
    <row r="99" spans="4:17" x14ac:dyDescent="0.3">
      <c r="J99" s="48">
        <f>ChronicResp_cost</f>
        <v>42582.510902399998</v>
      </c>
      <c r="L99" s="61"/>
      <c r="M99" s="63"/>
      <c r="O99" s="59"/>
      <c r="P99" s="60"/>
      <c r="Q99" s="62"/>
    </row>
    <row r="100" spans="4:17" x14ac:dyDescent="0.3">
      <c r="H100" s="19" t="s">
        <v>9</v>
      </c>
      <c r="I100" s="19"/>
      <c r="J100" s="19" t="s">
        <v>220</v>
      </c>
      <c r="K100" s="19"/>
      <c r="L100" s="61">
        <v>12</v>
      </c>
      <c r="M100" s="63" t="e">
        <f>B119*D110*F104*H101*J101</f>
        <v>#REF!</v>
      </c>
      <c r="N100" s="42">
        <f>D111+F105+H102+J102</f>
        <v>286782.0699563137</v>
      </c>
      <c r="O100" s="59">
        <f>u_Healthy</f>
        <v>0</v>
      </c>
      <c r="P100" s="60" t="e">
        <f>M100*N100</f>
        <v>#REF!</v>
      </c>
      <c r="Q100" s="62" t="e">
        <f>M100*O100</f>
        <v>#REF!</v>
      </c>
    </row>
    <row r="101" spans="4:17" x14ac:dyDescent="0.3">
      <c r="H101" s="47" t="e">
        <f>RDS_rate</f>
        <v>#REF!</v>
      </c>
      <c r="J101" s="47" t="e">
        <f>1-J98</f>
        <v>#REF!</v>
      </c>
      <c r="L101" s="61"/>
      <c r="M101" s="63"/>
      <c r="O101" s="59"/>
      <c r="P101" s="60"/>
      <c r="Q101" s="62"/>
    </row>
    <row r="102" spans="4:17" x14ac:dyDescent="0.3">
      <c r="H102" s="48">
        <f>RDS_cost+follow_up__hosp__cost</f>
        <v>31502.610148205637</v>
      </c>
      <c r="J102" s="48"/>
      <c r="L102" s="61"/>
      <c r="M102" s="63"/>
      <c r="O102" s="59"/>
      <c r="P102" s="60"/>
      <c r="Q102" s="62"/>
    </row>
    <row r="103" spans="4:17" x14ac:dyDescent="0.3">
      <c r="F103" s="19" t="s">
        <v>8</v>
      </c>
      <c r="H103" s="19" t="s">
        <v>203</v>
      </c>
      <c r="I103" s="19"/>
      <c r="J103" s="19"/>
      <c r="K103" s="19"/>
      <c r="L103" s="61">
        <v>13</v>
      </c>
      <c r="M103" s="63" t="e">
        <f>B119*D110*F104*H104</f>
        <v>#REF!</v>
      </c>
      <c r="N103" s="42">
        <f>D111+F105+H105</f>
        <v>256186.45980810808</v>
      </c>
      <c r="O103" s="59">
        <f>u_Healthy</f>
        <v>0</v>
      </c>
      <c r="P103" s="60" t="e">
        <f>M103*N103</f>
        <v>#REF!</v>
      </c>
      <c r="Q103" s="62" t="e">
        <f>M103*O103</f>
        <v>#REF!</v>
      </c>
    </row>
    <row r="104" spans="4:17" x14ac:dyDescent="0.3">
      <c r="F104" s="47" t="e">
        <f>Rate_of_LBW</f>
        <v>#REF!</v>
      </c>
      <c r="H104" s="47" t="e">
        <f>1-H101-H107</f>
        <v>#REF!</v>
      </c>
      <c r="L104" s="61"/>
      <c r="M104" s="63"/>
      <c r="O104" s="59"/>
      <c r="P104" s="60"/>
      <c r="Q104" s="62"/>
    </row>
    <row r="105" spans="4:17" x14ac:dyDescent="0.3">
      <c r="F105" s="48">
        <f>LBW_cost</f>
        <v>254701.55809999997</v>
      </c>
      <c r="H105" s="48">
        <f>follow_up__hosp__cost</f>
        <v>907</v>
      </c>
      <c r="L105" s="61"/>
      <c r="M105" s="63"/>
      <c r="O105" s="59"/>
      <c r="P105" s="60"/>
      <c r="Q105" s="62"/>
    </row>
    <row r="106" spans="4:17" x14ac:dyDescent="0.3">
      <c r="H106" s="19" t="s">
        <v>165</v>
      </c>
      <c r="I106" s="19"/>
      <c r="J106" s="19"/>
      <c r="K106" s="19"/>
      <c r="L106" s="61">
        <v>14</v>
      </c>
      <c r="M106" s="63" t="e">
        <f>B119*D110*F104*H107</f>
        <v>#REF!</v>
      </c>
      <c r="N106" s="42">
        <f>D111+F105</f>
        <v>255279.45980810808</v>
      </c>
      <c r="O106" s="59">
        <f>u_Death</f>
        <v>19.181538114427529</v>
      </c>
      <c r="P106" s="60" t="e">
        <f>M106*N106</f>
        <v>#REF!</v>
      </c>
      <c r="Q106" s="62" t="e">
        <f>M106*O106</f>
        <v>#REF!</v>
      </c>
    </row>
    <row r="107" spans="4:17" x14ac:dyDescent="0.3">
      <c r="H107" s="47" t="e">
        <f>Rate_of_prem_death</f>
        <v>#REF!</v>
      </c>
      <c r="L107" s="61"/>
      <c r="M107" s="63"/>
      <c r="O107" s="59"/>
      <c r="P107" s="60"/>
      <c r="Q107" s="62"/>
    </row>
    <row r="108" spans="4:17" x14ac:dyDescent="0.3">
      <c r="L108" s="61"/>
      <c r="M108" s="63"/>
      <c r="O108" s="59"/>
      <c r="P108" s="60"/>
      <c r="Q108" s="62"/>
    </row>
    <row r="109" spans="4:17" x14ac:dyDescent="0.3">
      <c r="D109" s="19" t="s">
        <v>10</v>
      </c>
      <c r="F109" s="19" t="s">
        <v>201</v>
      </c>
      <c r="G109" s="19"/>
      <c r="H109" s="19"/>
      <c r="I109" s="19"/>
      <c r="J109" s="19"/>
      <c r="K109" s="19"/>
      <c r="L109" s="61">
        <v>15</v>
      </c>
      <c r="M109" s="63" t="e">
        <f>B119*D110*F110</f>
        <v>#REF!</v>
      </c>
      <c r="N109" s="42">
        <f>D111+F111</f>
        <v>3940.9017081081083</v>
      </c>
      <c r="O109" s="59">
        <f>u_Healthy</f>
        <v>0</v>
      </c>
      <c r="P109" s="60" t="e">
        <f>M109*N109</f>
        <v>#REF!</v>
      </c>
      <c r="Q109" s="62" t="e">
        <f>M109*O109</f>
        <v>#REF!</v>
      </c>
    </row>
    <row r="110" spans="4:17" x14ac:dyDescent="0.3">
      <c r="D110" s="47" t="e">
        <f>Preterm_rate</f>
        <v>#REF!</v>
      </c>
      <c r="F110" s="47" t="e">
        <f>1-F104</f>
        <v>#REF!</v>
      </c>
      <c r="L110" s="61"/>
      <c r="M110" s="63"/>
      <c r="O110" s="59"/>
      <c r="P110" s="60"/>
      <c r="Q110" s="62"/>
    </row>
    <row r="111" spans="4:17" x14ac:dyDescent="0.3">
      <c r="D111" s="48">
        <f>Preterm_cost</f>
        <v>577.9017081081081</v>
      </c>
      <c r="F111" s="48">
        <f>follow_up__clinic__cost</f>
        <v>3363</v>
      </c>
      <c r="L111" s="61"/>
      <c r="M111" s="63"/>
      <c r="O111" s="59"/>
      <c r="P111" s="60"/>
      <c r="Q111" s="62"/>
    </row>
    <row r="112" spans="4:17" x14ac:dyDescent="0.3">
      <c r="J112" s="19" t="s">
        <v>226</v>
      </c>
      <c r="K112" s="19"/>
      <c r="L112" s="61">
        <v>16</v>
      </c>
      <c r="M112" s="63" t="e">
        <f>B119*D123*F119*H116*J113</f>
        <v>#REF!</v>
      </c>
      <c r="N112" s="42">
        <f>H117+J114</f>
        <v>10118.260399999999</v>
      </c>
      <c r="O112" s="59">
        <f>u_CongnitiveImpairement</f>
        <v>17.270393127285455</v>
      </c>
      <c r="P112" s="60" t="e">
        <f>M112*N112</f>
        <v>#REF!</v>
      </c>
      <c r="Q112" s="62" t="e">
        <f>M112*O112</f>
        <v>#REF!</v>
      </c>
    </row>
    <row r="113" spans="1:17" x14ac:dyDescent="0.3">
      <c r="J113" s="47" t="e">
        <f>Rate_of_cognitive_impairement</f>
        <v>#REF!</v>
      </c>
      <c r="L113" s="61"/>
      <c r="M113" s="63"/>
      <c r="O113" s="59"/>
      <c r="P113" s="60"/>
      <c r="Q113" s="62"/>
    </row>
    <row r="114" spans="1:17" x14ac:dyDescent="0.3">
      <c r="J114" s="48">
        <f>Cognitive_impairement_cost</f>
        <v>3819</v>
      </c>
      <c r="L114" s="61"/>
      <c r="M114" s="63"/>
      <c r="O114" s="59"/>
      <c r="P114" s="60"/>
      <c r="Q114" s="62"/>
    </row>
    <row r="115" spans="1:17" x14ac:dyDescent="0.3">
      <c r="H115" s="19" t="s">
        <v>161</v>
      </c>
      <c r="I115" s="19"/>
      <c r="J115" s="19" t="s">
        <v>204</v>
      </c>
      <c r="K115" s="19"/>
      <c r="L115" s="61">
        <v>17</v>
      </c>
      <c r="M115" s="63" t="e">
        <f>B119*D123*F119*H116*J116</f>
        <v>#REF!</v>
      </c>
      <c r="N115" s="42">
        <f>H117+J117</f>
        <v>6299.2604000000001</v>
      </c>
      <c r="O115" s="59">
        <f>u_Healthy</f>
        <v>0</v>
      </c>
      <c r="P115" s="60" t="e">
        <f>M115*N115</f>
        <v>#REF!</v>
      </c>
      <c r="Q115" s="62" t="e">
        <f>M115*O115</f>
        <v>#REF!</v>
      </c>
    </row>
    <row r="116" spans="1:17" x14ac:dyDescent="0.3">
      <c r="H116" s="47" t="e">
        <f>Hypoglycaemia</f>
        <v>#REF!</v>
      </c>
      <c r="J116" s="47" t="e">
        <f>1-J113</f>
        <v>#REF!</v>
      </c>
      <c r="L116" s="61"/>
      <c r="M116" s="63"/>
      <c r="O116" s="59"/>
      <c r="P116" s="60"/>
      <c r="Q116" s="62"/>
    </row>
    <row r="117" spans="1:17" x14ac:dyDescent="0.3">
      <c r="H117" s="48">
        <f>Hypoglycaemia_cost+follow_up__clinic__cost</f>
        <v>6299.2604000000001</v>
      </c>
      <c r="L117" s="61"/>
      <c r="M117" s="63"/>
      <c r="O117" s="59"/>
      <c r="P117" s="60"/>
      <c r="Q117" s="62"/>
    </row>
    <row r="118" spans="1:17" x14ac:dyDescent="0.3">
      <c r="B118" s="19" t="s">
        <v>23</v>
      </c>
      <c r="F118" s="19" t="s">
        <v>164</v>
      </c>
      <c r="H118" s="19" t="s">
        <v>204</v>
      </c>
      <c r="I118" s="19"/>
      <c r="J118" s="19"/>
      <c r="K118" s="19"/>
      <c r="L118" s="61">
        <v>18</v>
      </c>
      <c r="M118" s="63" t="e">
        <f>B119*D123*F119*H119</f>
        <v>#REF!</v>
      </c>
      <c r="N118" s="42">
        <f>H120</f>
        <v>3363</v>
      </c>
      <c r="O118" s="59">
        <f>u_Healthy</f>
        <v>0</v>
      </c>
      <c r="P118" s="60" t="e">
        <f>M118*N118</f>
        <v>#REF!</v>
      </c>
      <c r="Q118" s="62" t="e">
        <f>M118*O118</f>
        <v>#REF!</v>
      </c>
    </row>
    <row r="119" spans="1:17" x14ac:dyDescent="0.3">
      <c r="B119" s="47">
        <f>1-B86</f>
        <v>0.16900000000000004</v>
      </c>
      <c r="F119" s="47" t="e">
        <f>SGA</f>
        <v>#REF!</v>
      </c>
      <c r="H119" s="47" t="e">
        <f>1-H116</f>
        <v>#REF!</v>
      </c>
      <c r="L119" s="61"/>
      <c r="M119" s="63"/>
      <c r="O119" s="59"/>
      <c r="P119" s="60"/>
      <c r="Q119" s="62"/>
    </row>
    <row r="120" spans="1:17" x14ac:dyDescent="0.3">
      <c r="H120" s="48">
        <f>follow_up__clinic__cost</f>
        <v>3363</v>
      </c>
      <c r="L120" s="61"/>
      <c r="M120" s="63"/>
      <c r="O120" s="59"/>
      <c r="P120" s="60"/>
      <c r="Q120" s="62"/>
    </row>
    <row r="121" spans="1:17" x14ac:dyDescent="0.3">
      <c r="F121" s="19" t="s">
        <v>201</v>
      </c>
      <c r="G121" s="19"/>
      <c r="H121" s="19"/>
      <c r="I121" s="19"/>
      <c r="J121" s="19"/>
      <c r="K121" s="19"/>
      <c r="L121" s="61">
        <v>19</v>
      </c>
      <c r="M121" s="63" t="e">
        <f>B119*D123*F122</f>
        <v>#REF!</v>
      </c>
      <c r="N121" s="42">
        <f>F123</f>
        <v>3363</v>
      </c>
      <c r="O121" s="59">
        <f>u_Healthy</f>
        <v>0</v>
      </c>
      <c r="P121" s="60" t="e">
        <f>M121*N121</f>
        <v>#REF!</v>
      </c>
      <c r="Q121" s="62" t="e">
        <f>M121*O121</f>
        <v>#REF!</v>
      </c>
    </row>
    <row r="122" spans="1:17" x14ac:dyDescent="0.3">
      <c r="D122" s="19" t="s">
        <v>11</v>
      </c>
      <c r="F122" s="47" t="e">
        <f>1-F119-F125</f>
        <v>#REF!</v>
      </c>
      <c r="L122" s="61"/>
      <c r="M122" s="63"/>
      <c r="O122" s="59"/>
      <c r="P122" s="60"/>
      <c r="Q122" s="62"/>
    </row>
    <row r="123" spans="1:17" x14ac:dyDescent="0.3">
      <c r="D123" s="47" t="e">
        <f>1-D110</f>
        <v>#REF!</v>
      </c>
      <c r="F123" s="48">
        <f>follow_up__clinic__cost</f>
        <v>3363</v>
      </c>
      <c r="L123" s="61"/>
      <c r="M123" s="63"/>
      <c r="O123" s="59"/>
      <c r="P123" s="60"/>
      <c r="Q123" s="62"/>
    </row>
    <row r="124" spans="1:17" x14ac:dyDescent="0.3">
      <c r="F124" s="19" t="s">
        <v>207</v>
      </c>
      <c r="G124" s="19"/>
      <c r="H124" s="19"/>
      <c r="I124" s="19"/>
      <c r="J124" s="19"/>
      <c r="K124" s="19"/>
      <c r="L124" s="61">
        <v>20</v>
      </c>
      <c r="M124" s="63" t="e">
        <f>B119*D123*F125</f>
        <v>#REF!</v>
      </c>
      <c r="N124" s="42">
        <v>0</v>
      </c>
      <c r="O124" s="59">
        <f>u_Death</f>
        <v>19.181538114427529</v>
      </c>
      <c r="P124" s="60" t="e">
        <f>M124*N124</f>
        <v>#REF!</v>
      </c>
      <c r="Q124" s="62" t="e">
        <f>M124*O124</f>
        <v>#REF!</v>
      </c>
    </row>
    <row r="125" spans="1:17" x14ac:dyDescent="0.3">
      <c r="F125" s="47" t="e">
        <f>Term_stillbirth</f>
        <v>#REF!</v>
      </c>
      <c r="L125" s="61"/>
      <c r="O125" s="59"/>
      <c r="P125" s="60"/>
      <c r="Q125" s="62"/>
    </row>
    <row r="126" spans="1:17" x14ac:dyDescent="0.3">
      <c r="L126" s="61"/>
    </row>
    <row r="127" spans="1:17" x14ac:dyDescent="0.3">
      <c r="A127" s="20"/>
      <c r="B127" s="20"/>
      <c r="C127" s="20"/>
      <c r="D127" s="20"/>
      <c r="E127" s="20"/>
      <c r="F127" s="20"/>
      <c r="G127" s="20"/>
      <c r="H127" s="20"/>
      <c r="I127" s="20"/>
      <c r="J127" s="20"/>
      <c r="K127" s="20"/>
      <c r="L127" s="49" t="s">
        <v>206</v>
      </c>
      <c r="M127" s="20" t="e">
        <f>SUM(M67:M126)</f>
        <v>#REF!</v>
      </c>
      <c r="N127" s="20">
        <f t="shared" ref="N127:Q127" si="0">SUM(N67:N126)</f>
        <v>2307800.9858787037</v>
      </c>
      <c r="O127" s="20">
        <f t="shared" si="0"/>
        <v>112.33625784723668</v>
      </c>
      <c r="P127" s="20" t="e">
        <f t="shared" si="0"/>
        <v>#REF!</v>
      </c>
      <c r="Q127" s="20" t="e">
        <f t="shared" si="0"/>
        <v>#REF!</v>
      </c>
    </row>
    <row r="128" spans="1:17" x14ac:dyDescent="0.3">
      <c r="L128" s="61"/>
    </row>
    <row r="129" spans="12:12" x14ac:dyDescent="0.3">
      <c r="L129" s="61"/>
    </row>
    <row r="130" spans="12:12" x14ac:dyDescent="0.3">
      <c r="L130" s="61"/>
    </row>
    <row r="131" spans="12:12" x14ac:dyDescent="0.3">
      <c r="L131" s="61"/>
    </row>
  </sheetData>
  <pageMargins left="0.7" right="0.7" top="0.75" bottom="0.75" header="0.3" footer="0.3"/>
  <pageSetup paperSize="9" orientation="portrait" horizont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CL1813"/>
  <sheetViews>
    <sheetView topLeftCell="P1" zoomScale="52" zoomScaleNormal="55" workbookViewId="0">
      <selection activeCell="Q22" sqref="Q22"/>
    </sheetView>
  </sheetViews>
  <sheetFormatPr defaultRowHeight="14.4" x14ac:dyDescent="0.3"/>
  <cols>
    <col min="1" max="1" width="13.109375" bestFit="1" customWidth="1"/>
    <col min="3" max="3" width="16.21875" bestFit="1" customWidth="1"/>
    <col min="5" max="5" width="12.6640625" bestFit="1" customWidth="1"/>
    <col min="7" max="7" width="14" bestFit="1" customWidth="1"/>
    <col min="11" max="11" width="12" bestFit="1" customWidth="1"/>
    <col min="13" max="13" width="14.21875" bestFit="1" customWidth="1"/>
    <col min="15" max="15" width="16.44140625" bestFit="1" customWidth="1"/>
    <col min="17" max="17" width="28.77734375" bestFit="1" customWidth="1"/>
    <col min="18" max="18" width="5.21875" customWidth="1"/>
    <col min="19" max="19" width="8.77734375" style="24" customWidth="1"/>
    <col min="20" max="20" width="12.44140625" customWidth="1"/>
    <col min="21" max="21" width="20.5546875" bestFit="1" customWidth="1"/>
    <col min="22" max="22" width="20.5546875" customWidth="1"/>
    <col min="23" max="23" width="16.109375" bestFit="1" customWidth="1"/>
    <col min="24" max="24" width="13.77734375" bestFit="1" customWidth="1"/>
    <col min="25" max="25" width="8.5546875" customWidth="1"/>
    <col min="26" max="26" width="21.21875" bestFit="1" customWidth="1"/>
    <col min="27" max="27" width="22.33203125" bestFit="1" customWidth="1"/>
    <col min="28" max="28" width="8.77734375" customWidth="1"/>
  </cols>
  <sheetData>
    <row r="1" spans="1:27" s="20" customFormat="1" x14ac:dyDescent="0.3">
      <c r="S1" s="24"/>
      <c r="T1" s="81" t="s">
        <v>59</v>
      </c>
      <c r="U1" s="79" t="s">
        <v>60</v>
      </c>
      <c r="V1" s="79"/>
      <c r="W1" s="78" t="s">
        <v>67</v>
      </c>
      <c r="X1" s="79" t="s">
        <v>63</v>
      </c>
      <c r="Y1" s="79"/>
      <c r="Z1" s="78" t="s">
        <v>66</v>
      </c>
      <c r="AA1" s="98" t="s">
        <v>64</v>
      </c>
    </row>
    <row r="2" spans="1:27" s="20" customFormat="1" x14ac:dyDescent="0.3">
      <c r="A2" s="20" t="s">
        <v>374</v>
      </c>
      <c r="S2" s="24"/>
      <c r="T2" s="81" t="s">
        <v>4</v>
      </c>
      <c r="U2" s="79"/>
      <c r="V2" s="79"/>
      <c r="W2" s="78"/>
      <c r="X2" s="79"/>
      <c r="Y2" s="79"/>
      <c r="Z2" s="78"/>
      <c r="AA2" s="98"/>
    </row>
    <row r="3" spans="1:27" x14ac:dyDescent="0.3">
      <c r="C3" s="19" t="s">
        <v>3</v>
      </c>
      <c r="D3" s="19"/>
      <c r="E3" s="19"/>
      <c r="F3" s="19"/>
      <c r="G3" s="19"/>
      <c r="H3" s="19"/>
      <c r="I3" s="19"/>
      <c r="J3" s="19"/>
      <c r="K3" s="19"/>
      <c r="L3" s="19"/>
      <c r="M3" s="19"/>
      <c r="N3" s="19"/>
      <c r="O3" s="19"/>
      <c r="P3" s="19"/>
      <c r="Q3" s="19"/>
      <c r="R3" s="19"/>
      <c r="T3" s="80"/>
      <c r="U3">
        <f>C4*A103</f>
        <v>1.5025911812999967E-2</v>
      </c>
      <c r="V3">
        <v>1.3647347965249199E-2</v>
      </c>
      <c r="W3" s="42">
        <f>C5+A104</f>
        <v>4269</v>
      </c>
      <c r="X3">
        <f>u_Death</f>
        <v>19.181538114427529</v>
      </c>
      <c r="Z3" s="42">
        <f>U3*W3</f>
        <v>64.145617529696864</v>
      </c>
      <c r="AA3" s="6">
        <f>U3*X3</f>
        <v>0.2882201001450857</v>
      </c>
    </row>
    <row r="4" spans="1:27" x14ac:dyDescent="0.3">
      <c r="C4" s="47">
        <f>ANC2SB_1</f>
        <v>1.6422999999999965E-2</v>
      </c>
      <c r="T4" s="80"/>
      <c r="Z4" s="42"/>
      <c r="AA4" s="6"/>
    </row>
    <row r="5" spans="1:27" x14ac:dyDescent="0.3">
      <c r="C5" s="48">
        <f>c_SB</f>
        <v>1792</v>
      </c>
      <c r="T5" s="80"/>
      <c r="Z5" s="42"/>
      <c r="AA5" s="6"/>
    </row>
    <row r="6" spans="1:27" x14ac:dyDescent="0.3">
      <c r="T6" s="80"/>
      <c r="Z6" s="42"/>
      <c r="AA6" s="6"/>
    </row>
    <row r="7" spans="1:27" x14ac:dyDescent="0.3">
      <c r="K7" s="19" t="s">
        <v>165</v>
      </c>
      <c r="L7" s="19"/>
      <c r="M7" s="19"/>
      <c r="N7" s="19"/>
      <c r="O7" s="19"/>
      <c r="P7" s="19"/>
      <c r="Q7" s="19"/>
      <c r="R7" s="19"/>
      <c r="T7" s="80"/>
      <c r="U7">
        <f>K8*I16*G40*E78*C148*A103</f>
        <v>1.762699030573764E-3</v>
      </c>
      <c r="V7">
        <v>3.6347052383081582E-3</v>
      </c>
      <c r="W7" s="42">
        <f>$K$9+$I$17+$G$41+$E$79+$C$149+$A$104</f>
        <v>259548.45980810808</v>
      </c>
      <c r="X7">
        <f>u_Death</f>
        <v>19.181538114427529</v>
      </c>
      <c r="Z7" s="42">
        <f>U7*W7</f>
        <v>457.50581849066566</v>
      </c>
      <c r="AA7" s="6">
        <f>U7*X7</f>
        <v>3.3811278639215112E-2</v>
      </c>
    </row>
    <row r="8" spans="1:27" x14ac:dyDescent="0.3">
      <c r="K8" s="47">
        <f>SGA_prem_2d_1</f>
        <v>7.6248466666666667E-2</v>
      </c>
      <c r="T8" s="80"/>
      <c r="Z8" s="42"/>
      <c r="AA8" s="6"/>
    </row>
    <row r="9" spans="1:27" x14ac:dyDescent="0.3">
      <c r="K9" s="48">
        <f>c_SB</f>
        <v>1792</v>
      </c>
      <c r="T9" s="80"/>
      <c r="Z9" s="42"/>
      <c r="AA9" s="6"/>
    </row>
    <row r="10" spans="1:27" x14ac:dyDescent="0.3">
      <c r="T10" s="80"/>
      <c r="Z10" s="42"/>
      <c r="AA10" s="6"/>
    </row>
    <row r="11" spans="1:27" x14ac:dyDescent="0.3">
      <c r="Q11" s="19" t="s">
        <v>368</v>
      </c>
      <c r="R11" s="19"/>
      <c r="T11" s="80"/>
      <c r="U11">
        <f>$Q$12*$O$17*$M$22*$K$27*$I$16*$G$40*$E$78*$C$148*$A$103</f>
        <v>7.0922307073586761E-4</v>
      </c>
      <c r="V11">
        <v>1.3151941396883436E-3</v>
      </c>
      <c r="W11" s="42">
        <f>$K$28+$I$17+$G$41+$E$79+$C$149+$A$104+$M$23+$O$18+Q13</f>
        <v>345817.84125871374</v>
      </c>
      <c r="X11">
        <f>u_ChronicResp</f>
        <v>0.53465956747782661</v>
      </c>
      <c r="Z11" s="42">
        <f>U11*W11</f>
        <v>245.26199129275378</v>
      </c>
      <c r="AA11" s="6">
        <f>U11*X11</f>
        <v>3.7919290024493501E-4</v>
      </c>
    </row>
    <row r="12" spans="1:27" x14ac:dyDescent="0.3">
      <c r="Q12" s="47">
        <f>RDS2CLD_1-(Hypo2CI_1*RDS2CLD_1)</f>
        <v>0.34246866666666664</v>
      </c>
      <c r="R12" s="47"/>
      <c r="T12" s="80"/>
      <c r="Z12" s="42"/>
      <c r="AA12" s="6"/>
    </row>
    <row r="13" spans="1:27" x14ac:dyDescent="0.3">
      <c r="Q13" s="48">
        <f>c_lung+c_hosp_fu+c_CSG</f>
        <v>54529.510902399998</v>
      </c>
      <c r="R13" s="48"/>
      <c r="T13" s="80"/>
      <c r="Z13" s="42"/>
      <c r="AA13" s="6"/>
    </row>
    <row r="14" spans="1:27" x14ac:dyDescent="0.3">
      <c r="Q14" s="19" t="s">
        <v>226</v>
      </c>
      <c r="R14" s="19"/>
      <c r="T14" s="80"/>
      <c r="U14">
        <f>$Q$15*$O$17*$M$22*$K$27*$I$16*$G$40*$E$78*$C$148*$A$103</f>
        <v>6.79301128267051E-5</v>
      </c>
      <c r="V14">
        <v>1.2597064306629622E-4</v>
      </c>
      <c r="W14" s="42">
        <f>$K$28+$I$17+$G$41+$E$79+$C$149+$A$104+$M$23+$O$18+Q16</f>
        <v>307054.33035631373</v>
      </c>
      <c r="X14">
        <f>u_CongnitiveImpairement</f>
        <v>17.270393127285455</v>
      </c>
      <c r="Z14" s="42">
        <f>U14*W14</f>
        <v>20.858235305032771</v>
      </c>
      <c r="AA14" s="6">
        <f>U14*X14</f>
        <v>1.1731797536980533E-3</v>
      </c>
    </row>
    <row r="15" spans="1:27" x14ac:dyDescent="0.3">
      <c r="I15" s="19" t="s">
        <v>164</v>
      </c>
      <c r="Q15" s="47">
        <f>Hypo2CI_1-(Hypo2CI_1*RDS2CLD_1)</f>
        <v>3.2801999999999998E-2</v>
      </c>
      <c r="R15" s="47"/>
      <c r="T15" s="80"/>
      <c r="Z15" s="42"/>
      <c r="AA15" s="6"/>
    </row>
    <row r="16" spans="1:27" x14ac:dyDescent="0.3">
      <c r="I16" s="47">
        <f>LBW_prem_2SGA_1</f>
        <v>0.39968592964824123</v>
      </c>
      <c r="O16" s="19" t="s">
        <v>161</v>
      </c>
      <c r="Q16" s="48">
        <f>c_cog+c_hosp_fu+c_CSG</f>
        <v>15766</v>
      </c>
      <c r="R16" s="48"/>
      <c r="T16" s="80"/>
      <c r="Z16" s="42"/>
      <c r="AA16" s="6"/>
    </row>
    <row r="17" spans="7:27" x14ac:dyDescent="0.3">
      <c r="I17" s="48"/>
      <c r="O17" s="47">
        <f>SGA_prem_2hypoglycaemia_1</f>
        <v>0.2155</v>
      </c>
      <c r="Q17" s="19" t="s">
        <v>369</v>
      </c>
      <c r="R17" s="19"/>
      <c r="T17" s="80"/>
      <c r="U17">
        <f>$Q$18*$O$17*$M$22*$K$27*$I$16*$G$40*$E$78*$C$148*$A$103</f>
        <v>3.8376793005384272E-5</v>
      </c>
      <c r="V17">
        <v>7.1166513531976426E-5</v>
      </c>
      <c r="W17" s="42">
        <f>$K$28+$I$17+$G$41+$E$79+$C$149+$A$104+$M$23+$O$18+Q19</f>
        <v>349636.84125871374</v>
      </c>
      <c r="X17">
        <f>u_ChronicResp+u_CongnitiveImpairement</f>
        <v>17.805052694763283</v>
      </c>
      <c r="Z17" s="42">
        <f>U17*W17</f>
        <v>13.417940684042057</v>
      </c>
      <c r="AA17" s="6">
        <f>U17*X17</f>
        <v>6.8330082171688992E-4</v>
      </c>
    </row>
    <row r="18" spans="7:27" x14ac:dyDescent="0.3">
      <c r="O18" s="48">
        <f>c_hypo</f>
        <v>2936.2604000000001</v>
      </c>
      <c r="Q18" s="47">
        <f>Hypo2CI_1*RDS2CLD_1</f>
        <v>1.8531333333333334E-2</v>
      </c>
      <c r="R18" s="47"/>
      <c r="T18" s="80"/>
      <c r="Z18" s="42"/>
      <c r="AA18" s="6"/>
    </row>
    <row r="19" spans="7:27" x14ac:dyDescent="0.3">
      <c r="M19" s="42"/>
      <c r="Q19" s="48">
        <f>c_lung+c_cog+c_hosp_fu+c_CSG</f>
        <v>58348.510902399998</v>
      </c>
      <c r="R19" s="48"/>
      <c r="T19" s="80"/>
      <c r="Z19" s="42"/>
      <c r="AA19" s="6"/>
    </row>
    <row r="20" spans="7:27" x14ac:dyDescent="0.3">
      <c r="Q20" s="19" t="s">
        <v>370</v>
      </c>
      <c r="R20" s="19"/>
      <c r="T20" s="80"/>
      <c r="U20">
        <f>$Q$21*$O$17*$M$22*$K$27*$I$16*$G$40*$E$78*$C$148*$A$103</f>
        <v>1.2553837734078103E-3</v>
      </c>
      <c r="V20">
        <v>2.3280029231602536E-3</v>
      </c>
      <c r="W20" s="42">
        <f>$K$28+$I$17+$G$41+$E$79+$C$149+$A$104+$M$23+$O$18+Q22</f>
        <v>305691.33035631373</v>
      </c>
      <c r="X20">
        <f>u_Healthy</f>
        <v>0</v>
      </c>
      <c r="Z20" s="42">
        <f>U20*W20</f>
        <v>383.75993580076266</v>
      </c>
      <c r="AA20" s="6">
        <f>U20*X20</f>
        <v>0</v>
      </c>
    </row>
    <row r="21" spans="7:27" x14ac:dyDescent="0.3">
      <c r="M21" s="19" t="s">
        <v>9</v>
      </c>
      <c r="Q21" s="47">
        <f>1-Q12-Q15-Q18</f>
        <v>0.60619800000000001</v>
      </c>
      <c r="R21" s="47"/>
      <c r="T21" s="80"/>
      <c r="Z21" s="42"/>
      <c r="AA21" s="6"/>
    </row>
    <row r="22" spans="7:27" x14ac:dyDescent="0.3">
      <c r="K22" s="42"/>
      <c r="M22" s="47">
        <f>S_prem_2RDS_1</f>
        <v>0.45</v>
      </c>
      <c r="Q22" s="48">
        <f>c_clinic_fu+c_CSG</f>
        <v>14403</v>
      </c>
      <c r="R22" s="48"/>
      <c r="T22" s="80"/>
      <c r="Z22" s="42"/>
      <c r="AA22" s="6"/>
    </row>
    <row r="23" spans="7:27" x14ac:dyDescent="0.3">
      <c r="K23" s="42"/>
      <c r="M23" s="48">
        <f>c_RDS</f>
        <v>30595.610148205637</v>
      </c>
      <c r="Q23" s="42"/>
      <c r="R23" s="42"/>
      <c r="T23" s="80"/>
      <c r="Z23" s="42"/>
      <c r="AA23" s="6"/>
    </row>
    <row r="24" spans="7:27" x14ac:dyDescent="0.3">
      <c r="Q24" s="19" t="s">
        <v>368</v>
      </c>
      <c r="R24" s="19"/>
      <c r="T24" s="80"/>
      <c r="U24">
        <f>$Q$25*$O$27*$M$22*$K$27*$I$16*$G$40*$E$78*$C$148*$A$103</f>
        <v>2.6314972810690517E-3</v>
      </c>
      <c r="V24">
        <v>4.879888917145454E-3</v>
      </c>
      <c r="W24" s="42">
        <f>$K$28+$I$17+$G$41+$E$79+$C$149+$A$104+$M$23+$O$28+Q26</f>
        <v>342881.58085871371</v>
      </c>
      <c r="X24">
        <f>u_ChronicResp</f>
        <v>0.53465956747782661</v>
      </c>
      <c r="Z24" s="42">
        <f>U24*W24</f>
        <v>902.29194775836334</v>
      </c>
      <c r="AA24" s="6">
        <f>U24*X24</f>
        <v>1.406955198115456E-3</v>
      </c>
    </row>
    <row r="25" spans="7:27" x14ac:dyDescent="0.3">
      <c r="Q25" s="47">
        <f>RDS2CLD_1-(RDS2CLD_1*noHypo2CI_1)</f>
        <v>0.34905610687022898</v>
      </c>
      <c r="R25" s="47"/>
      <c r="T25" s="80"/>
      <c r="Z25" s="42"/>
      <c r="AA25" s="6"/>
    </row>
    <row r="26" spans="7:27" x14ac:dyDescent="0.3">
      <c r="K26" s="19" t="s">
        <v>37</v>
      </c>
      <c r="M26" s="42"/>
      <c r="O26" s="19" t="s">
        <v>371</v>
      </c>
      <c r="Q26" s="48">
        <f>c_lung+c_hosp_fu+c_CSG</f>
        <v>54529.510902399998</v>
      </c>
      <c r="R26" s="48"/>
      <c r="T26" s="80"/>
      <c r="Z26" s="42"/>
      <c r="AA26" s="6"/>
    </row>
    <row r="27" spans="7:27" x14ac:dyDescent="0.3">
      <c r="K27" s="47">
        <f>SGA_prem_2s_1</f>
        <v>0.92375153333333337</v>
      </c>
      <c r="O27" s="47">
        <f>SGA_prem_2normoglycaemia_1</f>
        <v>0.78449999999999998</v>
      </c>
      <c r="Q27" s="19" t="s">
        <v>226</v>
      </c>
      <c r="R27" s="19"/>
      <c r="T27" s="80"/>
      <c r="U27">
        <f>$Q$28*$O$27*$M$22*$K$27*$I$16*$G$40*$E$78*$C$148*$A$103</f>
        <v>1.5938492783168073E-4</v>
      </c>
      <c r="V27">
        <v>2.9556585464905798E-4</v>
      </c>
      <c r="W27" s="42">
        <f>$K$28+$I$17+$G$41+$E$79+$C$149+$A$104+$M$23+$O$28+Q29</f>
        <v>304118.0699563137</v>
      </c>
      <c r="X27">
        <f>u_CongnitiveImpairement</f>
        <v>17.270393127285455</v>
      </c>
      <c r="Z27" s="42">
        <f>U27*W27</f>
        <v>48.471836632297091</v>
      </c>
      <c r="AA27" s="6">
        <f>U27*X27</f>
        <v>2.7526403622171471E-3</v>
      </c>
    </row>
    <row r="28" spans="7:27" x14ac:dyDescent="0.3">
      <c r="K28" s="48"/>
      <c r="O28" s="48"/>
      <c r="Q28" s="47">
        <f>noHypo2CI_1-(RDS2CLD_1*noHypo2CI_1)</f>
        <v>2.1141683406990762E-2</v>
      </c>
      <c r="R28" s="47"/>
      <c r="T28" s="80"/>
      <c r="Z28" s="42"/>
      <c r="AA28" s="6"/>
    </row>
    <row r="29" spans="7:27" x14ac:dyDescent="0.3">
      <c r="Q29" s="48">
        <f>c_cog+c_hosp_fu+c_CSG</f>
        <v>15766</v>
      </c>
      <c r="R29" s="48"/>
      <c r="T29" s="80"/>
      <c r="Z29" s="42"/>
      <c r="AA29" s="6"/>
    </row>
    <row r="30" spans="7:27" x14ac:dyDescent="0.3">
      <c r="Q30" s="19" t="s">
        <v>369</v>
      </c>
      <c r="R30" s="19"/>
      <c r="T30" s="80"/>
      <c r="U30">
        <f>$Q$31*$O$27*$M$22*$K$27*$I$16*$G$40*$E$78*$C$148*$A$103</f>
        <v>9.0043754221027733E-5</v>
      </c>
      <c r="V30">
        <v>1.6697851882364618E-4</v>
      </c>
      <c r="W30" s="42">
        <f>$K$28+$I$17+$G$41+$E$79+$C$149+$A$104+$M$23+$O$28+Q32</f>
        <v>346700.58085871371</v>
      </c>
      <c r="X30">
        <f>u_ChronicResp+u_CongnitiveImpairement</f>
        <v>17.805052694763283</v>
      </c>
      <c r="Z30" s="42">
        <f>U30*W30</f>
        <v>31.21822189112957</v>
      </c>
      <c r="AA30" s="6">
        <f>U30*X30</f>
        <v>1.6032337887397126E-3</v>
      </c>
    </row>
    <row r="31" spans="7:27" x14ac:dyDescent="0.3">
      <c r="G31" s="42"/>
      <c r="Q31" s="47">
        <f>RDS2CLD_1*noHypo2CI_1</f>
        <v>1.1943893129770991E-2</v>
      </c>
      <c r="R31" s="47"/>
      <c r="T31" s="80"/>
      <c r="Z31" s="42"/>
      <c r="AA31" s="6"/>
    </row>
    <row r="32" spans="7:27" x14ac:dyDescent="0.3">
      <c r="G32" s="42"/>
      <c r="Q32" s="48">
        <f>c_cog+c_lung+c_hosp_fu+c_CSG</f>
        <v>58348.510902399998</v>
      </c>
      <c r="R32" s="48"/>
      <c r="T32" s="80"/>
      <c r="Z32" s="42"/>
      <c r="AA32" s="6"/>
    </row>
    <row r="33" spans="7:27" x14ac:dyDescent="0.3">
      <c r="Q33" s="19" t="s">
        <v>370</v>
      </c>
      <c r="R33" s="19"/>
      <c r="T33" s="80"/>
      <c r="U33">
        <f>$Q$34*$O$27*$M$22*$K$27*$I$16*$G$40*$E$78*$C$148*$A$103</f>
        <v>4.6579688714767989E-3</v>
      </c>
      <c r="V33">
        <v>8.6378089142823983E-3</v>
      </c>
      <c r="W33" s="42">
        <f>$K$28+$I$17+$G$41+$E$79+$C$149+$A$104+$M$23+$O$28+Q35</f>
        <v>302755.0699563137</v>
      </c>
      <c r="X33">
        <f>u_Healthy</f>
        <v>0</v>
      </c>
      <c r="Z33" s="42">
        <f>U33*W33</f>
        <v>1410.2236915382898</v>
      </c>
      <c r="AA33" s="6">
        <f>U33*X33</f>
        <v>0</v>
      </c>
    </row>
    <row r="34" spans="7:27" x14ac:dyDescent="0.3">
      <c r="Q34" s="47">
        <f>1-Q31-Q28-Q25</f>
        <v>0.61785831659300938</v>
      </c>
      <c r="R34" s="47"/>
      <c r="T34" s="80"/>
      <c r="Z34" s="42"/>
      <c r="AA34" s="6"/>
    </row>
    <row r="35" spans="7:27" x14ac:dyDescent="0.3">
      <c r="Q35" s="48">
        <f>c_clinic_fu+c_CSG</f>
        <v>14403</v>
      </c>
      <c r="R35" s="48"/>
      <c r="T35" s="80"/>
      <c r="Z35" s="42"/>
      <c r="AA35" s="6"/>
    </row>
    <row r="36" spans="7:27" x14ac:dyDescent="0.3">
      <c r="Q36" s="42"/>
      <c r="R36" s="42"/>
      <c r="T36" s="80"/>
      <c r="Z36" s="42"/>
      <c r="AA36" s="6"/>
    </row>
    <row r="37" spans="7:27" x14ac:dyDescent="0.3">
      <c r="Q37" s="19" t="s">
        <v>368</v>
      </c>
      <c r="R37" s="19"/>
      <c r="T37" s="80"/>
      <c r="U37">
        <f>$Q$38*$O$40*$M$42*$K$27*$I$16*$G$40*$E$78*$C$148*$A$103</f>
        <v>0</v>
      </c>
      <c r="V37">
        <v>0</v>
      </c>
      <c r="W37" s="42">
        <f>$K$28+$I$17+$G$41+$E$79+$C$149+$A$104+$M$43+$O$41+Q39</f>
        <v>315222.23111050809</v>
      </c>
      <c r="X37">
        <f>u_ChronicResp</f>
        <v>0.53465956747782661</v>
      </c>
      <c r="Z37" s="42">
        <f>U37*W37</f>
        <v>0</v>
      </c>
      <c r="AA37" s="6">
        <f>U37*X37</f>
        <v>0</v>
      </c>
    </row>
    <row r="38" spans="7:27" x14ac:dyDescent="0.3">
      <c r="Q38" s="47">
        <f>noRDS2CLD_1-(Hypo2CI_1*noRDS2CLD_1)</f>
        <v>0</v>
      </c>
      <c r="R38" s="47"/>
      <c r="T38" s="80"/>
      <c r="Z38" s="42"/>
      <c r="AA38" s="6"/>
    </row>
    <row r="39" spans="7:27" x14ac:dyDescent="0.3">
      <c r="G39" s="19" t="s">
        <v>8</v>
      </c>
      <c r="O39" s="19" t="s">
        <v>161</v>
      </c>
      <c r="Q39" s="48">
        <f>c_lung+c_hosp_fu+c_CSG</f>
        <v>54529.510902399998</v>
      </c>
      <c r="R39" s="48"/>
      <c r="T39" s="80"/>
      <c r="Z39" s="42"/>
      <c r="AA39" s="6"/>
    </row>
    <row r="40" spans="7:27" x14ac:dyDescent="0.3">
      <c r="G40" s="47">
        <f>Prem2LBW_1</f>
        <v>0.48376271186440678</v>
      </c>
      <c r="O40" s="47">
        <f>SGA_prem_2hypoglycaemia_1</f>
        <v>0.2155</v>
      </c>
      <c r="Q40" s="19" t="s">
        <v>226</v>
      </c>
      <c r="R40" s="19"/>
      <c r="T40" s="80"/>
      <c r="U40">
        <f>$Q$41*$O$40*$M$42*$K$27*$I$16*$G$40*$E$78*$C$148*$A$103</f>
        <v>1.299306626836648E-4</v>
      </c>
      <c r="V40">
        <v>2.4094541362011101E-4</v>
      </c>
      <c r="W40" s="42">
        <f>$K$28+$I$17+$G$41+$E$79+$C$149+$A$104+$M$43+$O$41+Q42</f>
        <v>276458.72020810808</v>
      </c>
      <c r="X40">
        <f>u_CongnitiveImpairement</f>
        <v>17.270393127285455</v>
      </c>
      <c r="Z40" s="42">
        <f>U40*W40</f>
        <v>35.920464721317359</v>
      </c>
      <c r="AA40" s="6">
        <f>U40*X40</f>
        <v>2.2439536238356094E-3</v>
      </c>
    </row>
    <row r="41" spans="7:27" x14ac:dyDescent="0.3">
      <c r="G41" s="48">
        <f>c_LBW</f>
        <v>254701.55809999997</v>
      </c>
      <c r="M41" s="19" t="s">
        <v>203</v>
      </c>
      <c r="O41" s="48">
        <f>c_hypo</f>
        <v>2936.2604000000001</v>
      </c>
      <c r="Q41" s="47">
        <f>Hypo2CI_1-(Hypo2CI_1*noRDS2CLD_1)</f>
        <v>5.1333333333333335E-2</v>
      </c>
      <c r="R41" s="47"/>
      <c r="T41" s="80"/>
      <c r="Z41" s="42"/>
      <c r="AA41" s="6"/>
    </row>
    <row r="42" spans="7:27" x14ac:dyDescent="0.3">
      <c r="M42" s="47">
        <f>S_prem_2noRDS_1</f>
        <v>0.55000000000000004</v>
      </c>
      <c r="Q42" s="48">
        <f>c_cog+c_hosp_fu+c_CSG</f>
        <v>15766</v>
      </c>
      <c r="R42" s="48"/>
      <c r="T42" s="80"/>
      <c r="Z42" s="42"/>
      <c r="AA42" s="6"/>
    </row>
    <row r="43" spans="7:27" x14ac:dyDescent="0.3">
      <c r="M43" s="48"/>
      <c r="O43" s="42"/>
      <c r="Q43" s="19" t="s">
        <v>369</v>
      </c>
      <c r="R43" s="19"/>
      <c r="T43" s="80"/>
      <c r="U43">
        <f>$Q$44*$O$40*$M$42*$K$27*$I$16*$G$40*$E$78*$C$148*$A$103</f>
        <v>0</v>
      </c>
      <c r="V43">
        <v>0</v>
      </c>
      <c r="W43" s="42">
        <f>$K$28+$I$17+$G$41+$E$79+$C$149+$A$104+$M$43+$O$41+Q45</f>
        <v>319041.23111050809</v>
      </c>
      <c r="X43">
        <f>u_ChronicResp+u_CongnitiveImpairement</f>
        <v>17.805052694763283</v>
      </c>
      <c r="Z43" s="42">
        <f>U43*W43</f>
        <v>0</v>
      </c>
      <c r="AA43" s="6">
        <f>U43*X43</f>
        <v>0</v>
      </c>
    </row>
    <row r="44" spans="7:27" x14ac:dyDescent="0.3">
      <c r="M44" s="42"/>
      <c r="Q44" s="47">
        <f>noRDS2CLD_1*Hypo2CI_1</f>
        <v>0</v>
      </c>
      <c r="R44" s="47"/>
      <c r="T44" s="80"/>
      <c r="Z44" s="42"/>
      <c r="AA44" s="6"/>
    </row>
    <row r="45" spans="7:27" x14ac:dyDescent="0.3">
      <c r="M45" s="42"/>
      <c r="Q45" s="48">
        <f>c_lung+c_cog+c_hosp_fu+c_CSG</f>
        <v>58348.510902399998</v>
      </c>
      <c r="R45" s="48"/>
      <c r="T45" s="80"/>
      <c r="Z45" s="42"/>
      <c r="AA45" s="6"/>
    </row>
    <row r="46" spans="7:27" x14ac:dyDescent="0.3">
      <c r="M46" s="42"/>
      <c r="Q46" s="19" t="s">
        <v>370</v>
      </c>
      <c r="R46" s="19"/>
      <c r="T46" s="80"/>
      <c r="U46">
        <f>$Q$47*$O$40*$M$42*$K$27*$I$16*$G$40*$E$78*$C$148*$A$103</f>
        <v>2.4011861428422728E-3</v>
      </c>
      <c r="V46">
        <v>4.4527964101482853E-3</v>
      </c>
      <c r="W46" s="42">
        <f>$K$28+$I$17+$G$41+$E$79+$C$149+$A$104+$M$43+$O$41+Q48</f>
        <v>275095.72020810808</v>
      </c>
      <c r="X46">
        <f>u_Healthy</f>
        <v>0</v>
      </c>
      <c r="Z46" s="42">
        <f>U46*W46</f>
        <v>660.55603131892406</v>
      </c>
      <c r="AA46" s="6">
        <f>U46*X46</f>
        <v>0</v>
      </c>
    </row>
    <row r="47" spans="7:27" x14ac:dyDescent="0.3">
      <c r="M47" s="42"/>
      <c r="O47" s="42"/>
      <c r="Q47" s="47">
        <f>1-Q44-Q41-Q38</f>
        <v>0.94866666666666666</v>
      </c>
      <c r="R47" s="47"/>
      <c r="T47" s="80"/>
      <c r="Z47" s="42"/>
      <c r="AA47" s="6"/>
    </row>
    <row r="48" spans="7:27" x14ac:dyDescent="0.3">
      <c r="M48" s="42"/>
      <c r="Q48" s="48">
        <f>c_clinic_fu+c_CSG</f>
        <v>14403</v>
      </c>
      <c r="R48" s="48"/>
      <c r="T48" s="80"/>
      <c r="Z48" s="42"/>
      <c r="AA48" s="6"/>
    </row>
    <row r="49" spans="11:72" x14ac:dyDescent="0.3">
      <c r="M49" s="42"/>
      <c r="Q49" s="42"/>
      <c r="R49" s="42"/>
      <c r="S49" s="96"/>
      <c r="T49" s="80"/>
      <c r="Z49" s="42"/>
      <c r="AA49" s="6"/>
    </row>
    <row r="50" spans="11:72" x14ac:dyDescent="0.3">
      <c r="M50" s="42"/>
      <c r="Q50" s="19" t="s">
        <v>368</v>
      </c>
      <c r="R50" s="19"/>
      <c r="T50" s="80"/>
      <c r="U50">
        <f>$Q$51*$O$54*$M$42*$K$27*$I$16*$G$40*$E$78*$C$148*$A$103</f>
        <v>0</v>
      </c>
      <c r="V50">
        <v>0</v>
      </c>
      <c r="W50" s="42">
        <f>$K$28+$I$17+$G$41+$E$79+$C$149+$A$104+$M$43+$O$55+Q52</f>
        <v>314315.23111050809</v>
      </c>
      <c r="X50">
        <f>u_ChronicResp</f>
        <v>0.53465956747782661</v>
      </c>
      <c r="Z50" s="42">
        <f>U50*W50</f>
        <v>0</v>
      </c>
      <c r="AA50" s="6">
        <f>U50*X50</f>
        <v>0</v>
      </c>
    </row>
    <row r="51" spans="11:72" x14ac:dyDescent="0.3">
      <c r="M51" s="42"/>
      <c r="Q51" s="47">
        <f>noRDS2CLD_1-(noRDS2CLD_1*noHypo2CI_1)</f>
        <v>0</v>
      </c>
      <c r="R51" s="47"/>
      <c r="T51" s="80"/>
      <c r="Z51" s="42"/>
      <c r="AA51" s="6"/>
    </row>
    <row r="52" spans="11:72" x14ac:dyDescent="0.3">
      <c r="M52" s="42"/>
      <c r="Q52" s="48">
        <f>c_lung+c_hypo+c_CSG</f>
        <v>56558.771302399997</v>
      </c>
      <c r="R52" s="48"/>
      <c r="T52" s="80"/>
      <c r="Z52" s="42"/>
      <c r="AA52" s="6"/>
    </row>
    <row r="53" spans="11:72" x14ac:dyDescent="0.3">
      <c r="M53" s="42"/>
      <c r="O53" s="19" t="s">
        <v>371</v>
      </c>
      <c r="Q53" s="19" t="s">
        <v>226</v>
      </c>
      <c r="R53" s="19"/>
      <c r="T53" s="80"/>
      <c r="U53">
        <f>$Q$54*$O$54*$M$42*$K$27*$I$16*$G$40*$E$78*$C$148*$A$103</f>
        <v>3.0485727806442144E-4</v>
      </c>
      <c r="V53">
        <v>5.653320120221941E-4</v>
      </c>
      <c r="W53" s="42">
        <f>$K$28+$I$17+$G$41+$E$79+$C$149+$A$104+$M$43+$O$55+Q55</f>
        <v>273522.45980810805</v>
      </c>
      <c r="X53">
        <f>u_CongnitiveImpairement</f>
        <v>17.270393127285455</v>
      </c>
      <c r="Z53" s="42">
        <f>U53*W53</f>
        <v>83.385312586584931</v>
      </c>
      <c r="AA53" s="6">
        <f>U53*X53</f>
        <v>5.2650050398867351E-3</v>
      </c>
    </row>
    <row r="54" spans="11:72" x14ac:dyDescent="0.3">
      <c r="M54" s="42"/>
      <c r="O54" s="47">
        <f>SGA_prem_2normoglycaemia_1</f>
        <v>0.78449999999999998</v>
      </c>
      <c r="Q54" s="47">
        <f>noHypo2CI_1</f>
        <v>3.3085576536761752E-2</v>
      </c>
      <c r="R54" s="47"/>
      <c r="T54" s="80"/>
      <c r="Z54" s="42"/>
      <c r="AA54" s="6"/>
    </row>
    <row r="55" spans="11:72" x14ac:dyDescent="0.3">
      <c r="M55" s="42"/>
      <c r="O55" s="48"/>
      <c r="Q55" s="48">
        <f>c_cog+c_hosp_fu+c_CSG</f>
        <v>15766</v>
      </c>
      <c r="R55" s="48"/>
      <c r="T55" s="80"/>
      <c r="Z55" s="42"/>
      <c r="AA55" s="6"/>
    </row>
    <row r="56" spans="11:72" x14ac:dyDescent="0.3">
      <c r="M56" s="42"/>
      <c r="Q56" s="19" t="s">
        <v>369</v>
      </c>
      <c r="R56" s="19"/>
      <c r="T56" s="80"/>
      <c r="U56">
        <f>$Q$57*$O$54*$M$42*$K$27*$I$16*$G$40*$E$78*$C$148*$A$103</f>
        <v>0</v>
      </c>
      <c r="V56">
        <v>0</v>
      </c>
      <c r="W56" s="42">
        <f>$K$28+$I$17+$G$41+$E$79+$C$149+$A$104+$M$43+$O$55+Q58</f>
        <v>316104.97071050806</v>
      </c>
      <c r="X56">
        <f>u_ChronicResp+u_CongnitiveImpairement</f>
        <v>17.805052694763283</v>
      </c>
      <c r="Z56" s="42">
        <f>U56*W56</f>
        <v>0</v>
      </c>
      <c r="AA56" s="6">
        <f>U56*X56</f>
        <v>0</v>
      </c>
    </row>
    <row r="57" spans="11:72" x14ac:dyDescent="0.3">
      <c r="M57" s="42"/>
      <c r="Q57" s="47">
        <f>noRDS2CLD_1*noHypo2CI_1</f>
        <v>0</v>
      </c>
      <c r="R57" s="47"/>
      <c r="T57" s="80"/>
      <c r="Z57" s="42"/>
      <c r="AA57" s="6"/>
    </row>
    <row r="58" spans="11:72" x14ac:dyDescent="0.3">
      <c r="M58" s="42"/>
      <c r="Q58" s="48">
        <f>c_cog+c_lung+c_hosp_fu+c_CSG</f>
        <v>58348.510902399998</v>
      </c>
      <c r="R58" s="48"/>
      <c r="T58" s="80"/>
      <c r="Z58" s="42"/>
      <c r="AA58" s="6"/>
    </row>
    <row r="59" spans="11:72" x14ac:dyDescent="0.3">
      <c r="M59" s="42"/>
      <c r="Q59" s="19" t="s">
        <v>370</v>
      </c>
      <c r="R59" s="19"/>
      <c r="T59" s="80"/>
      <c r="U59">
        <f>$Q$60*$O$54*$M$42*$K$27*$I$16*$G$40*$E$78*$C$148*$A$103</f>
        <v>8.9093475197782601E-3</v>
      </c>
      <c r="V59">
        <v>1.6521630682856264E-2</v>
      </c>
      <c r="W59" s="42">
        <f>$K$28+$I$17+$G$41+$E$79+$C$149+$A$104+$M$43+$O$55+Q61</f>
        <v>272159.45980810805</v>
      </c>
      <c r="X59">
        <f>u_Healthy</f>
        <v>0</v>
      </c>
      <c r="Z59" s="42">
        <f>U59*W59</f>
        <v>2424.7632082255586</v>
      </c>
      <c r="AA59" s="6">
        <f>U59*X59</f>
        <v>0</v>
      </c>
    </row>
    <row r="60" spans="11:72" x14ac:dyDescent="0.3">
      <c r="M60" s="42"/>
      <c r="Q60" s="47">
        <f>1-Q57-Q54-Q51</f>
        <v>0.9669144234632383</v>
      </c>
      <c r="R60" s="47"/>
      <c r="T60" s="80"/>
      <c r="Z60" s="42"/>
      <c r="AA60" s="6"/>
    </row>
    <row r="61" spans="11:72" x14ac:dyDescent="0.3">
      <c r="M61" s="42"/>
      <c r="Q61" s="48">
        <f>c_clinic_fu+c_CSG</f>
        <v>14403</v>
      </c>
      <c r="R61" s="48"/>
      <c r="T61" s="80"/>
      <c r="Z61" s="42"/>
      <c r="AA61" s="6"/>
    </row>
    <row r="62" spans="11:72" x14ac:dyDescent="0.3">
      <c r="M62" s="42"/>
      <c r="Q62" s="42"/>
      <c r="R62" s="42"/>
      <c r="T62" s="80"/>
      <c r="Z62" s="42"/>
      <c r="AA62" s="6"/>
    </row>
    <row r="63" spans="11:72" x14ac:dyDescent="0.3">
      <c r="K63" s="19" t="s">
        <v>165</v>
      </c>
      <c r="L63" s="19"/>
      <c r="M63" s="19"/>
      <c r="N63" s="19"/>
      <c r="O63" s="19"/>
      <c r="P63" s="19"/>
      <c r="Q63" s="19"/>
      <c r="R63" s="19"/>
      <c r="T63" s="80"/>
      <c r="U63">
        <f>$K$64*$I$72*$G$40*$E$78*$C$148*$A$103</f>
        <v>1.1077661927100546E-3</v>
      </c>
      <c r="V63">
        <v>1.9037211390745008E-3</v>
      </c>
      <c r="W63" s="42">
        <f>$K$65+$I$73+$G$41+$E$79+$C$149+$A$104</f>
        <v>259548.45980810808</v>
      </c>
      <c r="X63">
        <f>u_Death</f>
        <v>19.181538114427529</v>
      </c>
      <c r="Z63" s="42">
        <f>U63*W63</f>
        <v>287.51900914538652</v>
      </c>
      <c r="AA63" s="6">
        <f>U63*X63</f>
        <v>2.1248659447342184E-2</v>
      </c>
      <c r="AM63" t="s">
        <v>165</v>
      </c>
      <c r="AV63">
        <v>1.9037211390745008E-3</v>
      </c>
      <c r="AW63">
        <v>1.9037211390745008E-3</v>
      </c>
      <c r="AX63">
        <v>0</v>
      </c>
      <c r="AY63">
        <v>761763.34</v>
      </c>
      <c r="AZ63">
        <v>19.181538114427529</v>
      </c>
      <c r="BB63">
        <v>3.6516299588398929E-2</v>
      </c>
      <c r="BE63">
        <f t="shared" ref="BE63:BE83" si="0">IF(AG63=E63,0,1)</f>
        <v>0</v>
      </c>
      <c r="BF63">
        <f t="shared" ref="BF63:BF83" si="1">IF(AH63=F63,0,1)</f>
        <v>0</v>
      </c>
      <c r="BG63">
        <f t="shared" ref="BG63:BG83" si="2">IF(AI63=G63,0,1)</f>
        <v>0</v>
      </c>
      <c r="BH63">
        <f t="shared" ref="BH63:BH83" si="3">IF(AJ63=H63,0,1)</f>
        <v>0</v>
      </c>
      <c r="BI63">
        <f t="shared" ref="BI63:BI83" si="4">IF(AK63=I63,0,1)</f>
        <v>0</v>
      </c>
      <c r="BJ63">
        <f t="shared" ref="BJ63:BJ83" si="5">IF(AL63=J63,0,1)</f>
        <v>0</v>
      </c>
      <c r="BK63">
        <f t="shared" ref="BK63:BK83" si="6">IF(AM63=K63,0,1)</f>
        <v>0</v>
      </c>
      <c r="BL63">
        <f t="shared" ref="BL63:BL83" si="7">IF(AN63=L63,0,1)</f>
        <v>0</v>
      </c>
      <c r="BM63">
        <f t="shared" ref="BM63:BM83" si="8">IF(AO63=M63,0,1)</f>
        <v>0</v>
      </c>
      <c r="BN63">
        <f t="shared" ref="BN63:BN83" si="9">IF(AP63=N63,0,1)</f>
        <v>0</v>
      </c>
      <c r="BO63">
        <f t="shared" ref="BO63:BO83" si="10">IF(AQ63=O63,0,1)</f>
        <v>0</v>
      </c>
      <c r="BP63">
        <f t="shared" ref="BP63:BP83" si="11">IF(AR63=P63,0,1)</f>
        <v>0</v>
      </c>
      <c r="BQ63">
        <f t="shared" ref="BQ63:BQ83" si="12">IF(AS63=Q63,0,1)</f>
        <v>0</v>
      </c>
      <c r="BR63">
        <f t="shared" ref="BR63:BR83" si="13">IF(AT63=S63,0,1)</f>
        <v>0</v>
      </c>
      <c r="BS63">
        <f t="shared" ref="BS63:BS83" si="14">IF(AU63=T63,0,1)</f>
        <v>0</v>
      </c>
      <c r="BT63">
        <f t="shared" ref="BT63:BT83" si="15">IF(AV63=U63,0,1)</f>
        <v>1</v>
      </c>
    </row>
    <row r="64" spans="11:72" x14ac:dyDescent="0.3">
      <c r="K64" s="47">
        <f>AGA_prem_2d_1</f>
        <v>3.1903725000000001E-2</v>
      </c>
      <c r="T64" s="80"/>
      <c r="Z64" s="42"/>
      <c r="AA64" s="6"/>
      <c r="AM64">
        <v>3.5174999999999998E-2</v>
      </c>
      <c r="AX64">
        <v>0</v>
      </c>
      <c r="BB64">
        <v>0</v>
      </c>
      <c r="BE64">
        <f t="shared" si="0"/>
        <v>0</v>
      </c>
      <c r="BF64">
        <f t="shared" si="1"/>
        <v>0</v>
      </c>
      <c r="BG64">
        <f t="shared" si="2"/>
        <v>0</v>
      </c>
      <c r="BH64">
        <f t="shared" si="3"/>
        <v>0</v>
      </c>
      <c r="BI64">
        <f t="shared" si="4"/>
        <v>0</v>
      </c>
      <c r="BJ64">
        <f t="shared" si="5"/>
        <v>0</v>
      </c>
      <c r="BK64">
        <f t="shared" si="6"/>
        <v>1</v>
      </c>
      <c r="BL64">
        <f t="shared" si="7"/>
        <v>0</v>
      </c>
      <c r="BM64">
        <f t="shared" si="8"/>
        <v>0</v>
      </c>
      <c r="BN64">
        <f t="shared" si="9"/>
        <v>0</v>
      </c>
      <c r="BO64">
        <f t="shared" si="10"/>
        <v>0</v>
      </c>
      <c r="BP64">
        <f t="shared" si="11"/>
        <v>0</v>
      </c>
      <c r="BQ64">
        <f t="shared" si="12"/>
        <v>0</v>
      </c>
      <c r="BR64">
        <f t="shared" si="13"/>
        <v>0</v>
      </c>
      <c r="BS64">
        <f t="shared" si="14"/>
        <v>0</v>
      </c>
      <c r="BT64">
        <f t="shared" si="15"/>
        <v>0</v>
      </c>
    </row>
    <row r="65" spans="5:72" x14ac:dyDescent="0.3">
      <c r="K65" s="48">
        <f>c_SB</f>
        <v>1792</v>
      </c>
      <c r="T65" s="80"/>
      <c r="Z65" s="42"/>
      <c r="AA65" s="6"/>
      <c r="AM65">
        <v>1720</v>
      </c>
      <c r="AX65">
        <v>0</v>
      </c>
      <c r="BB65">
        <v>0</v>
      </c>
      <c r="BE65">
        <f t="shared" si="0"/>
        <v>0</v>
      </c>
      <c r="BF65">
        <f t="shared" si="1"/>
        <v>0</v>
      </c>
      <c r="BG65">
        <f t="shared" si="2"/>
        <v>0</v>
      </c>
      <c r="BH65">
        <f t="shared" si="3"/>
        <v>0</v>
      </c>
      <c r="BI65">
        <f t="shared" si="4"/>
        <v>0</v>
      </c>
      <c r="BJ65">
        <f t="shared" si="5"/>
        <v>0</v>
      </c>
      <c r="BK65">
        <f t="shared" si="6"/>
        <v>1</v>
      </c>
      <c r="BL65">
        <f t="shared" si="7"/>
        <v>0</v>
      </c>
      <c r="BM65">
        <f t="shared" si="8"/>
        <v>0</v>
      </c>
      <c r="BN65">
        <f t="shared" si="9"/>
        <v>0</v>
      </c>
      <c r="BO65">
        <f t="shared" si="10"/>
        <v>0</v>
      </c>
      <c r="BP65">
        <f t="shared" si="11"/>
        <v>0</v>
      </c>
      <c r="BQ65">
        <f t="shared" si="12"/>
        <v>0</v>
      </c>
      <c r="BR65">
        <f t="shared" si="13"/>
        <v>0</v>
      </c>
      <c r="BS65">
        <f t="shared" si="14"/>
        <v>0</v>
      </c>
      <c r="BT65">
        <f t="shared" si="15"/>
        <v>0</v>
      </c>
    </row>
    <row r="66" spans="5:72" x14ac:dyDescent="0.3">
      <c r="T66" s="80"/>
      <c r="Z66" s="42"/>
      <c r="AA66" s="6"/>
      <c r="AX66">
        <v>0</v>
      </c>
      <c r="BB66">
        <v>0</v>
      </c>
      <c r="BE66">
        <f t="shared" si="0"/>
        <v>0</v>
      </c>
      <c r="BF66">
        <f t="shared" si="1"/>
        <v>0</v>
      </c>
      <c r="BG66">
        <f t="shared" si="2"/>
        <v>0</v>
      </c>
      <c r="BH66">
        <f t="shared" si="3"/>
        <v>0</v>
      </c>
      <c r="BI66">
        <f t="shared" si="4"/>
        <v>0</v>
      </c>
      <c r="BJ66">
        <f t="shared" si="5"/>
        <v>0</v>
      </c>
      <c r="BK66">
        <f t="shared" si="6"/>
        <v>0</v>
      </c>
      <c r="BL66">
        <f t="shared" si="7"/>
        <v>0</v>
      </c>
      <c r="BM66">
        <f t="shared" si="8"/>
        <v>0</v>
      </c>
      <c r="BN66">
        <f t="shared" si="9"/>
        <v>0</v>
      </c>
      <c r="BO66">
        <f t="shared" si="10"/>
        <v>0</v>
      </c>
      <c r="BP66">
        <f t="shared" si="11"/>
        <v>0</v>
      </c>
      <c r="BQ66">
        <f t="shared" si="12"/>
        <v>0</v>
      </c>
      <c r="BR66">
        <f t="shared" si="13"/>
        <v>0</v>
      </c>
      <c r="BS66">
        <f t="shared" si="14"/>
        <v>0</v>
      </c>
      <c r="BT66">
        <f t="shared" si="15"/>
        <v>0</v>
      </c>
    </row>
    <row r="67" spans="5:72" x14ac:dyDescent="0.3">
      <c r="Q67" s="19" t="s">
        <v>368</v>
      </c>
      <c r="R67" s="19"/>
      <c r="T67" s="80"/>
      <c r="U67">
        <f>$K$83*$I$72*$G$40*$E$78*$C$148*$A$103*$M$78*$O$73*Q68</f>
        <v>7.7705163519264963E-4</v>
      </c>
      <c r="V67">
        <v>1.2070976103514609E-3</v>
      </c>
      <c r="W67" s="42">
        <f>$K$84+$I$73+$G$41+$E$79+$C$149+$A$104+$M$79+$O$74+Q69</f>
        <v>345817.84125871374</v>
      </c>
      <c r="X67">
        <f>u_ChronicResp</f>
        <v>0.53465956747782661</v>
      </c>
      <c r="Z67" s="42">
        <f>U67*W67</f>
        <v>268.71831902887567</v>
      </c>
      <c r="AA67" s="6">
        <f>U67*X67</f>
        <v>4.1545809118003998E-4</v>
      </c>
      <c r="AS67" t="s">
        <v>368</v>
      </c>
      <c r="AV67">
        <v>1.2070976103514609E-3</v>
      </c>
      <c r="AW67">
        <v>1.2070976103514609E-3</v>
      </c>
      <c r="AX67">
        <v>0</v>
      </c>
      <c r="AY67">
        <v>828718.6399999999</v>
      </c>
      <c r="AZ67">
        <v>0.53465956747782661</v>
      </c>
      <c r="BB67">
        <v>6.453862862540301E-4</v>
      </c>
      <c r="BE67">
        <f t="shared" si="0"/>
        <v>0</v>
      </c>
      <c r="BF67">
        <f t="shared" si="1"/>
        <v>0</v>
      </c>
      <c r="BG67">
        <f t="shared" si="2"/>
        <v>0</v>
      </c>
      <c r="BH67">
        <f t="shared" si="3"/>
        <v>0</v>
      </c>
      <c r="BI67">
        <f t="shared" si="4"/>
        <v>0</v>
      </c>
      <c r="BJ67">
        <f t="shared" si="5"/>
        <v>0</v>
      </c>
      <c r="BK67">
        <f t="shared" si="6"/>
        <v>0</v>
      </c>
      <c r="BL67">
        <f t="shared" si="7"/>
        <v>0</v>
      </c>
      <c r="BM67">
        <f t="shared" si="8"/>
        <v>0</v>
      </c>
      <c r="BN67">
        <f t="shared" si="9"/>
        <v>0</v>
      </c>
      <c r="BO67">
        <f t="shared" si="10"/>
        <v>0</v>
      </c>
      <c r="BP67">
        <f t="shared" si="11"/>
        <v>0</v>
      </c>
      <c r="BQ67">
        <f t="shared" si="12"/>
        <v>0</v>
      </c>
      <c r="BR67">
        <f t="shared" si="13"/>
        <v>0</v>
      </c>
      <c r="BS67">
        <f t="shared" si="14"/>
        <v>0</v>
      </c>
      <c r="BT67">
        <f t="shared" si="15"/>
        <v>1</v>
      </c>
    </row>
    <row r="68" spans="5:72" x14ac:dyDescent="0.3">
      <c r="Q68" s="47">
        <f>RDS2CLD_1-(Hypo2CI_1*RDS2CLD_1)</f>
        <v>0.34246866666666664</v>
      </c>
      <c r="R68" s="47"/>
      <c r="T68" s="80"/>
      <c r="Z68" s="42"/>
      <c r="AA68" s="6"/>
      <c r="AS68">
        <v>0.34246866666666664</v>
      </c>
      <c r="AX68">
        <v>0</v>
      </c>
      <c r="BB68">
        <v>0</v>
      </c>
      <c r="BE68">
        <f t="shared" si="0"/>
        <v>0</v>
      </c>
      <c r="BF68">
        <f t="shared" si="1"/>
        <v>0</v>
      </c>
      <c r="BG68">
        <f t="shared" si="2"/>
        <v>0</v>
      </c>
      <c r="BH68">
        <f t="shared" si="3"/>
        <v>0</v>
      </c>
      <c r="BI68">
        <f t="shared" si="4"/>
        <v>0</v>
      </c>
      <c r="BJ68">
        <f t="shared" si="5"/>
        <v>0</v>
      </c>
      <c r="BK68">
        <f t="shared" si="6"/>
        <v>0</v>
      </c>
      <c r="BL68">
        <f t="shared" si="7"/>
        <v>0</v>
      </c>
      <c r="BM68">
        <f t="shared" si="8"/>
        <v>0</v>
      </c>
      <c r="BN68">
        <f t="shared" si="9"/>
        <v>0</v>
      </c>
      <c r="BO68">
        <f t="shared" si="10"/>
        <v>0</v>
      </c>
      <c r="BP68">
        <f t="shared" si="11"/>
        <v>0</v>
      </c>
      <c r="BQ68">
        <f t="shared" si="12"/>
        <v>0</v>
      </c>
      <c r="BR68">
        <f t="shared" si="13"/>
        <v>0</v>
      </c>
      <c r="BS68">
        <f t="shared" si="14"/>
        <v>0</v>
      </c>
      <c r="BT68">
        <f t="shared" si="15"/>
        <v>0</v>
      </c>
    </row>
    <row r="69" spans="5:72" x14ac:dyDescent="0.3">
      <c r="Q69" s="48">
        <f>c_lung+c_hosp_fu+c_CSG</f>
        <v>54529.510902399998</v>
      </c>
      <c r="R69" s="48"/>
      <c r="T69" s="80"/>
      <c r="Z69" s="42"/>
      <c r="AA69" s="6"/>
      <c r="AS69">
        <v>42323.200000000004</v>
      </c>
      <c r="AX69">
        <v>0</v>
      </c>
      <c r="BB69">
        <v>0</v>
      </c>
      <c r="BE69">
        <f t="shared" si="0"/>
        <v>0</v>
      </c>
      <c r="BF69">
        <f t="shared" si="1"/>
        <v>0</v>
      </c>
      <c r="BG69">
        <f t="shared" si="2"/>
        <v>0</v>
      </c>
      <c r="BH69">
        <f t="shared" si="3"/>
        <v>0</v>
      </c>
      <c r="BI69">
        <f t="shared" si="4"/>
        <v>0</v>
      </c>
      <c r="BJ69">
        <f t="shared" si="5"/>
        <v>0</v>
      </c>
      <c r="BK69">
        <f t="shared" si="6"/>
        <v>0</v>
      </c>
      <c r="BL69">
        <f t="shared" si="7"/>
        <v>0</v>
      </c>
      <c r="BM69">
        <f t="shared" si="8"/>
        <v>0</v>
      </c>
      <c r="BN69">
        <f t="shared" si="9"/>
        <v>0</v>
      </c>
      <c r="BO69">
        <f t="shared" si="10"/>
        <v>0</v>
      </c>
      <c r="BP69">
        <f t="shared" si="11"/>
        <v>0</v>
      </c>
      <c r="BQ69">
        <f t="shared" si="12"/>
        <v>1</v>
      </c>
      <c r="BR69">
        <f t="shared" si="13"/>
        <v>0</v>
      </c>
      <c r="BS69">
        <f t="shared" si="14"/>
        <v>0</v>
      </c>
      <c r="BT69">
        <f t="shared" si="15"/>
        <v>0</v>
      </c>
    </row>
    <row r="70" spans="5:72" x14ac:dyDescent="0.3">
      <c r="Q70" s="19" t="s">
        <v>226</v>
      </c>
      <c r="R70" s="19"/>
      <c r="T70" s="80"/>
      <c r="U70">
        <f>$K$83*$I$72*$G$40*$E$78*$C$148*$A$103*$M$78*$O$73*Q71</f>
        <v>7.4426802269762757E-5</v>
      </c>
      <c r="V70">
        <v>1.1561704666338901E-4</v>
      </c>
      <c r="W70" s="42">
        <f>$K$84+$I$73+$G$41+$E$79+$C$149+$A$104+$M$79+$O$74+Q72</f>
        <v>307054.33035631373</v>
      </c>
      <c r="X70">
        <f>u_CongnitiveImpairement</f>
        <v>17.270393127285455</v>
      </c>
      <c r="Z70" s="42">
        <f>U70*W70</f>
        <v>22.853071931503774</v>
      </c>
      <c r="AA70" s="6">
        <f>U70*X70</f>
        <v>1.2853801344055442E-3</v>
      </c>
      <c r="AS70" t="s">
        <v>226</v>
      </c>
      <c r="AV70">
        <v>1.1561704666338901E-4</v>
      </c>
      <c r="AW70">
        <v>1.1561704666338901E-4</v>
      </c>
      <c r="AX70">
        <v>0</v>
      </c>
      <c r="AY70">
        <v>791235.44</v>
      </c>
      <c r="AZ70">
        <v>17.270393127285455</v>
      </c>
      <c r="BB70">
        <v>1.9967518480924354E-3</v>
      </c>
      <c r="BE70">
        <f t="shared" si="0"/>
        <v>0</v>
      </c>
      <c r="BF70">
        <f t="shared" si="1"/>
        <v>0</v>
      </c>
      <c r="BG70">
        <f t="shared" si="2"/>
        <v>0</v>
      </c>
      <c r="BH70">
        <f t="shared" si="3"/>
        <v>0</v>
      </c>
      <c r="BI70">
        <f t="shared" si="4"/>
        <v>0</v>
      </c>
      <c r="BJ70">
        <f t="shared" si="5"/>
        <v>0</v>
      </c>
      <c r="BK70">
        <f t="shared" si="6"/>
        <v>0</v>
      </c>
      <c r="BL70">
        <f t="shared" si="7"/>
        <v>0</v>
      </c>
      <c r="BM70">
        <f t="shared" si="8"/>
        <v>0</v>
      </c>
      <c r="BN70">
        <f t="shared" si="9"/>
        <v>0</v>
      </c>
      <c r="BO70">
        <f t="shared" si="10"/>
        <v>0</v>
      </c>
      <c r="BP70">
        <f t="shared" si="11"/>
        <v>0</v>
      </c>
      <c r="BQ70">
        <f t="shared" si="12"/>
        <v>0</v>
      </c>
      <c r="BR70">
        <f t="shared" si="13"/>
        <v>0</v>
      </c>
      <c r="BS70">
        <f t="shared" si="14"/>
        <v>0</v>
      </c>
      <c r="BT70">
        <f t="shared" si="15"/>
        <v>1</v>
      </c>
    </row>
    <row r="71" spans="5:72" x14ac:dyDescent="0.3">
      <c r="I71" s="19" t="s">
        <v>425</v>
      </c>
      <c r="Q71" s="47">
        <f>Hypo2CI_1-(Hypo2CI_1*RDS2CLD_1)</f>
        <v>3.2801999999999998E-2</v>
      </c>
      <c r="R71" s="47"/>
      <c r="T71" s="80"/>
      <c r="Z71" s="42"/>
      <c r="AA71" s="6"/>
      <c r="AK71" t="s">
        <v>425</v>
      </c>
      <c r="AS71">
        <v>3.2801999999999998E-2</v>
      </c>
      <c r="AX71">
        <v>0</v>
      </c>
      <c r="BB71">
        <v>0</v>
      </c>
      <c r="BE71">
        <f t="shared" si="0"/>
        <v>0</v>
      </c>
      <c r="BF71">
        <f t="shared" si="1"/>
        <v>0</v>
      </c>
      <c r="BG71">
        <f t="shared" si="2"/>
        <v>0</v>
      </c>
      <c r="BH71">
        <f t="shared" si="3"/>
        <v>0</v>
      </c>
      <c r="BI71">
        <f t="shared" si="4"/>
        <v>0</v>
      </c>
      <c r="BJ71">
        <f t="shared" si="5"/>
        <v>0</v>
      </c>
      <c r="BK71">
        <f t="shared" si="6"/>
        <v>0</v>
      </c>
      <c r="BL71">
        <f t="shared" si="7"/>
        <v>0</v>
      </c>
      <c r="BM71">
        <f t="shared" si="8"/>
        <v>0</v>
      </c>
      <c r="BN71">
        <f t="shared" si="9"/>
        <v>0</v>
      </c>
      <c r="BO71">
        <f t="shared" si="10"/>
        <v>0</v>
      </c>
      <c r="BP71">
        <f t="shared" si="11"/>
        <v>0</v>
      </c>
      <c r="BQ71">
        <f t="shared" si="12"/>
        <v>0</v>
      </c>
      <c r="BR71">
        <f t="shared" si="13"/>
        <v>0</v>
      </c>
      <c r="BS71">
        <f t="shared" si="14"/>
        <v>0</v>
      </c>
      <c r="BT71">
        <f t="shared" si="15"/>
        <v>0</v>
      </c>
    </row>
    <row r="72" spans="5:72" x14ac:dyDescent="0.3">
      <c r="I72" s="47">
        <f>LBW_prem_2AGA_1</f>
        <v>0.60031407035175877</v>
      </c>
      <c r="O72" s="19" t="s">
        <v>161</v>
      </c>
      <c r="Q72" s="48">
        <f>c_cog+c_hosp_fu+c_CSG</f>
        <v>15766</v>
      </c>
      <c r="R72" s="48"/>
      <c r="T72" s="80"/>
      <c r="Z72" s="42"/>
      <c r="AA72" s="6"/>
      <c r="AK72">
        <v>0.55590452261306533</v>
      </c>
      <c r="AQ72" t="s">
        <v>161</v>
      </c>
      <c r="AS72">
        <v>4840</v>
      </c>
      <c r="AX72">
        <v>0</v>
      </c>
      <c r="BB72">
        <v>0</v>
      </c>
      <c r="BE72">
        <f t="shared" si="0"/>
        <v>0</v>
      </c>
      <c r="BF72">
        <f t="shared" si="1"/>
        <v>0</v>
      </c>
      <c r="BG72">
        <f t="shared" si="2"/>
        <v>0</v>
      </c>
      <c r="BH72">
        <f t="shared" si="3"/>
        <v>0</v>
      </c>
      <c r="BI72">
        <f t="shared" si="4"/>
        <v>1</v>
      </c>
      <c r="BJ72">
        <f t="shared" si="5"/>
        <v>0</v>
      </c>
      <c r="BK72">
        <f t="shared" si="6"/>
        <v>0</v>
      </c>
      <c r="BL72">
        <f t="shared" si="7"/>
        <v>0</v>
      </c>
      <c r="BM72">
        <f t="shared" si="8"/>
        <v>0</v>
      </c>
      <c r="BN72">
        <f t="shared" si="9"/>
        <v>0</v>
      </c>
      <c r="BO72">
        <f t="shared" si="10"/>
        <v>0</v>
      </c>
      <c r="BP72">
        <f t="shared" si="11"/>
        <v>0</v>
      </c>
      <c r="BQ72">
        <f t="shared" si="12"/>
        <v>1</v>
      </c>
      <c r="BR72">
        <f t="shared" si="13"/>
        <v>0</v>
      </c>
      <c r="BS72">
        <f t="shared" si="14"/>
        <v>0</v>
      </c>
      <c r="BT72">
        <f t="shared" si="15"/>
        <v>0</v>
      </c>
    </row>
    <row r="73" spans="5:72" x14ac:dyDescent="0.3">
      <c r="I73" s="48"/>
      <c r="O73" s="47">
        <f>AGA_prem_2hypoglycaemia_1</f>
        <v>0.15</v>
      </c>
      <c r="Q73" s="19" t="s">
        <v>369</v>
      </c>
      <c r="R73" s="19"/>
      <c r="T73" s="80"/>
      <c r="U73">
        <f>$K$83*$I$72*$G$40*$E$78*$C$148*$A$103*$M$78*$O$73*Q74</f>
        <v>4.2047066697002128E-5</v>
      </c>
      <c r="V73">
        <v>6.531729866272839E-5</v>
      </c>
      <c r="W73" s="42">
        <f>$K$84+$I$73+$G$41+$E$79+$C$149+$A$104+$M$79+$O$74+Q75</f>
        <v>349636.84125871374</v>
      </c>
      <c r="X73">
        <f>u_ChronicResp+u_CongnitiveImpairement</f>
        <v>17.805052694763283</v>
      </c>
      <c r="Z73" s="42">
        <f>U73*W73</f>
        <v>14.701203584134282</v>
      </c>
      <c r="AA73" s="6">
        <f>U73*X73</f>
        <v>7.4865023820034921E-4</v>
      </c>
      <c r="AQ73">
        <v>0.15</v>
      </c>
      <c r="AS73" t="s">
        <v>369</v>
      </c>
      <c r="AV73">
        <v>6.531729866272839E-5</v>
      </c>
      <c r="AW73">
        <v>3.9595215814748616E-5</v>
      </c>
      <c r="AX73">
        <v>1</v>
      </c>
      <c r="AY73">
        <v>832385.6399999999</v>
      </c>
      <c r="AZ73">
        <v>17.805052694763283</v>
      </c>
      <c r="BB73">
        <v>1.1629779445694703E-3</v>
      </c>
      <c r="BE73">
        <f t="shared" si="0"/>
        <v>0</v>
      </c>
      <c r="BF73">
        <f t="shared" si="1"/>
        <v>0</v>
      </c>
      <c r="BG73">
        <f t="shared" si="2"/>
        <v>0</v>
      </c>
      <c r="BH73">
        <f t="shared" si="3"/>
        <v>0</v>
      </c>
      <c r="BI73">
        <f t="shared" si="4"/>
        <v>0</v>
      </c>
      <c r="BJ73">
        <f t="shared" si="5"/>
        <v>0</v>
      </c>
      <c r="BK73">
        <f t="shared" si="6"/>
        <v>0</v>
      </c>
      <c r="BL73">
        <f t="shared" si="7"/>
        <v>0</v>
      </c>
      <c r="BM73">
        <f t="shared" si="8"/>
        <v>0</v>
      </c>
      <c r="BN73">
        <f t="shared" si="9"/>
        <v>0</v>
      </c>
      <c r="BO73">
        <f t="shared" si="10"/>
        <v>0</v>
      </c>
      <c r="BP73">
        <f t="shared" si="11"/>
        <v>0</v>
      </c>
      <c r="BQ73">
        <f t="shared" si="12"/>
        <v>0</v>
      </c>
      <c r="BR73">
        <f t="shared" si="13"/>
        <v>0</v>
      </c>
      <c r="BS73">
        <f t="shared" si="14"/>
        <v>0</v>
      </c>
      <c r="BT73">
        <f t="shared" si="15"/>
        <v>1</v>
      </c>
    </row>
    <row r="74" spans="5:72" x14ac:dyDescent="0.3">
      <c r="O74" s="48">
        <f>c_hypo</f>
        <v>2936.2604000000001</v>
      </c>
      <c r="Q74" s="47">
        <f>Hypo2CI_1*RDS2CLD_1</f>
        <v>1.8531333333333334E-2</v>
      </c>
      <c r="R74" s="47"/>
      <c r="T74" s="80"/>
      <c r="Z74" s="42"/>
      <c r="AA74" s="6"/>
      <c r="AQ74">
        <v>2728.1</v>
      </c>
      <c r="AS74">
        <v>1.8531333333333334E-2</v>
      </c>
      <c r="AX74">
        <v>0</v>
      </c>
      <c r="BB74">
        <v>0</v>
      </c>
      <c r="BE74">
        <f t="shared" si="0"/>
        <v>0</v>
      </c>
      <c r="BF74">
        <f t="shared" si="1"/>
        <v>0</v>
      </c>
      <c r="BG74">
        <f t="shared" si="2"/>
        <v>0</v>
      </c>
      <c r="BH74">
        <f t="shared" si="3"/>
        <v>0</v>
      </c>
      <c r="BI74">
        <f t="shared" si="4"/>
        <v>0</v>
      </c>
      <c r="BJ74">
        <f t="shared" si="5"/>
        <v>0</v>
      </c>
      <c r="BK74">
        <f t="shared" si="6"/>
        <v>0</v>
      </c>
      <c r="BL74">
        <f t="shared" si="7"/>
        <v>0</v>
      </c>
      <c r="BM74">
        <f t="shared" si="8"/>
        <v>0</v>
      </c>
      <c r="BN74">
        <f t="shared" si="9"/>
        <v>0</v>
      </c>
      <c r="BO74">
        <f t="shared" si="10"/>
        <v>1</v>
      </c>
      <c r="BP74">
        <f t="shared" si="11"/>
        <v>0</v>
      </c>
      <c r="BQ74">
        <f t="shared" si="12"/>
        <v>0</v>
      </c>
      <c r="BR74">
        <f t="shared" si="13"/>
        <v>0</v>
      </c>
      <c r="BS74">
        <f t="shared" si="14"/>
        <v>0</v>
      </c>
      <c r="BT74">
        <f t="shared" si="15"/>
        <v>0</v>
      </c>
    </row>
    <row r="75" spans="5:72" x14ac:dyDescent="0.3">
      <c r="M75" s="42"/>
      <c r="Q75" s="48">
        <f>c_lung+c_cog+c_hosp_fu+c_CSG</f>
        <v>58348.510902399998</v>
      </c>
      <c r="R75" s="48"/>
      <c r="T75" s="80"/>
      <c r="Z75" s="42"/>
      <c r="AA75" s="6"/>
      <c r="AS75">
        <v>45990.200000000004</v>
      </c>
      <c r="AX75">
        <v>0</v>
      </c>
      <c r="BB75">
        <v>0</v>
      </c>
      <c r="BE75">
        <f t="shared" si="0"/>
        <v>0</v>
      </c>
      <c r="BF75">
        <f t="shared" si="1"/>
        <v>0</v>
      </c>
      <c r="BG75">
        <f t="shared" si="2"/>
        <v>0</v>
      </c>
      <c r="BH75">
        <f t="shared" si="3"/>
        <v>0</v>
      </c>
      <c r="BI75">
        <f t="shared" si="4"/>
        <v>0</v>
      </c>
      <c r="BJ75">
        <f t="shared" si="5"/>
        <v>0</v>
      </c>
      <c r="BK75">
        <f t="shared" si="6"/>
        <v>0</v>
      </c>
      <c r="BL75">
        <f t="shared" si="7"/>
        <v>0</v>
      </c>
      <c r="BM75">
        <f t="shared" si="8"/>
        <v>0</v>
      </c>
      <c r="BN75">
        <f t="shared" si="9"/>
        <v>0</v>
      </c>
      <c r="BO75">
        <f t="shared" si="10"/>
        <v>0</v>
      </c>
      <c r="BP75">
        <f t="shared" si="11"/>
        <v>0</v>
      </c>
      <c r="BQ75">
        <f t="shared" si="12"/>
        <v>1</v>
      </c>
      <c r="BR75">
        <f t="shared" si="13"/>
        <v>0</v>
      </c>
      <c r="BS75">
        <f t="shared" si="14"/>
        <v>0</v>
      </c>
      <c r="BT75">
        <f t="shared" si="15"/>
        <v>0</v>
      </c>
    </row>
    <row r="76" spans="5:72" x14ac:dyDescent="0.3">
      <c r="Q76" s="19" t="s">
        <v>370</v>
      </c>
      <c r="R76" s="19"/>
      <c r="T76" s="80"/>
      <c r="U76">
        <f>$K$83*$I$72*$G$40*$E$78*$C$148*$A$103*$M$78*$O$73*Q77</f>
        <v>1.3754459692191222E-3</v>
      </c>
      <c r="V76">
        <v>2.1366630831428906E-3</v>
      </c>
      <c r="W76" s="42">
        <f>$K$84+$I$73+$G$41+$E$79+$C$149+$A$104+$M$79+$O$74+Q78</f>
        <v>305691.33035631373</v>
      </c>
      <c r="X76">
        <f>u_Healthy</f>
        <v>0</v>
      </c>
      <c r="Z76" s="42">
        <f>U76*W76</f>
        <v>420.46190816382278</v>
      </c>
      <c r="AA76" s="6">
        <f>U76*X76</f>
        <v>0</v>
      </c>
      <c r="AS76" t="s">
        <v>370</v>
      </c>
      <c r="AV76">
        <v>2.1366630831428906E-3</v>
      </c>
      <c r="AW76">
        <v>2.1623851659908705E-3</v>
      </c>
      <c r="AX76">
        <v>1</v>
      </c>
      <c r="AY76">
        <v>789625.44</v>
      </c>
      <c r="AZ76">
        <v>0</v>
      </c>
      <c r="BB76">
        <v>0</v>
      </c>
      <c r="BE76">
        <f t="shared" si="0"/>
        <v>0</v>
      </c>
      <c r="BF76">
        <f t="shared" si="1"/>
        <v>0</v>
      </c>
      <c r="BG76">
        <f t="shared" si="2"/>
        <v>0</v>
      </c>
      <c r="BH76">
        <f t="shared" si="3"/>
        <v>0</v>
      </c>
      <c r="BI76">
        <f t="shared" si="4"/>
        <v>0</v>
      </c>
      <c r="BJ76">
        <f t="shared" si="5"/>
        <v>0</v>
      </c>
      <c r="BK76">
        <f t="shared" si="6"/>
        <v>0</v>
      </c>
      <c r="BL76">
        <f t="shared" si="7"/>
        <v>0</v>
      </c>
      <c r="BM76">
        <f t="shared" si="8"/>
        <v>0</v>
      </c>
      <c r="BN76">
        <f t="shared" si="9"/>
        <v>0</v>
      </c>
      <c r="BO76">
        <f t="shared" si="10"/>
        <v>0</v>
      </c>
      <c r="BP76">
        <f t="shared" si="11"/>
        <v>0</v>
      </c>
      <c r="BQ76">
        <f t="shared" si="12"/>
        <v>0</v>
      </c>
      <c r="BR76">
        <f t="shared" si="13"/>
        <v>0</v>
      </c>
      <c r="BS76">
        <f t="shared" si="14"/>
        <v>0</v>
      </c>
      <c r="BT76">
        <f t="shared" si="15"/>
        <v>1</v>
      </c>
    </row>
    <row r="77" spans="5:72" x14ac:dyDescent="0.3">
      <c r="E77" s="19" t="s">
        <v>10</v>
      </c>
      <c r="M77" s="19" t="s">
        <v>9</v>
      </c>
      <c r="Q77" s="47">
        <f>1-Q68-Q71-Q74</f>
        <v>0.60619800000000001</v>
      </c>
      <c r="R77" s="47"/>
      <c r="T77" s="80"/>
      <c r="Z77" s="42"/>
      <c r="AA77" s="6"/>
      <c r="AG77" t="s">
        <v>10</v>
      </c>
      <c r="AO77" t="s">
        <v>9</v>
      </c>
      <c r="AS77">
        <v>0.60619800000000001</v>
      </c>
      <c r="AX77">
        <v>0</v>
      </c>
      <c r="BB77">
        <v>0</v>
      </c>
      <c r="BE77">
        <f t="shared" si="0"/>
        <v>0</v>
      </c>
      <c r="BF77">
        <f t="shared" si="1"/>
        <v>0</v>
      </c>
      <c r="BG77">
        <f t="shared" si="2"/>
        <v>0</v>
      </c>
      <c r="BH77">
        <f t="shared" si="3"/>
        <v>0</v>
      </c>
      <c r="BI77">
        <f t="shared" si="4"/>
        <v>0</v>
      </c>
      <c r="BJ77">
        <f t="shared" si="5"/>
        <v>0</v>
      </c>
      <c r="BK77">
        <f t="shared" si="6"/>
        <v>0</v>
      </c>
      <c r="BL77">
        <f t="shared" si="7"/>
        <v>0</v>
      </c>
      <c r="BM77">
        <f t="shared" si="8"/>
        <v>0</v>
      </c>
      <c r="BN77">
        <f t="shared" si="9"/>
        <v>0</v>
      </c>
      <c r="BO77">
        <f t="shared" si="10"/>
        <v>0</v>
      </c>
      <c r="BP77">
        <f t="shared" si="11"/>
        <v>0</v>
      </c>
      <c r="BQ77">
        <f t="shared" si="12"/>
        <v>0</v>
      </c>
      <c r="BR77">
        <f t="shared" si="13"/>
        <v>0</v>
      </c>
      <c r="BS77">
        <f t="shared" si="14"/>
        <v>0</v>
      </c>
      <c r="BT77">
        <f t="shared" si="15"/>
        <v>0</v>
      </c>
    </row>
    <row r="78" spans="5:72" x14ac:dyDescent="0.3">
      <c r="E78" s="47">
        <f>LB2prem_1</f>
        <v>0.13286148238153098</v>
      </c>
      <c r="K78" s="42"/>
      <c r="M78" s="47">
        <f>S_prem_2RDS_1</f>
        <v>0.45</v>
      </c>
      <c r="Q78" s="48">
        <f>c_clinic_fu+c_CSG</f>
        <v>14403</v>
      </c>
      <c r="R78" s="48"/>
      <c r="T78" s="80"/>
      <c r="Z78" s="42"/>
      <c r="AA78" s="6"/>
      <c r="AG78">
        <v>0.17481773997569866</v>
      </c>
      <c r="AO78">
        <v>0.45</v>
      </c>
      <c r="AS78">
        <v>3230</v>
      </c>
      <c r="AX78">
        <v>0</v>
      </c>
      <c r="BB78">
        <v>0</v>
      </c>
      <c r="BE78">
        <f t="shared" si="0"/>
        <v>1</v>
      </c>
      <c r="BF78">
        <f t="shared" si="1"/>
        <v>0</v>
      </c>
      <c r="BG78">
        <f t="shared" si="2"/>
        <v>0</v>
      </c>
      <c r="BH78">
        <f t="shared" si="3"/>
        <v>0</v>
      </c>
      <c r="BI78">
        <f t="shared" si="4"/>
        <v>0</v>
      </c>
      <c r="BJ78">
        <f t="shared" si="5"/>
        <v>0</v>
      </c>
      <c r="BK78">
        <f t="shared" si="6"/>
        <v>0</v>
      </c>
      <c r="BL78">
        <f t="shared" si="7"/>
        <v>0</v>
      </c>
      <c r="BM78">
        <f t="shared" si="8"/>
        <v>0</v>
      </c>
      <c r="BN78">
        <f t="shared" si="9"/>
        <v>0</v>
      </c>
      <c r="BO78">
        <f t="shared" si="10"/>
        <v>0</v>
      </c>
      <c r="BP78">
        <f t="shared" si="11"/>
        <v>0</v>
      </c>
      <c r="BQ78">
        <f t="shared" si="12"/>
        <v>1</v>
      </c>
      <c r="BR78">
        <f t="shared" si="13"/>
        <v>0</v>
      </c>
      <c r="BS78">
        <f t="shared" si="14"/>
        <v>0</v>
      </c>
      <c r="BT78">
        <f t="shared" si="15"/>
        <v>0</v>
      </c>
    </row>
    <row r="79" spans="5:72" x14ac:dyDescent="0.3">
      <c r="E79" s="48">
        <f>c_prem</f>
        <v>577.9017081081081</v>
      </c>
      <c r="K79" s="42"/>
      <c r="M79" s="48">
        <f>c_RDS</f>
        <v>30595.610148205637</v>
      </c>
      <c r="Q79" s="42"/>
      <c r="R79" s="42"/>
      <c r="T79" s="80"/>
      <c r="Z79" s="42"/>
      <c r="AA79" s="6"/>
      <c r="AG79">
        <v>1653.34</v>
      </c>
      <c r="AO79">
        <v>23624</v>
      </c>
      <c r="AX79">
        <v>0</v>
      </c>
      <c r="BB79">
        <v>0</v>
      </c>
      <c r="BE79">
        <f t="shared" si="0"/>
        <v>1</v>
      </c>
      <c r="BF79">
        <f t="shared" si="1"/>
        <v>0</v>
      </c>
      <c r="BG79">
        <f t="shared" si="2"/>
        <v>0</v>
      </c>
      <c r="BH79">
        <f t="shared" si="3"/>
        <v>0</v>
      </c>
      <c r="BI79">
        <f t="shared" si="4"/>
        <v>0</v>
      </c>
      <c r="BJ79">
        <f t="shared" si="5"/>
        <v>0</v>
      </c>
      <c r="BK79">
        <f t="shared" si="6"/>
        <v>0</v>
      </c>
      <c r="BL79">
        <f t="shared" si="7"/>
        <v>0</v>
      </c>
      <c r="BM79">
        <f t="shared" si="8"/>
        <v>1</v>
      </c>
      <c r="BN79">
        <f t="shared" si="9"/>
        <v>0</v>
      </c>
      <c r="BO79">
        <f t="shared" si="10"/>
        <v>0</v>
      </c>
      <c r="BP79">
        <f t="shared" si="11"/>
        <v>0</v>
      </c>
      <c r="BQ79">
        <f t="shared" si="12"/>
        <v>0</v>
      </c>
      <c r="BR79">
        <f t="shared" si="13"/>
        <v>0</v>
      </c>
      <c r="BS79">
        <f t="shared" si="14"/>
        <v>0</v>
      </c>
      <c r="BT79">
        <f t="shared" si="15"/>
        <v>0</v>
      </c>
    </row>
    <row r="80" spans="5:72" x14ac:dyDescent="0.3">
      <c r="Q80" s="19" t="s">
        <v>368</v>
      </c>
      <c r="R80" s="19"/>
      <c r="T80" s="80"/>
      <c r="U80">
        <f>$K$83*$I$72*$G$40*$E$78*$C$148*$A$103*$M$78*$O$83*Q81</f>
        <v>4.4879906448836767E-3</v>
      </c>
      <c r="V80">
        <v>6.9717925262144063E-3</v>
      </c>
      <c r="W80" s="42">
        <f>$K$84+$I$73+$G$41+$E$79+$C$149+$A$104+$M$79+$O$84+Q82</f>
        <v>342881.58085871371</v>
      </c>
      <c r="X80">
        <f>u_ChronicResp</f>
        <v>0.53465956747782661</v>
      </c>
      <c r="Z80" s="42">
        <f>U80*W80</f>
        <v>1538.8493271968332</v>
      </c>
      <c r="AA80" s="6">
        <f>U80*X80</f>
        <v>2.3995471370380386E-3</v>
      </c>
      <c r="AS80" t="s">
        <v>368</v>
      </c>
      <c r="AV80">
        <v>6.9717925262144063E-3</v>
      </c>
      <c r="AW80">
        <v>6.9717925262144063E-3</v>
      </c>
      <c r="AX80">
        <v>0</v>
      </c>
      <c r="AY80">
        <v>825990.53999999992</v>
      </c>
      <c r="AZ80">
        <v>0.53465956747782661</v>
      </c>
      <c r="BB80">
        <v>3.7275355766109388E-3</v>
      </c>
      <c r="BE80">
        <f t="shared" si="0"/>
        <v>0</v>
      </c>
      <c r="BF80">
        <f t="shared" si="1"/>
        <v>0</v>
      </c>
      <c r="BG80">
        <f t="shared" si="2"/>
        <v>0</v>
      </c>
      <c r="BH80">
        <f t="shared" si="3"/>
        <v>0</v>
      </c>
      <c r="BI80">
        <f t="shared" si="4"/>
        <v>0</v>
      </c>
      <c r="BJ80">
        <f t="shared" si="5"/>
        <v>0</v>
      </c>
      <c r="BK80">
        <f t="shared" si="6"/>
        <v>0</v>
      </c>
      <c r="BL80">
        <f t="shared" si="7"/>
        <v>0</v>
      </c>
      <c r="BM80">
        <f t="shared" si="8"/>
        <v>0</v>
      </c>
      <c r="BN80">
        <f t="shared" si="9"/>
        <v>0</v>
      </c>
      <c r="BO80">
        <f t="shared" si="10"/>
        <v>0</v>
      </c>
      <c r="BP80">
        <f t="shared" si="11"/>
        <v>0</v>
      </c>
      <c r="BQ80">
        <f t="shared" si="12"/>
        <v>0</v>
      </c>
      <c r="BR80">
        <f t="shared" si="13"/>
        <v>0</v>
      </c>
      <c r="BS80">
        <f t="shared" si="14"/>
        <v>0</v>
      </c>
      <c r="BT80">
        <f t="shared" si="15"/>
        <v>1</v>
      </c>
    </row>
    <row r="81" spans="11:72" x14ac:dyDescent="0.3">
      <c r="Q81" s="47">
        <f>RDS2CLD_1-(RDS2CLD_1*noHypo2CI_1)</f>
        <v>0.34905610687022898</v>
      </c>
      <c r="R81" s="47"/>
      <c r="T81" s="80"/>
      <c r="Z81" s="42"/>
      <c r="AA81" s="6"/>
      <c r="AS81">
        <v>0.34905610687022898</v>
      </c>
      <c r="AX81">
        <v>0</v>
      </c>
      <c r="BB81">
        <v>0</v>
      </c>
      <c r="BE81">
        <f t="shared" si="0"/>
        <v>0</v>
      </c>
      <c r="BF81">
        <f t="shared" si="1"/>
        <v>0</v>
      </c>
      <c r="BG81">
        <f t="shared" si="2"/>
        <v>0</v>
      </c>
      <c r="BH81">
        <f t="shared" si="3"/>
        <v>0</v>
      </c>
      <c r="BI81">
        <f t="shared" si="4"/>
        <v>0</v>
      </c>
      <c r="BJ81">
        <f t="shared" si="5"/>
        <v>0</v>
      </c>
      <c r="BK81">
        <f t="shared" si="6"/>
        <v>0</v>
      </c>
      <c r="BL81">
        <f t="shared" si="7"/>
        <v>0</v>
      </c>
      <c r="BM81">
        <f t="shared" si="8"/>
        <v>0</v>
      </c>
      <c r="BN81">
        <f t="shared" si="9"/>
        <v>0</v>
      </c>
      <c r="BO81">
        <f t="shared" si="10"/>
        <v>0</v>
      </c>
      <c r="BP81">
        <f t="shared" si="11"/>
        <v>0</v>
      </c>
      <c r="BQ81">
        <f t="shared" si="12"/>
        <v>0</v>
      </c>
      <c r="BR81">
        <f t="shared" si="13"/>
        <v>0</v>
      </c>
      <c r="BS81">
        <f t="shared" si="14"/>
        <v>0</v>
      </c>
      <c r="BT81">
        <f t="shared" si="15"/>
        <v>0</v>
      </c>
    </row>
    <row r="82" spans="11:72" x14ac:dyDescent="0.3">
      <c r="K82" s="19" t="s">
        <v>37</v>
      </c>
      <c r="M82" s="42"/>
      <c r="O82" s="19" t="s">
        <v>371</v>
      </c>
      <c r="Q82" s="48">
        <f>c_lung+c_hosp_fu+c_CSG</f>
        <v>54529.510902399998</v>
      </c>
      <c r="R82" s="48"/>
      <c r="T82" s="80"/>
      <c r="Z82" s="42"/>
      <c r="AA82" s="6"/>
      <c r="AM82" t="s">
        <v>37</v>
      </c>
      <c r="AQ82" t="s">
        <v>371</v>
      </c>
      <c r="AS82">
        <v>42323.200000000004</v>
      </c>
      <c r="AX82">
        <v>0</v>
      </c>
      <c r="BB82">
        <v>0</v>
      </c>
      <c r="BE82">
        <f t="shared" si="0"/>
        <v>0</v>
      </c>
      <c r="BF82">
        <f t="shared" si="1"/>
        <v>0</v>
      </c>
      <c r="BG82">
        <f t="shared" si="2"/>
        <v>0</v>
      </c>
      <c r="BH82">
        <f t="shared" si="3"/>
        <v>0</v>
      </c>
      <c r="BI82">
        <f t="shared" si="4"/>
        <v>0</v>
      </c>
      <c r="BJ82">
        <f t="shared" si="5"/>
        <v>0</v>
      </c>
      <c r="BK82">
        <f t="shared" si="6"/>
        <v>0</v>
      </c>
      <c r="BL82">
        <f t="shared" si="7"/>
        <v>0</v>
      </c>
      <c r="BM82">
        <f t="shared" si="8"/>
        <v>0</v>
      </c>
      <c r="BN82">
        <f t="shared" si="9"/>
        <v>0</v>
      </c>
      <c r="BO82">
        <f t="shared" si="10"/>
        <v>0</v>
      </c>
      <c r="BP82">
        <f t="shared" si="11"/>
        <v>0</v>
      </c>
      <c r="BQ82">
        <f t="shared" si="12"/>
        <v>1</v>
      </c>
      <c r="BR82">
        <f t="shared" si="13"/>
        <v>0</v>
      </c>
      <c r="BS82">
        <f t="shared" si="14"/>
        <v>0</v>
      </c>
      <c r="BT82">
        <f t="shared" si="15"/>
        <v>0</v>
      </c>
    </row>
    <row r="83" spans="11:72" x14ac:dyDescent="0.3">
      <c r="K83" s="47">
        <f>AGA_prem_2s_1</f>
        <v>0.96809627499999995</v>
      </c>
      <c r="O83" s="47">
        <f>AGA_prem_2normoglycaemia_1</f>
        <v>0.85</v>
      </c>
      <c r="Q83" s="19" t="s">
        <v>226</v>
      </c>
      <c r="R83" s="19"/>
      <c r="T83" s="80"/>
      <c r="U83">
        <f>$K$83*$I$72*$G$40*$E$78*$C$148*$A$103*$M$78*$O$83*Q84</f>
        <v>2.7182930044808689E-4</v>
      </c>
      <c r="V83">
        <v>4.2226859082928909E-4</v>
      </c>
      <c r="W83" s="42">
        <f>$K$84+$I$73+$G$41+$E$79+$C$149+$A$104+$M$79+$O$84+Q85</f>
        <v>304118.0699563137</v>
      </c>
      <c r="X83">
        <f>u_CongnitiveImpairement</f>
        <v>17.270393127285455</v>
      </c>
      <c r="Z83" s="42">
        <f>U83*W83</f>
        <v>82.668202209847109</v>
      </c>
      <c r="AA83" s="6">
        <f>U83*X83</f>
        <v>4.6945988822534529E-3</v>
      </c>
      <c r="AM83">
        <v>0.96482500000000004</v>
      </c>
      <c r="AQ83">
        <v>0.85</v>
      </c>
      <c r="AS83" t="s">
        <v>226</v>
      </c>
      <c r="AV83">
        <v>4.2226859082928909E-4</v>
      </c>
      <c r="AW83">
        <v>4.2226859082928909E-4</v>
      </c>
      <c r="AX83">
        <v>0</v>
      </c>
      <c r="AY83">
        <v>788507.34</v>
      </c>
      <c r="AZ83">
        <v>17.270393127285455</v>
      </c>
      <c r="BB83">
        <v>7.2927445689266682E-3</v>
      </c>
      <c r="BE83">
        <f t="shared" si="0"/>
        <v>0</v>
      </c>
      <c r="BF83">
        <f t="shared" si="1"/>
        <v>0</v>
      </c>
      <c r="BG83">
        <f t="shared" si="2"/>
        <v>0</v>
      </c>
      <c r="BH83">
        <f t="shared" si="3"/>
        <v>0</v>
      </c>
      <c r="BI83">
        <f t="shared" si="4"/>
        <v>0</v>
      </c>
      <c r="BJ83">
        <f t="shared" si="5"/>
        <v>0</v>
      </c>
      <c r="BK83">
        <f t="shared" si="6"/>
        <v>1</v>
      </c>
      <c r="BL83">
        <f t="shared" si="7"/>
        <v>0</v>
      </c>
      <c r="BM83">
        <f t="shared" si="8"/>
        <v>0</v>
      </c>
      <c r="BN83">
        <f t="shared" si="9"/>
        <v>0</v>
      </c>
      <c r="BO83">
        <f t="shared" si="10"/>
        <v>0</v>
      </c>
      <c r="BP83">
        <f t="shared" si="11"/>
        <v>0</v>
      </c>
      <c r="BQ83">
        <f t="shared" si="12"/>
        <v>0</v>
      </c>
      <c r="BR83">
        <f t="shared" si="13"/>
        <v>0</v>
      </c>
      <c r="BS83">
        <f t="shared" si="14"/>
        <v>0</v>
      </c>
      <c r="BT83">
        <f t="shared" si="15"/>
        <v>1</v>
      </c>
    </row>
    <row r="84" spans="11:72" x14ac:dyDescent="0.3">
      <c r="K84" s="48"/>
      <c r="O84" s="48"/>
      <c r="Q84" s="47">
        <f>noHypo2CI_1-(RDS2CLD_1*noHypo2CI_1)</f>
        <v>2.1141683406990762E-2</v>
      </c>
      <c r="R84" s="47"/>
      <c r="T84" s="80"/>
      <c r="Z84" s="42"/>
      <c r="AA84" s="6"/>
    </row>
    <row r="85" spans="11:72" x14ac:dyDescent="0.3">
      <c r="Q85" s="48">
        <f>c_cog+c_hosp_fu+c_CSG</f>
        <v>15766</v>
      </c>
      <c r="R85" s="48"/>
      <c r="T85" s="80"/>
      <c r="Z85" s="42"/>
      <c r="AA85" s="6"/>
    </row>
    <row r="86" spans="11:72" x14ac:dyDescent="0.3">
      <c r="Q86" s="19" t="s">
        <v>369</v>
      </c>
      <c r="R86" s="19"/>
      <c r="T86" s="80"/>
      <c r="U86">
        <f>$K$83*$I$72*$G$40*$E$78*$C$148*$A$103*$M$78*$O$83*Q87</f>
        <v>1.5356866582434952E-4</v>
      </c>
      <c r="V86">
        <v>2.3855862486599894E-4</v>
      </c>
      <c r="W86" s="42">
        <f>$K$84+$I$73+$G$41+$E$79+$C$149+$A$104+$M$79+$O$84+Q88</f>
        <v>346700.58085871371</v>
      </c>
      <c r="X86">
        <f>u_ChronicResp+u_CongnitiveImpairement</f>
        <v>17.805052694763283</v>
      </c>
      <c r="Z86" s="42">
        <f>U86*W86</f>
        <v>53.242345642999673</v>
      </c>
      <c r="AA86" s="6">
        <f>U86*X86</f>
        <v>2.7342981872670365E-3</v>
      </c>
    </row>
    <row r="87" spans="11:72" x14ac:dyDescent="0.3">
      <c r="Q87" s="47">
        <f>RDS2CLD_1*noHypo2CI_1</f>
        <v>1.1943893129770991E-2</v>
      </c>
      <c r="R87" s="47"/>
      <c r="T87" s="80"/>
      <c r="Z87" s="42"/>
      <c r="AA87" s="6"/>
    </row>
    <row r="88" spans="11:72" x14ac:dyDescent="0.3">
      <c r="Q88" s="48">
        <f>c_cog+c_lung+c_hosp_fu+c_CSG</f>
        <v>58348.510902399998</v>
      </c>
      <c r="R88" s="48"/>
      <c r="T88" s="80"/>
      <c r="Z88" s="42"/>
      <c r="AA88" s="6"/>
    </row>
    <row r="89" spans="11:72" x14ac:dyDescent="0.3">
      <c r="Q89" s="19" t="s">
        <v>370</v>
      </c>
      <c r="R89" s="19"/>
      <c r="T89" s="80"/>
      <c r="U89">
        <f>$K$83*$I$72*$G$40*$E$78*$C$148*$A$103*$M$78*$O$83*Q90</f>
        <v>7.9441164046555966E-3</v>
      </c>
      <c r="V89">
        <v>1.2340652144739632E-2</v>
      </c>
      <c r="W89" s="42">
        <f>$K$84+$I$73+$G$41+$E$79+$C$149+$A$104+$M$79+$O$84+Q91</f>
        <v>302755.0699563137</v>
      </c>
      <c r="X89">
        <f>u_Healthy</f>
        <v>0</v>
      </c>
      <c r="Z89" s="42">
        <f>U89*W89</f>
        <v>2405.1215178326042</v>
      </c>
      <c r="AA89" s="6">
        <f>U89*X89</f>
        <v>0</v>
      </c>
    </row>
    <row r="90" spans="11:72" x14ac:dyDescent="0.3">
      <c r="Q90" s="47">
        <f>1-Q87-Q84-Q81</f>
        <v>0.61785831659300938</v>
      </c>
      <c r="R90" s="47"/>
      <c r="T90" s="80"/>
      <c r="Z90" s="42"/>
      <c r="AA90" s="6"/>
    </row>
    <row r="91" spans="11:72" x14ac:dyDescent="0.3">
      <c r="Q91" s="48">
        <f>c_clinic_fu+c_CSG</f>
        <v>14403</v>
      </c>
      <c r="R91" s="48"/>
      <c r="T91" s="80"/>
      <c r="Z91" s="42"/>
      <c r="AA91" s="6"/>
    </row>
    <row r="92" spans="11:72" x14ac:dyDescent="0.3">
      <c r="Q92" s="42"/>
      <c r="R92" s="42"/>
      <c r="T92" s="80"/>
      <c r="Z92" s="42"/>
      <c r="AA92" s="6"/>
    </row>
    <row r="93" spans="11:72" x14ac:dyDescent="0.3">
      <c r="Q93" s="42"/>
      <c r="R93" s="42"/>
      <c r="T93" s="80"/>
      <c r="Z93" s="42"/>
      <c r="AA93" s="6"/>
    </row>
    <row r="94" spans="11:72" x14ac:dyDescent="0.3">
      <c r="Q94" s="19" t="s">
        <v>368</v>
      </c>
      <c r="R94" s="19"/>
      <c r="T94" s="80"/>
      <c r="U94">
        <f>$K$83*$I$72*$G$40*$E$78*$C$148*$A$103*$M$99*$O$97*Q95</f>
        <v>0</v>
      </c>
      <c r="V94">
        <v>0</v>
      </c>
      <c r="W94" s="42">
        <f>$K$84+$I$73+$G$41+$E$79+$C$149+$A$104+$M$100+$O$98+Q96</f>
        <v>315222.23111050809</v>
      </c>
      <c r="X94">
        <f>u_ChronicResp</f>
        <v>0.53465956747782661</v>
      </c>
      <c r="Z94" s="42">
        <f>U94*W94</f>
        <v>0</v>
      </c>
      <c r="AA94" s="6">
        <f>U94*X94</f>
        <v>0</v>
      </c>
    </row>
    <row r="95" spans="11:72" x14ac:dyDescent="0.3">
      <c r="Q95" s="47">
        <f>noRDS2CLD_1-(Hypo2CI_1*noRDS2CLD_1)</f>
        <v>0</v>
      </c>
      <c r="R95" s="47"/>
      <c r="T95" s="80"/>
      <c r="Z95" s="42"/>
      <c r="AA95" s="6"/>
    </row>
    <row r="96" spans="11:72" x14ac:dyDescent="0.3">
      <c r="O96" s="19" t="s">
        <v>161</v>
      </c>
      <c r="Q96" s="48">
        <f>c_lung+c_hosp_fu+c_CSG</f>
        <v>54529.510902399998</v>
      </c>
      <c r="R96" s="48"/>
      <c r="T96" s="80"/>
      <c r="Z96" s="42"/>
      <c r="AA96" s="6"/>
    </row>
    <row r="97" spans="1:27" x14ac:dyDescent="0.3">
      <c r="O97" s="47">
        <f>AGA_prem_2hypoglycaemia_1</f>
        <v>0.15</v>
      </c>
      <c r="Q97" s="19" t="s">
        <v>226</v>
      </c>
      <c r="R97" s="19"/>
      <c r="T97" s="80"/>
      <c r="U97">
        <f>$K$83*$I$72*$G$40*$E$78*$C$148*$A$103*$M$99*$O$97*Q98</f>
        <v>1.4235695095937933E-4</v>
      </c>
      <c r="V97">
        <v>2.2114197762081018E-4</v>
      </c>
      <c r="W97" s="42">
        <f>$K$84+$I$73+$G$41+$E$79+$C$149+$A$104+$M$100+$O$98+Q99</f>
        <v>276458.72020810808</v>
      </c>
      <c r="X97">
        <f>u_CongnitiveImpairement</f>
        <v>17.270393127285455</v>
      </c>
      <c r="Z97" s="42">
        <f>U97*W97</f>
        <v>39.355820474958414</v>
      </c>
      <c r="AA97" s="6">
        <f>U97*X97</f>
        <v>2.4585605074701777E-3</v>
      </c>
    </row>
    <row r="98" spans="1:27" x14ac:dyDescent="0.3">
      <c r="M98" s="19" t="s">
        <v>203</v>
      </c>
      <c r="O98" s="48">
        <f>c_hypo</f>
        <v>2936.2604000000001</v>
      </c>
      <c r="Q98" s="47">
        <f>Hypo2CI_1-(Hypo2CI_1*noRDS2CLD_1)</f>
        <v>5.1333333333333335E-2</v>
      </c>
      <c r="R98" s="47"/>
      <c r="T98" s="80"/>
      <c r="Z98" s="42"/>
      <c r="AA98" s="6"/>
    </row>
    <row r="99" spans="1:27" x14ac:dyDescent="0.3">
      <c r="M99" s="47">
        <f>S_prem_2noRDS_1</f>
        <v>0.55000000000000004</v>
      </c>
      <c r="Q99" s="48">
        <f>c_cog+c_hosp_fu+c_CSG</f>
        <v>15766</v>
      </c>
      <c r="R99" s="48"/>
      <c r="T99" s="80"/>
      <c r="Z99" s="42"/>
      <c r="AA99" s="6"/>
    </row>
    <row r="100" spans="1:27" x14ac:dyDescent="0.3">
      <c r="M100" s="48"/>
      <c r="O100" s="42"/>
      <c r="Q100" s="19" t="s">
        <v>369</v>
      </c>
      <c r="R100" s="19"/>
      <c r="T100" s="80"/>
      <c r="U100">
        <f>$K$83*$I$72*$G$40*$E$78*$C$148*$A$103*$M$99*$O$97*Q101</f>
        <v>0</v>
      </c>
      <c r="V100">
        <v>0</v>
      </c>
      <c r="W100" s="42">
        <f>$K$84+$I$73+$G$41+$E$79+$C$149+$A$104+$M$100+$O$98+Q102</f>
        <v>319041.23111050809</v>
      </c>
      <c r="X100">
        <f>u_ChronicResp+u_CongnitiveImpairement</f>
        <v>17.805052694763283</v>
      </c>
      <c r="Z100" s="42">
        <f>U100*W100</f>
        <v>0</v>
      </c>
      <c r="AA100" s="6">
        <f>U100*X100</f>
        <v>0</v>
      </c>
    </row>
    <row r="101" spans="1:27" x14ac:dyDescent="0.3">
      <c r="A101" t="s">
        <v>293</v>
      </c>
      <c r="M101" s="42"/>
      <c r="Q101" s="47">
        <f>noRDS2CLD_1*Hypo2CI_1</f>
        <v>0</v>
      </c>
      <c r="R101" s="47"/>
      <c r="T101" s="80"/>
      <c r="W101" s="42"/>
      <c r="Z101" s="42"/>
      <c r="AA101" s="6"/>
    </row>
    <row r="102" spans="1:27" x14ac:dyDescent="0.3">
      <c r="A102" s="19" t="s">
        <v>202</v>
      </c>
      <c r="M102" s="42"/>
      <c r="Q102" s="48">
        <f>c_lung+c_cog+c_hosp_fu+c_CSG</f>
        <v>58348.510902399998</v>
      </c>
      <c r="R102" s="48"/>
      <c r="T102" s="80"/>
      <c r="Z102" s="42"/>
      <c r="AA102" s="6"/>
    </row>
    <row r="103" spans="1:27" x14ac:dyDescent="0.3">
      <c r="A103" s="47">
        <f>G2ANC</f>
        <v>0.91493099999999994</v>
      </c>
      <c r="B103">
        <f>NoG2ANC</f>
        <v>0.83099999999999996</v>
      </c>
      <c r="C103" t="b">
        <f>B103=A103</f>
        <v>0</v>
      </c>
      <c r="M103" s="42"/>
      <c r="Q103" s="19" t="s">
        <v>370</v>
      </c>
      <c r="R103" s="19"/>
      <c r="T103" s="80"/>
      <c r="U103">
        <f>$K$83*$I$72*$G$40*$E$78*$C$148*$A$103*$M$99*$O$97*Q104</f>
        <v>2.6308304053921658E-3</v>
      </c>
      <c r="V103">
        <v>4.0868186253819857E-3</v>
      </c>
      <c r="W103" s="42">
        <f>$K$84+$I$73+$G$41+$E$79+$C$149+$A$104+$M$100+$O$98+Q105</f>
        <v>275095.72020810808</v>
      </c>
      <c r="X103">
        <f>u_Healthy</f>
        <v>0</v>
      </c>
      <c r="Z103" s="42">
        <f>U103*W103</f>
        <v>723.73018511674684</v>
      </c>
      <c r="AA103" s="6">
        <f>U103*X103</f>
        <v>0</v>
      </c>
    </row>
    <row r="104" spans="1:27" x14ac:dyDescent="0.3">
      <c r="A104" s="48">
        <f>c_ANC+c_grant</f>
        <v>2477</v>
      </c>
      <c r="M104" s="42"/>
      <c r="O104" s="42"/>
      <c r="Q104" s="47">
        <f>1-Q101-Q98-Q95</f>
        <v>0.94866666666666666</v>
      </c>
      <c r="R104" s="47"/>
      <c r="T104" s="80"/>
      <c r="W104" s="42"/>
      <c r="Z104" s="42"/>
      <c r="AA104" s="6"/>
    </row>
    <row r="105" spans="1:27" x14ac:dyDescent="0.3">
      <c r="M105" s="42"/>
      <c r="Q105" s="48">
        <f>c_clinic_fu+c_CSG</f>
        <v>14403</v>
      </c>
      <c r="R105" s="48"/>
      <c r="T105" s="80"/>
      <c r="Z105" s="42"/>
      <c r="AA105" s="6"/>
    </row>
    <row r="106" spans="1:27" x14ac:dyDescent="0.3">
      <c r="M106" s="42"/>
      <c r="Q106" s="42"/>
      <c r="R106" s="42"/>
      <c r="S106" s="96"/>
      <c r="T106" s="80"/>
      <c r="Z106" s="42"/>
      <c r="AA106" s="6"/>
    </row>
    <row r="107" spans="1:27" x14ac:dyDescent="0.3">
      <c r="M107" s="42"/>
      <c r="Q107" s="19" t="s">
        <v>368</v>
      </c>
      <c r="R107" s="19"/>
      <c r="T107" s="80"/>
      <c r="U107">
        <f>$K$83*$I$72*$G$40*$E$78*$C$148*$A$103*$M$99*$O$111*Q108</f>
        <v>0</v>
      </c>
      <c r="V107">
        <v>0</v>
      </c>
      <c r="W107" s="42">
        <f>$K$84+$I$73+$G$41+$E$79+$C$149+$A$104+$M$100+$O$112+$Q$109</f>
        <v>314315.23111050809</v>
      </c>
      <c r="X107">
        <f>u_ChronicResp</f>
        <v>0.53465956747782661</v>
      </c>
      <c r="Z107" s="42">
        <f>U107*W107</f>
        <v>0</v>
      </c>
      <c r="AA107" s="6">
        <f>U107*X107</f>
        <v>0</v>
      </c>
    </row>
    <row r="108" spans="1:27" x14ac:dyDescent="0.3">
      <c r="M108" s="42"/>
      <c r="Q108" s="47">
        <f>noRDS2CLD_1-(noRDS2CLD_1*noHypo2CI_1)</f>
        <v>0</v>
      </c>
      <c r="R108" s="47"/>
      <c r="T108" s="80"/>
      <c r="Z108" s="42"/>
      <c r="AA108" s="6"/>
    </row>
    <row r="109" spans="1:27" x14ac:dyDescent="0.3">
      <c r="M109" s="42"/>
      <c r="Q109" s="48">
        <f>c_lung+c_hypo+c_CSG</f>
        <v>56558.771302399997</v>
      </c>
      <c r="R109" s="48"/>
      <c r="T109" s="80"/>
      <c r="Z109" s="42"/>
      <c r="AA109" s="6"/>
    </row>
    <row r="110" spans="1:27" x14ac:dyDescent="0.3">
      <c r="M110" s="42"/>
      <c r="O110" s="19" t="s">
        <v>371</v>
      </c>
      <c r="Q110" s="19" t="s">
        <v>226</v>
      </c>
      <c r="R110" s="19"/>
      <c r="T110" s="80"/>
      <c r="U110">
        <f>$K$83*$I$72*$G$40*$E$78*$C$148*$A$103*$M$99*$O$111*Q111</f>
        <v>5.1993084766631121E-4</v>
      </c>
      <c r="V110">
        <v>8.0767770807201869E-4</v>
      </c>
      <c r="W110" s="42">
        <f>$K$84+$I$73+$G$41+$E$79+$C$149+$A$104+$M$100+$O$112+$Q$112</f>
        <v>273522.45980810805</v>
      </c>
      <c r="X110">
        <f>u_CongnitiveImpairement</f>
        <v>17.270393127285455</v>
      </c>
      <c r="Z110" s="42">
        <f>U110*W110</f>
        <v>142.21276438380414</v>
      </c>
      <c r="AA110" s="6">
        <f>U110*X110</f>
        <v>8.9794101381999621E-3</v>
      </c>
    </row>
    <row r="111" spans="1:27" x14ac:dyDescent="0.3">
      <c r="M111" s="42"/>
      <c r="O111" s="47">
        <f>AGA_prem_2normoglycaemia_1</f>
        <v>0.85</v>
      </c>
      <c r="Q111" s="47">
        <f>noHypo2CI_1</f>
        <v>3.3085576536761752E-2</v>
      </c>
      <c r="R111" s="47"/>
      <c r="T111" s="80"/>
      <c r="Z111" s="42"/>
      <c r="AA111" s="6"/>
    </row>
    <row r="112" spans="1:27" x14ac:dyDescent="0.3">
      <c r="M112" s="42"/>
      <c r="O112" s="48"/>
      <c r="Q112" s="48">
        <f>c_cog+c_hosp_fu+c_CSG</f>
        <v>15766</v>
      </c>
      <c r="R112" s="48"/>
      <c r="T112" s="80"/>
      <c r="Z112" s="42"/>
      <c r="AA112" s="6"/>
    </row>
    <row r="113" spans="9:27" x14ac:dyDescent="0.3">
      <c r="M113" s="42"/>
      <c r="Q113" s="19" t="s">
        <v>369</v>
      </c>
      <c r="R113" s="19"/>
      <c r="T113" s="80"/>
      <c r="U113">
        <f>$K$83*$I$72*$G$40*$E$78*$C$148*$A$103*$M$99*$O$111*Q114</f>
        <v>0</v>
      </c>
      <c r="V113">
        <v>0</v>
      </c>
      <c r="W113" s="42">
        <f>$K$84+$I$73+$G$41+$E$79+$C$149+$A$104+$M$100+$O$112+$Q$115</f>
        <v>316104.97071050806</v>
      </c>
      <c r="X113">
        <f>u_ChronicResp+u_CongnitiveImpairement</f>
        <v>17.805052694763283</v>
      </c>
      <c r="Z113" s="42">
        <f>U113*W113</f>
        <v>0</v>
      </c>
      <c r="AA113" s="6">
        <f>U113*X113</f>
        <v>0</v>
      </c>
    </row>
    <row r="114" spans="9:27" x14ac:dyDescent="0.3">
      <c r="Q114" s="47">
        <f>noRDS2CLD_1*noHypo2CI_1</f>
        <v>0</v>
      </c>
      <c r="R114" s="47"/>
      <c r="T114" s="80"/>
      <c r="Z114" s="42"/>
      <c r="AA114" s="6"/>
    </row>
    <row r="115" spans="9:27" x14ac:dyDescent="0.3">
      <c r="Q115" s="48">
        <f>c_cog+c_lung+c_hosp_fu+c_CSG</f>
        <v>58348.510902399998</v>
      </c>
      <c r="R115" s="48"/>
      <c r="T115" s="80"/>
      <c r="Z115" s="42"/>
      <c r="AA115" s="6"/>
    </row>
    <row r="116" spans="9:27" x14ac:dyDescent="0.3">
      <c r="M116" s="42"/>
      <c r="Q116" s="19" t="s">
        <v>370</v>
      </c>
      <c r="R116" s="19"/>
      <c r="T116" s="80"/>
      <c r="U116">
        <f>$K$83*$I$72*$G$40*$E$78*$C$148*$A$103*$M$99*$O$111*Q117</f>
        <v>1.5194797504992447E-2</v>
      </c>
      <c r="V116">
        <v>2.3604099042277157E-2</v>
      </c>
      <c r="W116" s="42">
        <f>$K$84+$I$73+$G$41+$E$79+$C$149+$A$104+$M$100+$O$112+$Q$118</f>
        <v>272159.45980810805</v>
      </c>
      <c r="X116">
        <f>u_Healthy</f>
        <v>0</v>
      </c>
      <c r="Z116" s="42">
        <f>U116*W116</f>
        <v>4135.4078808523318</v>
      </c>
      <c r="AA116" s="6">
        <f>U116*X116</f>
        <v>0</v>
      </c>
    </row>
    <row r="117" spans="9:27" x14ac:dyDescent="0.3">
      <c r="M117" s="42"/>
      <c r="Q117" s="47">
        <f>1-Q114-Q111-Q108</f>
        <v>0.9669144234632383</v>
      </c>
      <c r="R117" s="47"/>
      <c r="T117" s="80"/>
      <c r="Z117" s="42"/>
      <c r="AA117" s="6"/>
    </row>
    <row r="118" spans="9:27" x14ac:dyDescent="0.3">
      <c r="M118" s="42"/>
      <c r="Q118" s="48">
        <f>c_clinic_fu+c_CSG</f>
        <v>14403</v>
      </c>
      <c r="R118" s="48"/>
      <c r="T118" s="80"/>
      <c r="Z118" s="42"/>
      <c r="AA118" s="6"/>
    </row>
    <row r="119" spans="9:27" x14ac:dyDescent="0.3">
      <c r="M119" s="42"/>
      <c r="Q119" s="42"/>
      <c r="R119" s="42"/>
      <c r="T119" s="80"/>
      <c r="Z119" s="42"/>
      <c r="AA119" s="6"/>
    </row>
    <row r="120" spans="9:27" x14ac:dyDescent="0.3">
      <c r="K120" s="19" t="s">
        <v>165</v>
      </c>
      <c r="L120" s="19"/>
      <c r="M120" s="19"/>
      <c r="N120" s="19"/>
      <c r="O120" s="19"/>
      <c r="P120" s="19"/>
      <c r="Q120" s="19"/>
      <c r="R120" s="19"/>
      <c r="T120" s="80"/>
      <c r="U120">
        <f>$K$121*$I$129*$G$150*$E$78*$C$148*$A$103</f>
        <v>0</v>
      </c>
      <c r="V120">
        <v>0</v>
      </c>
      <c r="W120" s="42">
        <f>$K$122+$I$130+$G$151+$E$79+$C$149+$A$104</f>
        <v>6102.1017081081081</v>
      </c>
      <c r="X120">
        <f>u_Death</f>
        <v>19.181538114427529</v>
      </c>
      <c r="Z120" s="42">
        <f>U120*W120</f>
        <v>0</v>
      </c>
      <c r="AA120" s="6">
        <f>U120*X120</f>
        <v>0</v>
      </c>
    </row>
    <row r="121" spans="9:27" x14ac:dyDescent="0.3">
      <c r="K121" s="47">
        <f>SGA_prem_2d_1</f>
        <v>7.6248466666666667E-2</v>
      </c>
      <c r="T121" s="80"/>
      <c r="Z121" s="42"/>
      <c r="AA121" s="6"/>
    </row>
    <row r="122" spans="9:27" x14ac:dyDescent="0.3">
      <c r="K122" s="48">
        <f>c_SB</f>
        <v>1792</v>
      </c>
      <c r="T122" s="80"/>
      <c r="Z122" s="42"/>
      <c r="AA122" s="6"/>
    </row>
    <row r="123" spans="9:27" x14ac:dyDescent="0.3">
      <c r="T123" s="80"/>
      <c r="Z123" s="42"/>
      <c r="AA123" s="6"/>
    </row>
    <row r="124" spans="9:27" x14ac:dyDescent="0.3">
      <c r="Q124" s="19" t="s">
        <v>368</v>
      </c>
      <c r="R124" s="19"/>
      <c r="T124" s="80"/>
      <c r="U124">
        <f>$K$140*$I$129*$G$150*$E$78*$C$148*$A$103*$M$135*$O$130*Q125</f>
        <v>0</v>
      </c>
      <c r="V124">
        <v>0</v>
      </c>
      <c r="W124" s="42">
        <f>$K$141+$I$130+$G$151+$E$79+$C$149+$M$136+$O$131+Q126+$A$104</f>
        <v>92371.483158713745</v>
      </c>
      <c r="X124">
        <f>u_ChronicResp</f>
        <v>0.53465956747782661</v>
      </c>
      <c r="Z124" s="42">
        <f>U124*W124</f>
        <v>0</v>
      </c>
      <c r="AA124" s="6">
        <f>U124*X124</f>
        <v>0</v>
      </c>
    </row>
    <row r="125" spans="9:27" x14ac:dyDescent="0.3">
      <c r="Q125" s="47">
        <f>RDS2CLD_1-(Hypo2CI_1*RDS2CLD_1)</f>
        <v>0.34246866666666664</v>
      </c>
      <c r="R125" s="47"/>
      <c r="T125" s="80"/>
      <c r="Z125" s="42"/>
      <c r="AA125" s="6"/>
    </row>
    <row r="126" spans="9:27" x14ac:dyDescent="0.3">
      <c r="Q126" s="48">
        <f>c_lung+c_hosp_fu+c_CSG</f>
        <v>54529.510902399998</v>
      </c>
      <c r="R126" s="48"/>
      <c r="T126" s="80"/>
      <c r="Z126" s="42"/>
      <c r="AA126" s="6"/>
    </row>
    <row r="127" spans="9:27" x14ac:dyDescent="0.3">
      <c r="Q127" s="19" t="s">
        <v>226</v>
      </c>
      <c r="R127" s="19"/>
      <c r="T127" s="80"/>
      <c r="U127">
        <f>$K$140*$I$129*$G$150*$E$78*$C$148*$A$103*$M$135*$O$130*Q128</f>
        <v>0</v>
      </c>
      <c r="V127">
        <v>0</v>
      </c>
      <c r="W127" s="42">
        <f>$K$141+$I$130+$G$151+$E$79+$C$149+$M$136+$O$131+Q129+$A$104</f>
        <v>53607.972256313747</v>
      </c>
      <c r="X127">
        <f>u_CongnitiveImpairement</f>
        <v>17.270393127285455</v>
      </c>
      <c r="Z127" s="42">
        <f>U127*W127</f>
        <v>0</v>
      </c>
      <c r="AA127" s="6">
        <f>U127*X127</f>
        <v>0</v>
      </c>
    </row>
    <row r="128" spans="9:27" x14ac:dyDescent="0.3">
      <c r="I128" s="19" t="s">
        <v>164</v>
      </c>
      <c r="Q128" s="47">
        <f>Hypo2CI_1-(Hypo2CI_1*RDS2CLD_1)</f>
        <v>3.2801999999999998E-2</v>
      </c>
      <c r="R128" s="47"/>
      <c r="T128" s="80"/>
      <c r="Z128" s="42"/>
      <c r="AA128" s="6"/>
    </row>
    <row r="129" spans="9:27" x14ac:dyDescent="0.3">
      <c r="I129" s="47">
        <f>NBW_prem_2SGA_1</f>
        <v>0</v>
      </c>
      <c r="O129" s="19" t="s">
        <v>161</v>
      </c>
      <c r="Q129" s="48">
        <f>c_cog+c_hosp_fu+c_CSG</f>
        <v>15766</v>
      </c>
      <c r="R129" s="48"/>
      <c r="T129" s="80"/>
      <c r="Z129" s="42"/>
      <c r="AA129" s="6"/>
    </row>
    <row r="130" spans="9:27" x14ac:dyDescent="0.3">
      <c r="I130" s="48"/>
      <c r="O130" s="47">
        <f>SGA_prem_2hypoglycaemia_1</f>
        <v>0.2155</v>
      </c>
      <c r="Q130" s="19" t="s">
        <v>369</v>
      </c>
      <c r="R130" s="19"/>
      <c r="T130" s="80"/>
      <c r="U130">
        <f>$K$140*$I$129*$G$150*$E$78*$C$148*$A$103*$M$135*$O$130*Q131</f>
        <v>0</v>
      </c>
      <c r="V130">
        <v>0</v>
      </c>
      <c r="W130" s="42">
        <f>$K$141+$I$130+$G$151+$E$79+$C$149+$M$136+$O$131+Q132+$A$104</f>
        <v>96190.483158713745</v>
      </c>
      <c r="X130">
        <f>u_ChronicResp+u_CongnitiveImpairement</f>
        <v>17.805052694763283</v>
      </c>
      <c r="Z130" s="42">
        <f>U130*W130</f>
        <v>0</v>
      </c>
      <c r="AA130" s="6">
        <f>U130*X130</f>
        <v>0</v>
      </c>
    </row>
    <row r="131" spans="9:27" x14ac:dyDescent="0.3">
      <c r="O131" s="48">
        <f>c_hypo</f>
        <v>2936.2604000000001</v>
      </c>
      <c r="Q131" s="47">
        <f>Hypo2CI_1*RDS2CLD_1</f>
        <v>1.8531333333333334E-2</v>
      </c>
      <c r="R131" s="47"/>
      <c r="T131" s="80"/>
      <c r="Z131" s="42"/>
      <c r="AA131" s="6"/>
    </row>
    <row r="132" spans="9:27" x14ac:dyDescent="0.3">
      <c r="M132" s="42"/>
      <c r="Q132" s="48">
        <f>c_lung+c_cog+c_hosp_fu+c_CSG</f>
        <v>58348.510902399998</v>
      </c>
      <c r="R132" s="48"/>
      <c r="T132" s="80"/>
      <c r="Z132" s="42"/>
      <c r="AA132" s="6"/>
    </row>
    <row r="133" spans="9:27" x14ac:dyDescent="0.3">
      <c r="Q133" s="19" t="s">
        <v>370</v>
      </c>
      <c r="R133" s="19"/>
      <c r="T133" s="80"/>
      <c r="U133">
        <f>$K$140*$I$129*$G$150*$E$78*$C$148*$A$103*$M$135*$O$130*Q134</f>
        <v>0</v>
      </c>
      <c r="V133">
        <v>0</v>
      </c>
      <c r="W133" s="42">
        <f>$K$141+$I$130+$G$151+$E$79+$C$149+$M$136+$O$131+Q135+$A$104</f>
        <v>52244.972256313747</v>
      </c>
      <c r="X133">
        <f>u_Healthy</f>
        <v>0</v>
      </c>
      <c r="Z133" s="42">
        <f>U133*W133</f>
        <v>0</v>
      </c>
      <c r="AA133" s="6">
        <f>U133*X133</f>
        <v>0</v>
      </c>
    </row>
    <row r="134" spans="9:27" x14ac:dyDescent="0.3">
      <c r="M134" s="19" t="s">
        <v>9</v>
      </c>
      <c r="Q134" s="47">
        <f>1-Q125-Q128-Q131</f>
        <v>0.60619800000000001</v>
      </c>
      <c r="R134" s="47"/>
      <c r="T134" s="80"/>
      <c r="Z134" s="42"/>
      <c r="AA134" s="6"/>
    </row>
    <row r="135" spans="9:27" x14ac:dyDescent="0.3">
      <c r="K135" s="42"/>
      <c r="M135" s="47">
        <f>S_prem_2RDS_1</f>
        <v>0.45</v>
      </c>
      <c r="Q135" s="48">
        <f>c_clinic_fu+c_CSG</f>
        <v>14403</v>
      </c>
      <c r="R135" s="48"/>
      <c r="T135" s="80"/>
      <c r="Z135" s="42"/>
      <c r="AA135" s="6"/>
    </row>
    <row r="136" spans="9:27" x14ac:dyDescent="0.3">
      <c r="K136" s="42"/>
      <c r="M136" s="48">
        <f>c_RDS</f>
        <v>30595.610148205637</v>
      </c>
      <c r="Q136" s="42"/>
      <c r="R136" s="42"/>
      <c r="T136" s="80"/>
      <c r="Z136" s="42"/>
      <c r="AA136" s="6"/>
    </row>
    <row r="137" spans="9:27" x14ac:dyDescent="0.3">
      <c r="Q137" s="19" t="s">
        <v>368</v>
      </c>
      <c r="R137" s="19"/>
      <c r="T137" s="80"/>
      <c r="U137">
        <f>$K$140*$I$129*$G$150*$E$78*$C$148*$A$103*$M$135*$O$140*Q138</f>
        <v>0</v>
      </c>
      <c r="V137">
        <v>0</v>
      </c>
      <c r="W137" s="42">
        <f>$K$141+$I$130+$G$151+$E$79+$C$149+$M$136+$O$141+Q139+$A$104</f>
        <v>89435.222758713746</v>
      </c>
      <c r="X137">
        <f>u_ChronicResp</f>
        <v>0.53465956747782661</v>
      </c>
      <c r="Z137" s="42">
        <f>U137*W137</f>
        <v>0</v>
      </c>
      <c r="AA137" s="6">
        <f>U137*X137</f>
        <v>0</v>
      </c>
    </row>
    <row r="138" spans="9:27" x14ac:dyDescent="0.3">
      <c r="Q138" s="47">
        <f>RDS2CLD_1-(RDS2CLD_1*noHypo2CI_1)</f>
        <v>0.34905610687022898</v>
      </c>
      <c r="R138" s="47"/>
      <c r="T138" s="80"/>
      <c r="Z138" s="42"/>
      <c r="AA138" s="6"/>
    </row>
    <row r="139" spans="9:27" x14ac:dyDescent="0.3">
      <c r="K139" s="19" t="s">
        <v>37</v>
      </c>
      <c r="M139" s="42"/>
      <c r="O139" s="19" t="s">
        <v>371</v>
      </c>
      <c r="Q139" s="48">
        <f>c_lung+c_hosp_fu+c_CSG</f>
        <v>54529.510902399998</v>
      </c>
      <c r="R139" s="48"/>
      <c r="T139" s="80"/>
      <c r="Z139" s="42"/>
      <c r="AA139" s="6"/>
    </row>
    <row r="140" spans="9:27" x14ac:dyDescent="0.3">
      <c r="K140" s="47">
        <f>SGA_prem_2s_1</f>
        <v>0.92375153333333337</v>
      </c>
      <c r="O140" s="47">
        <f>SGA_prem_2normoglycaemia_1</f>
        <v>0.78449999999999998</v>
      </c>
      <c r="Q140" s="19" t="s">
        <v>226</v>
      </c>
      <c r="R140" s="19"/>
      <c r="T140" s="80"/>
      <c r="U140">
        <f>$K$140*$I$129*$G$150*$E$78*$C$148*$A$103*$M$135*$O$140*Q141</f>
        <v>0</v>
      </c>
      <c r="V140">
        <v>0</v>
      </c>
      <c r="W140" s="42">
        <f>$K$141+$I$130+$G$151+$E$79+$C$149+$M$136+$O$141+Q142+$A$104</f>
        <v>50671.711856313748</v>
      </c>
      <c r="X140">
        <f>u_CongnitiveImpairement</f>
        <v>17.270393127285455</v>
      </c>
      <c r="Z140" s="42">
        <f>U140*W140</f>
        <v>0</v>
      </c>
      <c r="AA140" s="6">
        <f>U140*X140</f>
        <v>0</v>
      </c>
    </row>
    <row r="141" spans="9:27" x14ac:dyDescent="0.3">
      <c r="K141" s="48"/>
      <c r="O141" s="48"/>
      <c r="Q141" s="47">
        <f>noHypo2CI_1-(RDS2CLD_1*noHypo2CI_1)</f>
        <v>2.1141683406990762E-2</v>
      </c>
      <c r="R141" s="47"/>
      <c r="T141" s="80"/>
      <c r="Z141" s="42"/>
      <c r="AA141" s="6"/>
    </row>
    <row r="142" spans="9:27" x14ac:dyDescent="0.3">
      <c r="Q142" s="48">
        <f>c_cog+c_hosp_fu+c_CSG</f>
        <v>15766</v>
      </c>
      <c r="R142" s="48"/>
      <c r="T142" s="80"/>
      <c r="Z142" s="42"/>
      <c r="AA142" s="6"/>
    </row>
    <row r="143" spans="9:27" x14ac:dyDescent="0.3">
      <c r="Q143" s="19" t="s">
        <v>369</v>
      </c>
      <c r="R143" s="19"/>
      <c r="T143" s="80"/>
      <c r="U143">
        <f>$K$140*$I$129*$G$150*$E$78*$C$148*$A$103*$M$135*$O$140*Q144</f>
        <v>0</v>
      </c>
      <c r="V143">
        <v>0</v>
      </c>
      <c r="W143" s="42">
        <f>$K$141+$I$130+$G$151+$E$79+$C$149+$M$136+$O$141+Q145+$A$104</f>
        <v>93254.222758713746</v>
      </c>
      <c r="X143">
        <f>u_ChronicResp+u_CongnitiveImpairement</f>
        <v>17.805052694763283</v>
      </c>
      <c r="Z143" s="42">
        <f>U143*W143</f>
        <v>0</v>
      </c>
      <c r="AA143" s="6">
        <f>U143*X143</f>
        <v>0</v>
      </c>
    </row>
    <row r="144" spans="9:27" x14ac:dyDescent="0.3">
      <c r="Q144" s="47">
        <f>RDS2CLD_1*noHypo2CI_1</f>
        <v>1.1943893129770991E-2</v>
      </c>
      <c r="R144" s="47"/>
      <c r="T144" s="80"/>
      <c r="Z144" s="42"/>
      <c r="AA144" s="6"/>
    </row>
    <row r="145" spans="3:27" x14ac:dyDescent="0.3">
      <c r="Q145" s="48">
        <f>c_cog+c_lung+c_hosp_fu+c_CSG</f>
        <v>58348.510902399998</v>
      </c>
      <c r="R145" s="48"/>
      <c r="T145" s="80"/>
      <c r="Z145" s="42"/>
      <c r="AA145" s="6"/>
    </row>
    <row r="146" spans="3:27" x14ac:dyDescent="0.3">
      <c r="Q146" s="19" t="s">
        <v>370</v>
      </c>
      <c r="R146" s="19"/>
      <c r="T146" s="80"/>
      <c r="U146">
        <f>$K$140*$I$129*$G$150*$E$78*$C$148*$A$103*$M$135*$O$140*Q147</f>
        <v>0</v>
      </c>
      <c r="V146">
        <v>0</v>
      </c>
      <c r="W146" s="42">
        <f>$K$141+$I$130+$G$151+$E$79+$C$149+$M$136+$O$141+Q148+$A$104</f>
        <v>49308.711856313748</v>
      </c>
      <c r="X146">
        <f>u_Healthy</f>
        <v>0</v>
      </c>
      <c r="Z146" s="42">
        <f>U146*W146</f>
        <v>0</v>
      </c>
      <c r="AA146" s="6">
        <f>U146*X146</f>
        <v>0</v>
      </c>
    </row>
    <row r="147" spans="3:27" x14ac:dyDescent="0.3">
      <c r="C147" s="19" t="s">
        <v>373</v>
      </c>
      <c r="Q147" s="47">
        <f>1-Q144-Q141-Q138</f>
        <v>0.61785831659300938</v>
      </c>
      <c r="R147" s="47"/>
      <c r="T147" s="80"/>
      <c r="Z147" s="42"/>
      <c r="AA147" s="6"/>
    </row>
    <row r="148" spans="3:27" x14ac:dyDescent="0.3">
      <c r="C148" s="47">
        <f>ANC2LB_1</f>
        <v>0.98357700000000003</v>
      </c>
      <c r="D148">
        <f>ANC2LB_3</f>
        <v>0.98357700000000003</v>
      </c>
      <c r="E148" t="b">
        <f>D148=C148</f>
        <v>1</v>
      </c>
      <c r="Q148" s="48">
        <f>c_clinic_fu+c_CSG</f>
        <v>14403</v>
      </c>
      <c r="R148" s="48"/>
      <c r="T148" s="80"/>
      <c r="Z148" s="42"/>
      <c r="AA148" s="6"/>
    </row>
    <row r="149" spans="3:27" x14ac:dyDescent="0.3">
      <c r="C149" s="48"/>
      <c r="G149" s="19" t="s">
        <v>372</v>
      </c>
      <c r="Q149" s="42"/>
      <c r="R149" s="42"/>
      <c r="T149" s="80"/>
      <c r="Z149" s="42"/>
      <c r="AA149" s="6"/>
    </row>
    <row r="150" spans="3:27" x14ac:dyDescent="0.3">
      <c r="G150" s="47">
        <f>Prem2NBW_1</f>
        <v>0.51623728813559322</v>
      </c>
      <c r="Q150" s="19" t="s">
        <v>368</v>
      </c>
      <c r="R150" s="19"/>
      <c r="T150" s="80"/>
      <c r="U150">
        <f>$K$140*$I$129*$G$150*$E$78*$C$148*$A$103*$M$155*$O$153*Q151</f>
        <v>0</v>
      </c>
      <c r="V150">
        <v>0</v>
      </c>
      <c r="W150" s="42">
        <f>$K$141+$I$130+$G$151+$E$79+$C$149+$M$156+$O$154+Q152+$A$104</f>
        <v>61775.873010508105</v>
      </c>
      <c r="X150">
        <f>u_ChronicResp</f>
        <v>0.53465956747782661</v>
      </c>
      <c r="Z150" s="42">
        <f>U150*W150</f>
        <v>0</v>
      </c>
      <c r="AA150" s="6">
        <f>U150*X150</f>
        <v>0</v>
      </c>
    </row>
    <row r="151" spans="3:27" x14ac:dyDescent="0.3">
      <c r="G151" s="48">
        <f>c_NICU_NBW</f>
        <v>1255.2</v>
      </c>
      <c r="Q151" s="47">
        <f>noRDS2CLD_1-(Hypo2CI_1*noRDS2CLD_1)</f>
        <v>0</v>
      </c>
      <c r="R151" s="47"/>
      <c r="T151" s="80"/>
      <c r="Z151" s="42"/>
      <c r="AA151" s="6"/>
    </row>
    <row r="152" spans="3:27" x14ac:dyDescent="0.3">
      <c r="O152" s="19" t="s">
        <v>161</v>
      </c>
      <c r="Q152" s="48">
        <f>c_lung+c_hosp_fu+c_CSG</f>
        <v>54529.510902399998</v>
      </c>
      <c r="R152" s="48"/>
      <c r="T152" s="80"/>
      <c r="Z152" s="42"/>
      <c r="AA152" s="6"/>
    </row>
    <row r="153" spans="3:27" x14ac:dyDescent="0.3">
      <c r="O153" s="47">
        <f>SGA_prem_2hypoglycaemia_1</f>
        <v>0.2155</v>
      </c>
      <c r="Q153" s="19" t="s">
        <v>226</v>
      </c>
      <c r="R153" s="19"/>
      <c r="T153" s="80"/>
      <c r="U153">
        <f>$K$140*$I$129*$G$150*$E$78*$C$148*$A$103*$M$155*$O$153*Q154</f>
        <v>0</v>
      </c>
      <c r="V153">
        <v>0</v>
      </c>
      <c r="W153" s="42">
        <f>$K$141+$I$130+$G$151+$E$79+$C$149+$M$156+$O$154+Q155+$A$104</f>
        <v>23012.362108108107</v>
      </c>
      <c r="X153">
        <f>u_CongnitiveImpairement</f>
        <v>17.270393127285455</v>
      </c>
      <c r="Z153" s="42">
        <f>U153*W153</f>
        <v>0</v>
      </c>
      <c r="AA153" s="6">
        <f>U153*X153</f>
        <v>0</v>
      </c>
    </row>
    <row r="154" spans="3:27" x14ac:dyDescent="0.3">
      <c r="M154" s="19" t="s">
        <v>203</v>
      </c>
      <c r="O154" s="48">
        <f>c_hypo</f>
        <v>2936.2604000000001</v>
      </c>
      <c r="Q154" s="47">
        <f>Hypo2CI_1-(Hypo2CI_1*noRDS2CLD_1)</f>
        <v>5.1333333333333335E-2</v>
      </c>
      <c r="R154" s="47"/>
      <c r="T154" s="80"/>
      <c r="Z154" s="42"/>
      <c r="AA154" s="6"/>
    </row>
    <row r="155" spans="3:27" x14ac:dyDescent="0.3">
      <c r="M155" s="47">
        <f>S_prem_2noRDS_1</f>
        <v>0.55000000000000004</v>
      </c>
      <c r="Q155" s="48">
        <f>c_cog+c_hosp_fu+c_CSG</f>
        <v>15766</v>
      </c>
      <c r="R155" s="48"/>
      <c r="T155" s="80"/>
      <c r="Z155" s="42"/>
      <c r="AA155" s="6"/>
    </row>
    <row r="156" spans="3:27" x14ac:dyDescent="0.3">
      <c r="G156" s="42"/>
      <c r="M156" s="48"/>
      <c r="O156" s="42"/>
      <c r="Q156" s="19" t="s">
        <v>369</v>
      </c>
      <c r="R156" s="19"/>
      <c r="T156" s="80"/>
      <c r="U156">
        <f>$K$140*$I$129*$G$150*$E$78*$C$148*$A$103*$M$155*$O$153*Q157</f>
        <v>0</v>
      </c>
      <c r="V156">
        <v>0</v>
      </c>
      <c r="W156" s="42">
        <f>$K$141+$I$130+$G$151+$E$79+$C$149+$M$156+$O$154+Q158+$A$104</f>
        <v>65594.873010508105</v>
      </c>
      <c r="X156">
        <f>u_ChronicResp+u_CongnitiveImpairement</f>
        <v>17.805052694763283</v>
      </c>
      <c r="Z156" s="42">
        <f>U156*W156</f>
        <v>0</v>
      </c>
      <c r="AA156" s="6">
        <f>U156*X156</f>
        <v>0</v>
      </c>
    </row>
    <row r="157" spans="3:27" x14ac:dyDescent="0.3">
      <c r="M157" s="42"/>
      <c r="Q157" s="47">
        <f>noRDS2CLD_1*Hypo2CI_1</f>
        <v>0</v>
      </c>
      <c r="R157" s="47"/>
      <c r="T157" s="80"/>
      <c r="W157" s="42"/>
      <c r="Z157" s="42"/>
      <c r="AA157" s="6"/>
    </row>
    <row r="158" spans="3:27" x14ac:dyDescent="0.3">
      <c r="M158" s="42"/>
      <c r="Q158" s="48">
        <f>c_lung+c_cog+c_hosp_fu+c_CSG</f>
        <v>58348.510902399998</v>
      </c>
      <c r="R158" s="48"/>
      <c r="T158" s="80"/>
      <c r="Z158" s="42"/>
      <c r="AA158" s="6"/>
    </row>
    <row r="159" spans="3:27" x14ac:dyDescent="0.3">
      <c r="M159" s="42"/>
      <c r="Q159" s="19" t="s">
        <v>370</v>
      </c>
      <c r="R159" s="19"/>
      <c r="T159" s="80"/>
      <c r="U159">
        <f>$K$140*$I$129*$G$150*$E$78*$C$148*$A$103*$M$155*$O$153*Q160</f>
        <v>0</v>
      </c>
      <c r="V159">
        <v>0</v>
      </c>
      <c r="W159" s="42">
        <f>$K$141+$I$130+$G$151+$E$79+$C$149+$M$156+$O$154+Q161+$A$104</f>
        <v>21649.362108108107</v>
      </c>
      <c r="X159">
        <f>u_Healthy</f>
        <v>0</v>
      </c>
      <c r="Z159" s="42">
        <f>U159*W159</f>
        <v>0</v>
      </c>
      <c r="AA159" s="6">
        <f>U159*X159</f>
        <v>0</v>
      </c>
    </row>
    <row r="160" spans="3:27" x14ac:dyDescent="0.3">
      <c r="M160" s="42"/>
      <c r="O160" s="42"/>
      <c r="Q160" s="47">
        <f>1-Q157-Q154-Q151</f>
        <v>0.94866666666666666</v>
      </c>
      <c r="R160" s="47"/>
      <c r="T160" s="80"/>
      <c r="Z160" s="42"/>
      <c r="AA160" s="6"/>
    </row>
    <row r="161" spans="11:27" x14ac:dyDescent="0.3">
      <c r="M161" s="42"/>
      <c r="Q161" s="48">
        <f>c_clinic_fu+c_CSG</f>
        <v>14403</v>
      </c>
      <c r="R161" s="48"/>
      <c r="T161" s="80"/>
      <c r="Z161" s="42"/>
      <c r="AA161" s="6"/>
    </row>
    <row r="162" spans="11:27" x14ac:dyDescent="0.3">
      <c r="M162" s="42"/>
      <c r="Q162" s="42"/>
      <c r="R162" s="42"/>
      <c r="S162" s="96"/>
      <c r="T162" s="80"/>
      <c r="Z162" s="42"/>
      <c r="AA162" s="6"/>
    </row>
    <row r="163" spans="11:27" x14ac:dyDescent="0.3">
      <c r="M163" s="42"/>
      <c r="Q163" s="19" t="s">
        <v>368</v>
      </c>
      <c r="R163" s="19"/>
      <c r="T163" s="80"/>
      <c r="U163">
        <f>$K$140*$I$129*$G$150*$E$78*$C$148*$A$103*$M$155*$O$167*Q164</f>
        <v>0</v>
      </c>
      <c r="V163">
        <v>0</v>
      </c>
      <c r="W163" s="42">
        <f>$K$141+$I$130+$G$151+$E$79+$C$149+$M$156+$O$168+Q165+$A$104</f>
        <v>60868.873010508105</v>
      </c>
      <c r="X163">
        <f>u_ChronicResp</f>
        <v>0.53465956747782661</v>
      </c>
      <c r="Z163" s="42">
        <f>U163*W163</f>
        <v>0</v>
      </c>
      <c r="AA163" s="6">
        <f>U163*X163</f>
        <v>0</v>
      </c>
    </row>
    <row r="164" spans="11:27" x14ac:dyDescent="0.3">
      <c r="M164" s="42"/>
      <c r="Q164" s="47">
        <f>noRDS2CLD_1-(noRDS2CLD_1*noHypo2CI_1)</f>
        <v>0</v>
      </c>
      <c r="R164" s="47"/>
      <c r="T164" s="80"/>
      <c r="Z164" s="42"/>
      <c r="AA164" s="6"/>
    </row>
    <row r="165" spans="11:27" x14ac:dyDescent="0.3">
      <c r="M165" s="42"/>
      <c r="Q165" s="48">
        <f>c_lung+c_hypo+c_CSG</f>
        <v>56558.771302399997</v>
      </c>
      <c r="R165" s="48"/>
      <c r="T165" s="80"/>
      <c r="Z165" s="42"/>
      <c r="AA165" s="6"/>
    </row>
    <row r="166" spans="11:27" x14ac:dyDescent="0.3">
      <c r="M166" s="42"/>
      <c r="O166" s="19" t="s">
        <v>371</v>
      </c>
      <c r="Q166" s="19" t="s">
        <v>226</v>
      </c>
      <c r="R166" s="19"/>
      <c r="T166" s="80"/>
      <c r="U166">
        <f>$K$140*$I$129*$G$150*$E$78*$C$148*$A$103*$M$155*$O$167*Q167</f>
        <v>0</v>
      </c>
      <c r="V166">
        <v>0</v>
      </c>
      <c r="W166" s="42">
        <f>$K$141+$I$130+$G$151+$E$79+$C$149+$M$156+$O$168+Q168+$A$104</f>
        <v>20076.101708108108</v>
      </c>
      <c r="X166">
        <f>u_CongnitiveImpairement</f>
        <v>17.270393127285455</v>
      </c>
      <c r="Z166" s="42">
        <f>U166*W166</f>
        <v>0</v>
      </c>
      <c r="AA166" s="6">
        <f>U166*X166</f>
        <v>0</v>
      </c>
    </row>
    <row r="167" spans="11:27" x14ac:dyDescent="0.3">
      <c r="M167" s="42"/>
      <c r="O167" s="47">
        <f>SGA_prem_2normoglycaemia_1</f>
        <v>0.78449999999999998</v>
      </c>
      <c r="Q167" s="47">
        <f>noHypo2CI_1</f>
        <v>3.3085576536761752E-2</v>
      </c>
      <c r="R167" s="47"/>
      <c r="T167" s="80"/>
      <c r="Z167" s="42"/>
      <c r="AA167" s="6"/>
    </row>
    <row r="168" spans="11:27" x14ac:dyDescent="0.3">
      <c r="M168" s="42"/>
      <c r="O168" s="48"/>
      <c r="Q168" s="48">
        <f>c_cog+c_hosp_fu+c_CSG</f>
        <v>15766</v>
      </c>
      <c r="R168" s="48"/>
      <c r="T168" s="80"/>
      <c r="Z168" s="42"/>
      <c r="AA168" s="6"/>
    </row>
    <row r="169" spans="11:27" x14ac:dyDescent="0.3">
      <c r="M169" s="42"/>
      <c r="Q169" s="19" t="s">
        <v>369</v>
      </c>
      <c r="R169" s="19"/>
      <c r="T169" s="80"/>
      <c r="U169">
        <f>$K$140*$I$129*$G$150*$E$78*$C$148*$A$103*$M$155*$O$167*Q170</f>
        <v>0</v>
      </c>
      <c r="V169">
        <v>0</v>
      </c>
      <c r="W169" s="42">
        <f>$K$141+$I$130+$G$151+$E$79+$C$149+$M$156+$O$168+Q171+$A$104</f>
        <v>62658.612610508106</v>
      </c>
      <c r="X169">
        <f>u_ChronicResp+u_CongnitiveImpairement</f>
        <v>17.805052694763283</v>
      </c>
      <c r="Z169" s="42">
        <f>U169*W169</f>
        <v>0</v>
      </c>
      <c r="AA169" s="6">
        <f>U169*X169</f>
        <v>0</v>
      </c>
    </row>
    <row r="170" spans="11:27" x14ac:dyDescent="0.3">
      <c r="M170" s="42"/>
      <c r="Q170" s="47">
        <f>noRDS2CLD_1*noHypo2CI_1</f>
        <v>0</v>
      </c>
      <c r="R170" s="47"/>
      <c r="T170" s="80"/>
      <c r="Z170" s="42"/>
      <c r="AA170" s="6"/>
    </row>
    <row r="171" spans="11:27" x14ac:dyDescent="0.3">
      <c r="M171" s="42"/>
      <c r="Q171" s="48">
        <f>c_cog+c_lung+c_hosp_fu+c_CSG</f>
        <v>58348.510902399998</v>
      </c>
      <c r="R171" s="48"/>
      <c r="T171" s="80"/>
      <c r="Z171" s="42"/>
      <c r="AA171" s="6"/>
    </row>
    <row r="172" spans="11:27" x14ac:dyDescent="0.3">
      <c r="M172" s="42"/>
      <c r="Q172" s="19" t="s">
        <v>370</v>
      </c>
      <c r="R172" s="19"/>
      <c r="T172" s="80"/>
      <c r="U172">
        <f>$K$140*$I$129*$G$150*$E$78*$C$148*$A$103*$M$155*$O$167*Q173</f>
        <v>0</v>
      </c>
      <c r="V172">
        <v>0</v>
      </c>
      <c r="W172" s="42">
        <f>$K$141+$I$130+$G$151+$E$79+$C$149+$M$156+$O$168+Q174+$A$104</f>
        <v>18713.101708108108</v>
      </c>
      <c r="X172">
        <f>u_Healthy</f>
        <v>0</v>
      </c>
      <c r="Z172" s="42">
        <f>U172*W172</f>
        <v>0</v>
      </c>
      <c r="AA172" s="6">
        <f>U172*X172</f>
        <v>0</v>
      </c>
    </row>
    <row r="173" spans="11:27" x14ac:dyDescent="0.3">
      <c r="M173" s="42"/>
      <c r="Q173" s="47">
        <f>1-Q170-Q167-Q164</f>
        <v>0.9669144234632383</v>
      </c>
      <c r="R173" s="47"/>
      <c r="T173" s="80"/>
      <c r="Z173" s="42"/>
      <c r="AA173" s="6"/>
    </row>
    <row r="174" spans="11:27" x14ac:dyDescent="0.3">
      <c r="M174" s="42"/>
      <c r="Q174" s="48">
        <f>c_clinic_fu+c_CSG</f>
        <v>14403</v>
      </c>
      <c r="R174" s="48"/>
      <c r="T174" s="80"/>
      <c r="Z174" s="42"/>
      <c r="AA174" s="6"/>
    </row>
    <row r="175" spans="11:27" x14ac:dyDescent="0.3">
      <c r="M175" s="42"/>
      <c r="Q175" s="42"/>
      <c r="R175" s="42"/>
      <c r="T175" s="80"/>
      <c r="Z175" s="42"/>
      <c r="AA175" s="6"/>
    </row>
    <row r="176" spans="11:27" x14ac:dyDescent="0.3">
      <c r="K176" s="19" t="s">
        <v>165</v>
      </c>
      <c r="L176" s="19"/>
      <c r="M176" s="19"/>
      <c r="N176" s="19"/>
      <c r="O176" s="19"/>
      <c r="P176" s="19"/>
      <c r="Q176" s="19"/>
      <c r="R176" s="19"/>
      <c r="T176" s="80"/>
      <c r="U176">
        <f>$K$177*$I$185*$G$150*$E$78*$C$148*$A$103</f>
        <v>1.9691852086651039E-3</v>
      </c>
      <c r="V176">
        <v>1.601529420806818E-3</v>
      </c>
      <c r="W176" s="42">
        <f>$K$178+$I$186+$G$151+$E$79+$C$149+$A$104</f>
        <v>6102.1017081081081</v>
      </c>
      <c r="X176">
        <f>u_Death</f>
        <v>19.181538114427529</v>
      </c>
      <c r="Z176" s="42">
        <f>U176*W176</f>
        <v>12.016168425376552</v>
      </c>
      <c r="AA176" s="6">
        <f>U176*X176</f>
        <v>3.7772001134376613E-2</v>
      </c>
    </row>
    <row r="177" spans="9:27" x14ac:dyDescent="0.3">
      <c r="K177" s="47">
        <f>AGA_prem_2d_1</f>
        <v>3.1903725000000001E-2</v>
      </c>
      <c r="T177" s="80"/>
      <c r="Z177" s="42"/>
      <c r="AA177" s="6"/>
    </row>
    <row r="178" spans="9:27" x14ac:dyDescent="0.3">
      <c r="K178" s="48">
        <f>c_SB</f>
        <v>1792</v>
      </c>
      <c r="T178" s="80"/>
      <c r="Z178" s="42"/>
      <c r="AA178" s="6"/>
    </row>
    <row r="179" spans="9:27" x14ac:dyDescent="0.3">
      <c r="T179" s="80"/>
      <c r="Z179" s="42"/>
      <c r="AA179" s="6"/>
    </row>
    <row r="180" spans="9:27" x14ac:dyDescent="0.3">
      <c r="Q180" s="19" t="s">
        <v>368</v>
      </c>
      <c r="R180" s="19"/>
      <c r="T180" s="80"/>
      <c r="U180">
        <f>$K$196*$I$185*$G$150*$E$78*$C$148*$A$103*$M$191*$O$186*Q181</f>
        <v>1.3813010330699814E-3</v>
      </c>
      <c r="V180">
        <v>1.015486090417266E-3</v>
      </c>
      <c r="W180" s="42">
        <f>$K$197+$I$186+$G$151+$E$79+$C$149+$M$192+$O$187+Q182+$A$104</f>
        <v>92371.483158713745</v>
      </c>
      <c r="X180">
        <f>u_ChronicResp</f>
        <v>0.53465956747782661</v>
      </c>
      <c r="Z180" s="42">
        <f>U180*W180</f>
        <v>127.59282511333768</v>
      </c>
      <c r="AA180" s="6">
        <f>U180*X180</f>
        <v>7.3852581289787127E-4</v>
      </c>
    </row>
    <row r="181" spans="9:27" x14ac:dyDescent="0.3">
      <c r="Q181" s="47">
        <f>RDS2CLD_1-(Hypo2CI_1*RDS2CLD_1)</f>
        <v>0.34246866666666664</v>
      </c>
      <c r="R181" s="47"/>
      <c r="T181" s="80"/>
      <c r="Z181" s="42"/>
      <c r="AA181" s="6"/>
    </row>
    <row r="182" spans="9:27" x14ac:dyDescent="0.3">
      <c r="Q182" s="48">
        <f>c_lung+c_hosp_fu+c_CSG</f>
        <v>54529.510902399998</v>
      </c>
      <c r="R182" s="48"/>
      <c r="T182" s="80"/>
      <c r="Z182" s="42"/>
      <c r="AA182" s="6"/>
    </row>
    <row r="183" spans="9:27" x14ac:dyDescent="0.3">
      <c r="Q183" s="19" t="s">
        <v>226</v>
      </c>
      <c r="R183" s="19"/>
      <c r="T183" s="80"/>
      <c r="U183">
        <f>$K$196*$I$185*$G$150*$E$78*$C$148*$A$103*$M$191*$O$186*Q184</f>
        <v>1.3230242908868022E-4</v>
      </c>
      <c r="V183">
        <v>9.7264298839603314E-5</v>
      </c>
      <c r="W183" s="42">
        <f>$K$197+$I$186+$G$151+$E$79+$C$149+$M$192+$O$187+Q185+$A$104</f>
        <v>53607.972256313747</v>
      </c>
      <c r="X183">
        <f>u_CongnitiveImpairement</f>
        <v>17.270393127285455</v>
      </c>
      <c r="Z183" s="42">
        <f>U183*W183</f>
        <v>7.0924649480288862</v>
      </c>
      <c r="AA183" s="6">
        <f>U183*X183</f>
        <v>2.2849149620563143E-3</v>
      </c>
    </row>
    <row r="184" spans="9:27" x14ac:dyDescent="0.3">
      <c r="I184" s="19" t="s">
        <v>425</v>
      </c>
      <c r="Q184" s="47">
        <f>Hypo2CI_1-(Hypo2CI_1*RDS2CLD_1)</f>
        <v>3.2801999999999998E-2</v>
      </c>
      <c r="R184" s="47"/>
      <c r="T184" s="80"/>
      <c r="Z184" s="42"/>
      <c r="AA184" s="6"/>
    </row>
    <row r="185" spans="9:27" x14ac:dyDescent="0.3">
      <c r="I185" s="47">
        <f>NBW_prem_2AGA_1</f>
        <v>1</v>
      </c>
      <c r="O185" s="19" t="s">
        <v>161</v>
      </c>
      <c r="Q185" s="48">
        <f>c_cog+c_hosp_fu+c_CSG</f>
        <v>15766</v>
      </c>
      <c r="R185" s="48"/>
      <c r="T185" s="80"/>
      <c r="Z185" s="42"/>
      <c r="AA185" s="6"/>
    </row>
    <row r="186" spans="9:27" x14ac:dyDescent="0.3">
      <c r="I186" s="48"/>
      <c r="O186" s="47">
        <f>AGA_prem_2hypoglycaemia_1</f>
        <v>0.15</v>
      </c>
      <c r="Q186" s="19" t="s">
        <v>369</v>
      </c>
      <c r="R186" s="19"/>
      <c r="T186" s="80"/>
      <c r="U186">
        <f>$K$196*$I$185*$G$150*$E$78*$C$148*$A$103*$M$191*$O$186*Q187</f>
        <v>7.4743625823182419E-5</v>
      </c>
      <c r="V186">
        <v>5.494900137886823E-5</v>
      </c>
      <c r="W186" s="42">
        <f>$K$197+$I$186+$G$151+$E$79+$C$149+$M$192+$O$187+Q188+$A$104</f>
        <v>96190.483158713745</v>
      </c>
      <c r="X186">
        <f>u_ChronicResp+u_CongnitiveImpairement</f>
        <v>17.805052694763283</v>
      </c>
      <c r="Z186" s="42">
        <f>U186*W186</f>
        <v>7.18962548096603</v>
      </c>
      <c r="AA186" s="6">
        <f>U186*X186</f>
        <v>1.3308141963794327E-3</v>
      </c>
    </row>
    <row r="187" spans="9:27" x14ac:dyDescent="0.3">
      <c r="O187" s="48">
        <f>c_hypo</f>
        <v>2936.2604000000001</v>
      </c>
      <c r="Q187" s="47">
        <f>RDS2CLD_1*Hypo2CI_1</f>
        <v>1.8531333333333334E-2</v>
      </c>
      <c r="R187" s="47"/>
      <c r="T187" s="80"/>
      <c r="Z187" s="42"/>
      <c r="AA187" s="6"/>
    </row>
    <row r="188" spans="9:27" x14ac:dyDescent="0.3">
      <c r="M188" s="42"/>
      <c r="Q188" s="48">
        <f>c_lung+c_cog+c_hosp_fu+c_CSG</f>
        <v>58348.510902399998</v>
      </c>
      <c r="R188" s="48"/>
      <c r="T188" s="80"/>
      <c r="Z188" s="42"/>
      <c r="AA188" s="6"/>
    </row>
    <row r="189" spans="9:27" x14ac:dyDescent="0.3">
      <c r="Q189" s="19" t="s">
        <v>370</v>
      </c>
      <c r="R189" s="19"/>
      <c r="T189" s="80"/>
      <c r="U189">
        <f>$K$196*$I$185*$G$150*$E$78*$C$148*$A$103*$M$191*$O$186*Q190</f>
        <v>2.4450176180934023E-3</v>
      </c>
      <c r="V189">
        <v>1.7974947694643574E-3</v>
      </c>
      <c r="W189" s="42">
        <f>$K$197+$I$186+$G$151+$E$79+$C$149+$M$192+$O$187+Q191+$A$104</f>
        <v>52244.972256313747</v>
      </c>
      <c r="X189">
        <f>u_Healthy</f>
        <v>0</v>
      </c>
      <c r="Z189" s="42">
        <f>U189*W189</f>
        <v>127.73987762348813</v>
      </c>
      <c r="AA189" s="6">
        <f>U189*X189</f>
        <v>0</v>
      </c>
    </row>
    <row r="190" spans="9:27" x14ac:dyDescent="0.3">
      <c r="M190" s="19" t="s">
        <v>9</v>
      </c>
      <c r="Q190" s="47">
        <f>1-Q181-Q184-Q187</f>
        <v>0.60619800000000001</v>
      </c>
      <c r="R190" s="47"/>
      <c r="T190" s="80"/>
      <c r="Z190" s="42"/>
      <c r="AA190" s="6"/>
    </row>
    <row r="191" spans="9:27" x14ac:dyDescent="0.3">
      <c r="K191" s="42"/>
      <c r="M191" s="47">
        <f>S_prem_2RDS_1</f>
        <v>0.45</v>
      </c>
      <c r="Q191" s="48">
        <f>c_clinic_fu+c_CSG</f>
        <v>14403</v>
      </c>
      <c r="R191" s="48"/>
      <c r="T191" s="80"/>
      <c r="Z191" s="42"/>
      <c r="AA191" s="6"/>
    </row>
    <row r="192" spans="9:27" x14ac:dyDescent="0.3">
      <c r="K192" s="42"/>
      <c r="M192" s="48">
        <f>c_RDS</f>
        <v>30595.610148205637</v>
      </c>
      <c r="Q192" s="42"/>
      <c r="R192" s="42"/>
      <c r="T192" s="80"/>
      <c r="Z192" s="42"/>
      <c r="AA192" s="6"/>
    </row>
    <row r="193" spans="11:27" x14ac:dyDescent="0.3">
      <c r="Q193" s="19" t="s">
        <v>368</v>
      </c>
      <c r="R193" s="19"/>
      <c r="T193" s="80"/>
      <c r="U193">
        <f>$K$196*$I$185*$G$150*$E$78*$C$148*$A$103*$M$191*$O$196*Q194</f>
        <v>7.9779332973789942E-3</v>
      </c>
      <c r="V193">
        <v>5.8651084012869732E-3</v>
      </c>
      <c r="W193" s="42">
        <f>$K$197+$I$186+$G$151+$E$79+$C$149+$M$192+$O$197+Q195+$A$104</f>
        <v>89435.222758713746</v>
      </c>
      <c r="X193">
        <f>u_ChronicResp</f>
        <v>0.53465956747782661</v>
      </c>
      <c r="Z193" s="42">
        <f>U193*W193</f>
        <v>713.50824160525008</v>
      </c>
      <c r="AA193" s="6">
        <f>U193*X193</f>
        <v>4.2654783661436038E-3</v>
      </c>
    </row>
    <row r="194" spans="11:27" x14ac:dyDescent="0.3">
      <c r="Q194" s="47">
        <f>RDS2CLD_1-(RDS2CLD_1*noHypo2CI_1)</f>
        <v>0.34905610687022898</v>
      </c>
      <c r="R194" s="47"/>
      <c r="T194" s="80"/>
      <c r="Z194" s="42"/>
      <c r="AA194" s="6"/>
    </row>
    <row r="195" spans="11:27" x14ac:dyDescent="0.3">
      <c r="K195" s="19" t="s">
        <v>37</v>
      </c>
      <c r="M195" s="42"/>
      <c r="O195" s="19" t="s">
        <v>371</v>
      </c>
      <c r="Q195" s="48">
        <f>c_lung+c_hosp_fu+c_CSG</f>
        <v>54529.510902399998</v>
      </c>
      <c r="R195" s="48"/>
      <c r="T195" s="80"/>
      <c r="Z195" s="42"/>
      <c r="AA195" s="6"/>
    </row>
    <row r="196" spans="11:27" x14ac:dyDescent="0.3">
      <c r="K196" s="47">
        <f>AGA_prem_2s_1</f>
        <v>0.96809627499999995</v>
      </c>
      <c r="O196" s="47">
        <f>AGA_prem_2normoglycaemia_1</f>
        <v>0.85</v>
      </c>
      <c r="Q196" s="19" t="s">
        <v>226</v>
      </c>
      <c r="R196" s="19"/>
      <c r="T196" s="80"/>
      <c r="U196">
        <f>$K$196*$I$185*$G$150*$E$78*$C$148*$A$103*$M$191*$O$196*Q197</f>
        <v>4.8320867819104819E-4</v>
      </c>
      <c r="V196">
        <v>3.5523877831419984E-4</v>
      </c>
      <c r="W196" s="42">
        <f>$K$197+$I$186+$G$151+$E$79+$C$149+$M$192+$O$197+Q198+$A$104</f>
        <v>50671.711856313748</v>
      </c>
      <c r="X196">
        <f>u_CongnitiveImpairement</f>
        <v>17.270393127285455</v>
      </c>
      <c r="Z196" s="42">
        <f>U196*W196</f>
        <v>24.48501090776703</v>
      </c>
      <c r="AA196" s="6">
        <f>U196*X196</f>
        <v>8.3452038348753674E-3</v>
      </c>
    </row>
    <row r="197" spans="11:27" x14ac:dyDescent="0.3">
      <c r="K197" s="48"/>
      <c r="O197" s="48"/>
      <c r="Q197" s="47">
        <f>noHypo2CI_1-(RDS2CLD_1*noHypo2CI_1)</f>
        <v>2.1141683406990762E-2</v>
      </c>
      <c r="R197" s="47"/>
      <c r="T197" s="80"/>
      <c r="Z197" s="42"/>
      <c r="AA197" s="6"/>
    </row>
    <row r="198" spans="11:27" x14ac:dyDescent="0.3">
      <c r="Q198" s="48">
        <f>c_cog+c_hosp_fu+c_CSG</f>
        <v>15766</v>
      </c>
      <c r="R198" s="48"/>
      <c r="T198" s="80"/>
      <c r="Z198" s="42"/>
      <c r="AA198" s="6"/>
    </row>
    <row r="199" spans="11:27" x14ac:dyDescent="0.3">
      <c r="Q199" s="19" t="s">
        <v>369</v>
      </c>
      <c r="R199" s="19"/>
      <c r="T199" s="80"/>
      <c r="U199">
        <f>$K$196*$I$185*$G$150*$E$78*$C$148*$A$103*$M$191*$O$196*Q200</f>
        <v>2.7298643634893324E-4</v>
      </c>
      <c r="V199">
        <v>2.0069045222445401E-4</v>
      </c>
      <c r="W199" s="42">
        <f>$K$197+$I$186+$G$151+$E$79+$C$149+$M$192+$O$197+Q201+$A$104</f>
        <v>93254.222758713746</v>
      </c>
      <c r="X199">
        <f>u_ChronicResp+u_CongnitiveImpairement</f>
        <v>17.805052694763283</v>
      </c>
      <c r="Z199" s="42">
        <f>U199*W199</f>
        <v>25.457137945390851</v>
      </c>
      <c r="AA199" s="6">
        <f>U199*X199</f>
        <v>4.8605378841483993E-3</v>
      </c>
    </row>
    <row r="200" spans="11:27" x14ac:dyDescent="0.3">
      <c r="Q200" s="47">
        <f>RDS2CLD_1*noHypo2CI_1</f>
        <v>1.1943893129770991E-2</v>
      </c>
      <c r="R200" s="47"/>
      <c r="T200" s="80"/>
      <c r="Z200" s="42"/>
      <c r="AA200" s="6"/>
    </row>
    <row r="201" spans="11:27" x14ac:dyDescent="0.3">
      <c r="Q201" s="48">
        <f>c_cog+c_lung+c_hosp_fu+c_CSG</f>
        <v>58348.510902399998</v>
      </c>
      <c r="R201" s="48"/>
      <c r="T201" s="80"/>
      <c r="Z201" s="42"/>
      <c r="AA201" s="6"/>
    </row>
    <row r="202" spans="11:27" x14ac:dyDescent="0.3">
      <c r="Q202" s="19" t="s">
        <v>370</v>
      </c>
      <c r="R202" s="19"/>
      <c r="T202" s="80"/>
      <c r="U202">
        <f>$K$196*$I$185*$G$150*$E$78*$C$148*$A$103*$M$191*$O$196*Q203</f>
        <v>1.4121604922507422E-2</v>
      </c>
      <c r="V202">
        <v>1.0381729275408246E-2</v>
      </c>
      <c r="W202" s="42">
        <f>$K$197+$I$186+$G$151+$E$79+$C$149+$M$192+$O$197+Q204+$A$104</f>
        <v>49308.711856313748</v>
      </c>
      <c r="X202">
        <f>u_Healthy</f>
        <v>0</v>
      </c>
      <c r="Z202" s="42">
        <f>U202*W202</f>
        <v>696.31814807262037</v>
      </c>
      <c r="AA202" s="6">
        <f>U202*X202</f>
        <v>0</v>
      </c>
    </row>
    <row r="203" spans="11:27" x14ac:dyDescent="0.3">
      <c r="Q203" s="47">
        <f>1-Q200-Q197-Q194</f>
        <v>0.61785831659300938</v>
      </c>
      <c r="R203" s="47"/>
      <c r="T203" s="80"/>
      <c r="Z203" s="42"/>
      <c r="AA203" s="6"/>
    </row>
    <row r="204" spans="11:27" x14ac:dyDescent="0.3">
      <c r="Q204" s="48">
        <f>c_clinic_fu+c_CSG</f>
        <v>14403</v>
      </c>
      <c r="R204" s="48"/>
      <c r="T204" s="80"/>
      <c r="Z204" s="42"/>
      <c r="AA204" s="6"/>
    </row>
    <row r="205" spans="11:27" x14ac:dyDescent="0.3">
      <c r="Q205" s="42"/>
      <c r="R205" s="42"/>
      <c r="T205" s="80"/>
      <c r="Z205" s="42"/>
      <c r="AA205" s="6"/>
    </row>
    <row r="206" spans="11:27" x14ac:dyDescent="0.3">
      <c r="Q206" s="19" t="s">
        <v>368</v>
      </c>
      <c r="R206" s="19"/>
      <c r="T206" s="80"/>
      <c r="U206">
        <f>$K$196*$I$185*$G$150*$E$78*$C$148*$A$103*$M$211*$O$209*Q207</f>
        <v>0</v>
      </c>
      <c r="V206">
        <v>0</v>
      </c>
      <c r="W206" s="42">
        <f>$K$197+$I$186+$G$151+$E$79+$C$149+$M$212+$O$210+Q208+$A$104</f>
        <v>61775.873010508105</v>
      </c>
      <c r="X206">
        <f>u_ChronicResp</f>
        <v>0.53465956747782661</v>
      </c>
      <c r="Z206" s="42">
        <f>U206*W206</f>
        <v>0</v>
      </c>
      <c r="AA206" s="6">
        <f>U206*X206</f>
        <v>0</v>
      </c>
    </row>
    <row r="207" spans="11:27" x14ac:dyDescent="0.3">
      <c r="Q207" s="47">
        <f>noRDS2CLD_1-(Hypo2CI_1*noRDS2CLD_1)</f>
        <v>0</v>
      </c>
      <c r="R207" s="47"/>
      <c r="T207" s="80"/>
      <c r="Z207" s="42"/>
      <c r="AA207" s="6"/>
    </row>
    <row r="208" spans="11:27" x14ac:dyDescent="0.3">
      <c r="O208" s="19" t="s">
        <v>161</v>
      </c>
      <c r="Q208" s="48">
        <f>c_lung+c_hosp_fu+c_CSG</f>
        <v>54529.510902399998</v>
      </c>
      <c r="R208" s="48"/>
      <c r="T208" s="80"/>
      <c r="Z208" s="42"/>
      <c r="AA208" s="6"/>
    </row>
    <row r="209" spans="13:27" x14ac:dyDescent="0.3">
      <c r="O209" s="47">
        <f>AGA_prem_2hypoglycaemia_1</f>
        <v>0.15</v>
      </c>
      <c r="Q209" s="19" t="s">
        <v>226</v>
      </c>
      <c r="R209" s="19"/>
      <c r="T209" s="80"/>
      <c r="U209">
        <f>$K$196*$I$185*$G$150*$E$78*$C$148*$A$103*$M$211*$O$209*Q210</f>
        <v>2.5305628933672102E-4</v>
      </c>
      <c r="V209">
        <v>1.8603847804479857E-4</v>
      </c>
      <c r="W209" s="42">
        <f>$K$197+$I$186+$G$151+$E$79+$C$149+$M$212+$O$210+Q211+$A$104</f>
        <v>23012.362108108107</v>
      </c>
      <c r="X209">
        <f>u_CongnitiveImpairement</f>
        <v>17.270393127285455</v>
      </c>
      <c r="Z209" s="42">
        <f>U209*W209</f>
        <v>5.8234229639508008</v>
      </c>
      <c r="AA209" s="6">
        <f>U209*X209</f>
        <v>4.370381600177266E-3</v>
      </c>
    </row>
    <row r="210" spans="13:27" x14ac:dyDescent="0.3">
      <c r="M210" s="19" t="s">
        <v>203</v>
      </c>
      <c r="O210" s="48">
        <f>c_hypo</f>
        <v>2936.2604000000001</v>
      </c>
      <c r="Q210" s="47">
        <f>Hypo2CI_1-(Hypo2CI_1*noRDS2CLD_1)</f>
        <v>5.1333333333333335E-2</v>
      </c>
      <c r="R210" s="47"/>
      <c r="T210" s="80"/>
      <c r="Z210" s="42"/>
      <c r="AA210" s="6"/>
    </row>
    <row r="211" spans="13:27" x14ac:dyDescent="0.3">
      <c r="M211" s="47">
        <f>S_prem_2noRDS_1</f>
        <v>0.55000000000000004</v>
      </c>
      <c r="Q211" s="48">
        <f>c_cog+c_hosp_fu+c_CSG</f>
        <v>15766</v>
      </c>
      <c r="R211" s="48"/>
      <c r="T211" s="80"/>
      <c r="Z211" s="42"/>
      <c r="AA211" s="6"/>
    </row>
    <row r="212" spans="13:27" x14ac:dyDescent="0.3">
      <c r="M212" s="48"/>
      <c r="O212" s="42"/>
      <c r="Q212" s="19" t="s">
        <v>369</v>
      </c>
      <c r="R212" s="19"/>
      <c r="T212" s="80"/>
      <c r="U212" s="42">
        <f>$K$196*$I$185*$G$150*$E$78*$C$148*$A$103*$M$211*$O$209*Q213</f>
        <v>0</v>
      </c>
      <c r="V212">
        <v>0</v>
      </c>
      <c r="W212" s="42">
        <f>$K$197+$I$186+$G$151+$E$79+$C$149+$M$212+$O$210+Q214+$A$104</f>
        <v>65594.873010508105</v>
      </c>
      <c r="X212">
        <f>u_ChronicResp+u_CongnitiveImpairement</f>
        <v>17.805052694763283</v>
      </c>
      <c r="Z212" s="42">
        <f>U212*W212</f>
        <v>0</v>
      </c>
      <c r="AA212" s="6">
        <f>U212*X212</f>
        <v>0</v>
      </c>
    </row>
    <row r="213" spans="13:27" x14ac:dyDescent="0.3">
      <c r="M213" s="42"/>
      <c r="Q213" s="47">
        <f>noRDS2CLD_1*Hypo2CI_1</f>
        <v>0</v>
      </c>
      <c r="R213" s="47"/>
      <c r="T213" s="80"/>
      <c r="V213" s="42"/>
      <c r="W213" s="42"/>
      <c r="Z213" s="42"/>
      <c r="AA213" s="6"/>
    </row>
    <row r="214" spans="13:27" x14ac:dyDescent="0.3">
      <c r="M214" s="42"/>
      <c r="Q214" s="48">
        <f>c_lung+c_cog+c_hosp_fu+c_CSG</f>
        <v>58348.510902399998</v>
      </c>
      <c r="R214" s="48"/>
      <c r="T214" s="80"/>
      <c r="Z214" s="42"/>
      <c r="AA214" s="6"/>
    </row>
    <row r="215" spans="13:27" x14ac:dyDescent="0.3">
      <c r="M215" s="42"/>
      <c r="Q215" s="19" t="s">
        <v>370</v>
      </c>
      <c r="R215" s="19"/>
      <c r="T215" s="80"/>
      <c r="U215" s="40">
        <f>$K$196*$I$185*$G$150*$E$78*$C$148*$A$103*$M$211*$O$209*Q216</f>
        <v>4.6766116847552471E-3</v>
      </c>
      <c r="V215">
        <v>3.4380877176330956E-3</v>
      </c>
      <c r="W215" s="42">
        <f>$K$197+$I$186+$G$151+$E$79+$C$149+$M$212+$O$210+Q217+$A$104</f>
        <v>21649.362108108107</v>
      </c>
      <c r="X215">
        <f>u_Healthy</f>
        <v>0</v>
      </c>
      <c r="Z215" s="42">
        <f>U215*W215</f>
        <v>101.24565980227587</v>
      </c>
      <c r="AA215" s="6">
        <f>U215*X215</f>
        <v>0</v>
      </c>
    </row>
    <row r="216" spans="13:27" x14ac:dyDescent="0.3">
      <c r="M216" s="42"/>
      <c r="O216" s="42"/>
      <c r="Q216" s="47">
        <f>1-Q213-Q210-Q207</f>
        <v>0.94866666666666666</v>
      </c>
      <c r="R216" s="47"/>
      <c r="T216" s="80"/>
      <c r="V216" s="40"/>
      <c r="Z216" s="42"/>
      <c r="AA216" s="6"/>
    </row>
    <row r="217" spans="13:27" x14ac:dyDescent="0.3">
      <c r="M217" s="42"/>
      <c r="Q217" s="48">
        <f>c_clinic_fu+c_CSG</f>
        <v>14403</v>
      </c>
      <c r="R217" s="48"/>
      <c r="T217" s="80"/>
      <c r="U217" s="40"/>
      <c r="Z217" s="42"/>
      <c r="AA217" s="6"/>
    </row>
    <row r="218" spans="13:27" x14ac:dyDescent="0.3">
      <c r="M218" s="42"/>
      <c r="Q218" s="42"/>
      <c r="R218" s="42"/>
      <c r="S218" s="96"/>
      <c r="T218" s="80"/>
      <c r="U218" s="40"/>
      <c r="V218" s="40"/>
      <c r="Z218" s="42"/>
      <c r="AA218" s="6"/>
    </row>
    <row r="219" spans="13:27" x14ac:dyDescent="0.3">
      <c r="M219" s="42"/>
      <c r="Q219" s="19" t="s">
        <v>368</v>
      </c>
      <c r="R219" s="19"/>
      <c r="T219" s="80"/>
      <c r="U219" s="40">
        <f>$K$196*$I$185*$G$150*$E$78*$C$148*$A$103*$M$211*$O$223*Q220</f>
        <v>0</v>
      </c>
      <c r="V219" s="40">
        <v>0</v>
      </c>
      <c r="W219" s="42">
        <f>$K$197+$I$186+$G$151+$E$79+$C$149+$M$212+$O$224+Q221+$A$104</f>
        <v>60868.873010508105</v>
      </c>
      <c r="X219">
        <f>u_ChronicResp</f>
        <v>0.53465956747782661</v>
      </c>
      <c r="Z219" s="42">
        <f>U219*W219</f>
        <v>0</v>
      </c>
      <c r="AA219" s="6">
        <f>U219*X219</f>
        <v>0</v>
      </c>
    </row>
    <row r="220" spans="13:27" x14ac:dyDescent="0.3">
      <c r="M220" s="42"/>
      <c r="Q220" s="47">
        <f>noRDS2CLD_1-(noRDS2CLD_1*noHypo2CI_1)</f>
        <v>0</v>
      </c>
      <c r="R220" s="47"/>
      <c r="T220" s="80"/>
      <c r="U220" s="40"/>
      <c r="V220" s="40"/>
      <c r="Z220" s="42"/>
      <c r="AA220" s="6"/>
    </row>
    <row r="221" spans="13:27" x14ac:dyDescent="0.3">
      <c r="M221" s="42"/>
      <c r="Q221" s="48">
        <f>c_lung+c_hypo+c_CSG</f>
        <v>56558.771302399997</v>
      </c>
      <c r="R221" s="48"/>
      <c r="T221" s="80"/>
      <c r="U221" s="40"/>
      <c r="V221" s="40"/>
      <c r="Z221" s="42"/>
      <c r="AA221" s="6"/>
    </row>
    <row r="222" spans="13:27" x14ac:dyDescent="0.3">
      <c r="M222" s="42"/>
      <c r="O222" s="19" t="s">
        <v>371</v>
      </c>
      <c r="Q222" s="19" t="s">
        <v>226</v>
      </c>
      <c r="R222" s="19"/>
      <c r="T222" s="80"/>
      <c r="U222" s="40">
        <f>$K$196*$I$185*$G$150*$E$78*$C$148*$A$103*$M$211*$O$223*Q223</f>
        <v>9.2423847332664402E-4</v>
      </c>
      <c r="V222" s="40">
        <v>6.7946905954724347E-4</v>
      </c>
      <c r="W222" s="42">
        <f>$K$197+$I$186+$G$151+$E$79+$C$149+$M$212+$O$224+Q224+$A$104</f>
        <v>20076.101708108108</v>
      </c>
      <c r="X222">
        <f>u_CongnitiveImpairement</f>
        <v>17.270393127285455</v>
      </c>
      <c r="Z222" s="42">
        <f>U222*W222</f>
        <v>18.555105593052268</v>
      </c>
      <c r="AA222" s="6">
        <f>U222*X222</f>
        <v>1.5961961777713276E-2</v>
      </c>
    </row>
    <row r="223" spans="13:27" x14ac:dyDescent="0.3">
      <c r="M223" s="42"/>
      <c r="O223" s="47">
        <f>AGA_prem_2normoglycaemia_1</f>
        <v>0.85</v>
      </c>
      <c r="Q223" s="47">
        <f>noHypo2CI_1</f>
        <v>3.3085576536761752E-2</v>
      </c>
      <c r="R223" s="47"/>
      <c r="T223" s="80"/>
      <c r="U223" s="40"/>
      <c r="V223" s="40"/>
      <c r="Z223" s="42"/>
      <c r="AA223" s="6"/>
    </row>
    <row r="224" spans="13:27" x14ac:dyDescent="0.3">
      <c r="M224" s="42"/>
      <c r="O224" s="48"/>
      <c r="Q224" s="48">
        <f>c_cog+c_hosp_fu+c_CSG</f>
        <v>15766</v>
      </c>
      <c r="R224" s="48"/>
      <c r="T224" s="80"/>
      <c r="U224" s="40"/>
      <c r="V224" s="40"/>
      <c r="Z224" s="42"/>
      <c r="AA224" s="6"/>
    </row>
    <row r="225" spans="7:27" x14ac:dyDescent="0.3">
      <c r="G225" s="42"/>
      <c r="M225" s="42"/>
      <c r="Q225" s="19" t="s">
        <v>369</v>
      </c>
      <c r="R225" s="19"/>
      <c r="T225" s="80"/>
      <c r="U225" s="40">
        <f>$K$196*$I$185*$G$150*$E$78*$C$148*$A$103*$M$211*$O$223*Q226</f>
        <v>0</v>
      </c>
      <c r="V225" s="40">
        <v>0</v>
      </c>
      <c r="W225" s="42">
        <f>$K$197+$I$186+$G$151+$E$79+$C$149+$M$212+$O$224+Q227+$A$104</f>
        <v>62658.612610508106</v>
      </c>
      <c r="X225">
        <f>u_ChronicResp+u_CongnitiveImpairement</f>
        <v>17.805052694763283</v>
      </c>
      <c r="Z225" s="42">
        <f>U225*W225</f>
        <v>0</v>
      </c>
      <c r="AA225" s="6">
        <f>U225*X225</f>
        <v>0</v>
      </c>
    </row>
    <row r="226" spans="7:27" x14ac:dyDescent="0.3">
      <c r="Q226" s="47">
        <f>noRDS2CLD_1*noHypo2CI_1</f>
        <v>0</v>
      </c>
      <c r="R226" s="47"/>
      <c r="T226" s="80"/>
      <c r="U226" s="40"/>
      <c r="V226" s="40"/>
      <c r="Z226" s="42"/>
      <c r="AA226" s="6"/>
    </row>
    <row r="227" spans="7:27" x14ac:dyDescent="0.3">
      <c r="Q227" s="48">
        <f>c_cog+c_lung+c_hosp_fu+c_CSG</f>
        <v>58348.510902399998</v>
      </c>
      <c r="R227" s="48"/>
      <c r="T227" s="80"/>
      <c r="U227" s="40"/>
      <c r="V227" s="40"/>
      <c r="Z227" s="42"/>
      <c r="AA227" s="6"/>
    </row>
    <row r="228" spans="7:27" x14ac:dyDescent="0.3">
      <c r="M228" s="42"/>
      <c r="Q228" s="19" t="s">
        <v>370</v>
      </c>
      <c r="R228" s="19"/>
      <c r="T228" s="80"/>
      <c r="U228" s="40">
        <f>$K$196*$I$185*$G$150*$E$78*$C$148*$A$103*$M$211*$O$223*Q229</f>
        <v>2.701054671319451E-2</v>
      </c>
      <c r="V228" s="40">
        <v>1.9857246049294158E-2</v>
      </c>
      <c r="W228" s="42">
        <f>$K$197+$I$186+$G$151+$E$79+$C$149+$M$212+$O$224+Q230+$A$104</f>
        <v>18713.101708108108</v>
      </c>
      <c r="X228">
        <f>u_Healthy</f>
        <v>0</v>
      </c>
      <c r="Z228" s="42">
        <f>U228*W228</f>
        <v>505.45110783561404</v>
      </c>
      <c r="AA228" s="6">
        <f>U228*X228</f>
        <v>0</v>
      </c>
    </row>
    <row r="229" spans="7:27" x14ac:dyDescent="0.3">
      <c r="M229" s="42"/>
      <c r="Q229" s="47">
        <f>1-Q226-Q223-Q220</f>
        <v>0.9669144234632383</v>
      </c>
      <c r="R229" s="47"/>
      <c r="T229" s="80"/>
      <c r="U229" s="40"/>
      <c r="V229" s="40"/>
      <c r="Z229" s="42"/>
      <c r="AA229" s="6"/>
    </row>
    <row r="230" spans="7:27" x14ac:dyDescent="0.3">
      <c r="M230" s="42"/>
      <c r="Q230" s="48">
        <f>c_clinic_fu+c_CSG</f>
        <v>14403</v>
      </c>
      <c r="R230" s="48"/>
      <c r="T230" s="80"/>
      <c r="U230" s="40"/>
      <c r="V230" s="40"/>
      <c r="Z230" s="42"/>
      <c r="AA230" s="6"/>
    </row>
    <row r="231" spans="7:27" x14ac:dyDescent="0.3">
      <c r="M231" s="42"/>
      <c r="Q231" s="42"/>
      <c r="R231" s="42"/>
      <c r="T231" s="80"/>
      <c r="U231" s="40"/>
      <c r="V231" s="40"/>
      <c r="Z231" s="42"/>
      <c r="AA231" s="6"/>
    </row>
    <row r="232" spans="7:27" x14ac:dyDescent="0.3">
      <c r="K232" s="19" t="s">
        <v>165</v>
      </c>
      <c r="L232" s="19"/>
      <c r="M232" s="19"/>
      <c r="N232" s="19"/>
      <c r="O232" s="19"/>
      <c r="P232" s="19"/>
      <c r="Q232" s="19"/>
      <c r="R232" s="19"/>
      <c r="T232" s="80"/>
      <c r="U232" s="40">
        <f>$K$233*$I$241*$G$265*$E$302*$C$148*$A$103</f>
        <v>2.0756892876169124E-3</v>
      </c>
      <c r="V232" s="40">
        <v>3.0954826391745775E-3</v>
      </c>
      <c r="W232" s="42">
        <f>$K$234+$I$242+$G$266+E$303+$C$149+$A$104</f>
        <v>258970.55809999997</v>
      </c>
      <c r="X232">
        <f>u_Death</f>
        <v>19.181538114427529</v>
      </c>
      <c r="Z232" s="42">
        <f>U232*W232</f>
        <v>537.54241325634314</v>
      </c>
      <c r="AA232" s="6">
        <f>U232*X232</f>
        <v>3.981491318413273E-2</v>
      </c>
    </row>
    <row r="233" spans="7:27" x14ac:dyDescent="0.3">
      <c r="K233" s="47">
        <f>SGA_term_2d_1</f>
        <v>1.1972400000000001E-2</v>
      </c>
      <c r="T233" s="80"/>
      <c r="V233" s="40"/>
      <c r="Z233" s="42"/>
      <c r="AA233" s="6"/>
    </row>
    <row r="234" spans="7:27" x14ac:dyDescent="0.3">
      <c r="K234" s="48">
        <f>c_SB</f>
        <v>1792</v>
      </c>
      <c r="T234" s="80"/>
      <c r="Z234" s="42"/>
      <c r="AA234" s="6"/>
    </row>
    <row r="235" spans="7:27" x14ac:dyDescent="0.3">
      <c r="T235" s="80"/>
      <c r="Z235" s="42"/>
      <c r="AA235" s="6"/>
    </row>
    <row r="236" spans="7:27" x14ac:dyDescent="0.3">
      <c r="Q236" s="19" t="s">
        <v>368</v>
      </c>
      <c r="R236" s="19"/>
      <c r="T236" s="80"/>
      <c r="U236" s="40">
        <f>$K$252*$I$241*$G$265*$E$302*$C$148*$A$103*$M$247*$O$242*Q237</f>
        <v>0</v>
      </c>
      <c r="W236" s="42">
        <f>$K$253+$I$242+$G$266+E$303+$C$149+$M$248+$O$243+Q238+$A$104</f>
        <v>345239.93955060566</v>
      </c>
      <c r="X236">
        <f>u_ChronicResp</f>
        <v>0.53465956747782661</v>
      </c>
      <c r="Z236" s="42">
        <f>U236*W236</f>
        <v>0</v>
      </c>
      <c r="AA236" s="6">
        <f>U236*X236</f>
        <v>0</v>
      </c>
    </row>
    <row r="237" spans="7:27" x14ac:dyDescent="0.3">
      <c r="Q237" s="47">
        <f>RDS2CLD_1-(Hypo2CI_1*RDS2CLD_1)</f>
        <v>0.34246866666666664</v>
      </c>
      <c r="R237" s="47"/>
      <c r="T237" s="80"/>
      <c r="V237" s="40">
        <v>0</v>
      </c>
      <c r="Z237" s="42"/>
      <c r="AA237" s="6"/>
    </row>
    <row r="238" spans="7:27" x14ac:dyDescent="0.3">
      <c r="Q238" s="48">
        <f>c_lung+c_hosp_fu+c_CSG</f>
        <v>54529.510902399998</v>
      </c>
      <c r="R238" s="48"/>
      <c r="T238" s="80"/>
      <c r="Z238" s="42"/>
      <c r="AA238" s="6"/>
    </row>
    <row r="239" spans="7:27" x14ac:dyDescent="0.3">
      <c r="Q239" s="19" t="s">
        <v>226</v>
      </c>
      <c r="R239" s="19"/>
      <c r="T239" s="80"/>
      <c r="U239" s="40">
        <f>$K$252*$I$241*$G$265*$E$302*$C$148*$A$103*$M$247*$O$242*Q240</f>
        <v>0</v>
      </c>
      <c r="W239" s="42">
        <f>$K$253+$I$242+$G$266+E$303+$C$149+$M$248+$O$243+Q241+$A$104</f>
        <v>306476.42864820565</v>
      </c>
      <c r="X239">
        <f>u_CongnitiveImpairement</f>
        <v>17.270393127285455</v>
      </c>
      <c r="Z239" s="42">
        <f>U239*W239</f>
        <v>0</v>
      </c>
      <c r="AA239" s="6">
        <f>U239*X239</f>
        <v>0</v>
      </c>
    </row>
    <row r="240" spans="7:27" x14ac:dyDescent="0.3">
      <c r="I240" s="19" t="s">
        <v>164</v>
      </c>
      <c r="Q240" s="47">
        <f>Hypo2CI_1-(Hypo2CI_1*RDS2CLD_1)</f>
        <v>3.2801999999999998E-2</v>
      </c>
      <c r="R240" s="47"/>
      <c r="T240" s="80"/>
      <c r="V240" s="40">
        <v>0</v>
      </c>
      <c r="Z240" s="42"/>
      <c r="AA240" s="6"/>
    </row>
    <row r="241" spans="7:27" x14ac:dyDescent="0.3">
      <c r="I241" s="47">
        <f>LBW_term_2SGA_1</f>
        <v>0.9</v>
      </c>
      <c r="O241" s="19" t="s">
        <v>161</v>
      </c>
      <c r="Q241" s="48">
        <f>c_cog+c_hosp_fu+c_CSG</f>
        <v>15766</v>
      </c>
      <c r="R241" s="48"/>
      <c r="T241" s="80"/>
      <c r="Z241" s="42"/>
      <c r="AA241" s="6"/>
    </row>
    <row r="242" spans="7:27" x14ac:dyDescent="0.3">
      <c r="I242" s="48"/>
      <c r="O242" s="47">
        <f>SGA_term_2hypoglycaemia_1</f>
        <v>0.26</v>
      </c>
      <c r="Q242" s="19" t="s">
        <v>369</v>
      </c>
      <c r="R242" s="19"/>
      <c r="T242" s="80"/>
      <c r="U242" s="40">
        <f>$K$252*$I$241*$G$265*$E$302*$C$148*$A$103*$M$247*$O$242*Q243</f>
        <v>0</v>
      </c>
      <c r="W242" s="42">
        <f>$K$253+$I$242+$G$266+E$303+$C$149+$M$248+$O$243+Q244+$A$104</f>
        <v>349058.93955060566</v>
      </c>
      <c r="X242">
        <f>u_ChronicResp+u_CongnitiveImpairement</f>
        <v>17.805052694763283</v>
      </c>
      <c r="Z242" s="42">
        <f>U242*W242</f>
        <v>0</v>
      </c>
      <c r="AA242" s="6">
        <f>U242*X242</f>
        <v>0</v>
      </c>
    </row>
    <row r="243" spans="7:27" x14ac:dyDescent="0.3">
      <c r="O243" s="48">
        <f>c_hypo</f>
        <v>2936.2604000000001</v>
      </c>
      <c r="Q243" s="47">
        <f>Hypo2CI_1*RDS2CLD_1</f>
        <v>1.8531333333333334E-2</v>
      </c>
      <c r="R243" s="47"/>
      <c r="T243" s="80"/>
      <c r="V243" s="40">
        <v>0</v>
      </c>
      <c r="Z243" s="42"/>
      <c r="AA243" s="6"/>
    </row>
    <row r="244" spans="7:27" x14ac:dyDescent="0.3">
      <c r="M244" s="42"/>
      <c r="Q244" s="48">
        <f>c_lung+c_cog+c_hosp_fu+c_CSG</f>
        <v>58348.510902399998</v>
      </c>
      <c r="R244" s="48"/>
      <c r="T244" s="80"/>
      <c r="Z244" s="42"/>
      <c r="AA244" s="6"/>
    </row>
    <row r="245" spans="7:27" x14ac:dyDescent="0.3">
      <c r="Q245" s="19" t="s">
        <v>370</v>
      </c>
      <c r="R245" s="19"/>
      <c r="T245" s="80"/>
      <c r="U245" s="40">
        <f>$K$252*$I$241*$G$265*$E$302*$C$148*$A$103*$M$247*$O$242*Q246</f>
        <v>0</v>
      </c>
      <c r="W245" s="42">
        <f>$K$253+$I$242+$G$266+E$303+$C$149+$M$248+$O$243+Q247+$A$104</f>
        <v>305113.42864820565</v>
      </c>
      <c r="X245">
        <f>u_Healthy</f>
        <v>0</v>
      </c>
      <c r="Z245" s="42">
        <f>U245*W245</f>
        <v>0</v>
      </c>
      <c r="AA245" s="6">
        <f>U245*X245</f>
        <v>0</v>
      </c>
    </row>
    <row r="246" spans="7:27" x14ac:dyDescent="0.3">
      <c r="M246" s="19" t="s">
        <v>9</v>
      </c>
      <c r="Q246" s="47">
        <f>1-Q237-Q240-Q243</f>
        <v>0.60619800000000001</v>
      </c>
      <c r="R246" s="47"/>
      <c r="T246" s="80"/>
      <c r="V246" s="40">
        <v>0</v>
      </c>
      <c r="Z246" s="42"/>
      <c r="AA246" s="6"/>
    </row>
    <row r="247" spans="7:27" x14ac:dyDescent="0.3">
      <c r="K247" s="42"/>
      <c r="M247" s="47">
        <f>S_term_2RDS_1</f>
        <v>0</v>
      </c>
      <c r="Q247" s="48">
        <f>c_clinic_fu+c_CSG</f>
        <v>14403</v>
      </c>
      <c r="R247" s="48"/>
      <c r="T247" s="80"/>
      <c r="Z247" s="42"/>
      <c r="AA247" s="6"/>
    </row>
    <row r="248" spans="7:27" x14ac:dyDescent="0.3">
      <c r="K248" s="42"/>
      <c r="M248" s="48">
        <f>c_RDS</f>
        <v>30595.610148205637</v>
      </c>
      <c r="Q248" s="42"/>
      <c r="R248" s="42"/>
      <c r="T248" s="80"/>
      <c r="Z248" s="42"/>
      <c r="AA248" s="6"/>
    </row>
    <row r="249" spans="7:27" x14ac:dyDescent="0.3">
      <c r="Q249" s="19" t="s">
        <v>368</v>
      </c>
      <c r="R249" s="19"/>
      <c r="T249" s="80"/>
      <c r="U249" s="40">
        <f>$K$252*$I$241*$G$265*$E$302*$C$148*$A$103*$M$247*$O$252*Q250</f>
        <v>0</v>
      </c>
      <c r="W249" s="42">
        <f>$K$253+$I$242+$G$266+E$303+$C$149+$M$248+$O$253+Q251+$A$104</f>
        <v>342303.67915060563</v>
      </c>
      <c r="X249">
        <f>u_ChronicResp</f>
        <v>0.53465956747782661</v>
      </c>
      <c r="Z249" s="42">
        <f>U249*W249</f>
        <v>0</v>
      </c>
      <c r="AA249" s="6">
        <f>U249*X249</f>
        <v>0</v>
      </c>
    </row>
    <row r="250" spans="7:27" x14ac:dyDescent="0.3">
      <c r="Q250" s="47">
        <f>RDS2CLD_1-(RDS2CLD_1*noHypo2CI_1)</f>
        <v>0.34905610687022898</v>
      </c>
      <c r="R250" s="47"/>
      <c r="T250" s="80"/>
      <c r="V250" s="40">
        <v>0</v>
      </c>
      <c r="Z250" s="42"/>
      <c r="AA250" s="6"/>
    </row>
    <row r="251" spans="7:27" x14ac:dyDescent="0.3">
      <c r="K251" s="19" t="s">
        <v>37</v>
      </c>
      <c r="M251" s="42"/>
      <c r="O251" s="19" t="s">
        <v>371</v>
      </c>
      <c r="Q251" s="48">
        <f>c_lung+c_hosp_fu+c_CSG</f>
        <v>54529.510902399998</v>
      </c>
      <c r="R251" s="48"/>
      <c r="T251" s="80"/>
      <c r="Z251" s="42"/>
      <c r="AA251" s="6"/>
    </row>
    <row r="252" spans="7:27" x14ac:dyDescent="0.3">
      <c r="K252" s="47">
        <f>SGA_term_2s_1</f>
        <v>0.98802760000000001</v>
      </c>
      <c r="O252" s="47">
        <f>SGA_term_2normoglycaemia_1</f>
        <v>0.74</v>
      </c>
      <c r="Q252" s="19" t="s">
        <v>226</v>
      </c>
      <c r="R252" s="19"/>
      <c r="T252" s="80"/>
      <c r="U252" s="40">
        <f>$K$252*$I$241*$G$265*$E$302*$C$148*$A$103*$M$247*$O$252*Q253</f>
        <v>0</v>
      </c>
      <c r="W252" s="42">
        <f>$K$253+$I$242+$G$266+E$303+$C$149+$M$248+$O$253+Q254+$A$104</f>
        <v>303540.16824820562</v>
      </c>
      <c r="X252">
        <f>u_CongnitiveImpairement</f>
        <v>17.270393127285455</v>
      </c>
      <c r="Z252" s="42">
        <f>U252*W252</f>
        <v>0</v>
      </c>
      <c r="AA252" s="6">
        <f>U252*X252</f>
        <v>0</v>
      </c>
    </row>
    <row r="253" spans="7:27" x14ac:dyDescent="0.3">
      <c r="K253" s="48"/>
      <c r="O253" s="48"/>
      <c r="Q253" s="47">
        <f>noHypo2CI_1-(RDS2CLD_1*noHypo2CI_1)</f>
        <v>2.1141683406990762E-2</v>
      </c>
      <c r="R253" s="47"/>
      <c r="T253" s="80"/>
      <c r="V253" s="40">
        <v>0</v>
      </c>
      <c r="Z253" s="42"/>
      <c r="AA253" s="6"/>
    </row>
    <row r="254" spans="7:27" x14ac:dyDescent="0.3">
      <c r="Q254" s="48">
        <f>c_cog+c_hosp_fu+c_CSG</f>
        <v>15766</v>
      </c>
      <c r="R254" s="48"/>
      <c r="T254" s="80"/>
      <c r="Z254" s="42"/>
      <c r="AA254" s="6"/>
    </row>
    <row r="255" spans="7:27" x14ac:dyDescent="0.3">
      <c r="Q255" s="19" t="s">
        <v>369</v>
      </c>
      <c r="R255" s="19"/>
      <c r="T255" s="80"/>
      <c r="U255" s="40">
        <f>$K$252*$I$241*$G$265*$E$302*$C$148*$A$103*$M$247*$O$252*Q256</f>
        <v>0</v>
      </c>
      <c r="W255" s="42">
        <f>$K$253+$I$242+$G$266+E$303+$C$149+$M$248+$O$253+Q257+$A$104</f>
        <v>346122.67915060563</v>
      </c>
      <c r="X255">
        <f>u_ChronicResp+u_CongnitiveImpairement</f>
        <v>17.805052694763283</v>
      </c>
      <c r="Z255" s="42">
        <f>U255*W255</f>
        <v>0</v>
      </c>
      <c r="AA255" s="6">
        <f>U255*X255</f>
        <v>0</v>
      </c>
    </row>
    <row r="256" spans="7:27" x14ac:dyDescent="0.3">
      <c r="G256" s="42"/>
      <c r="Q256" s="47">
        <f>RDS2CLD_1*noHypo2CI_1</f>
        <v>1.1943893129770991E-2</v>
      </c>
      <c r="R256" s="47"/>
      <c r="T256" s="80"/>
      <c r="U256" s="40"/>
      <c r="V256" s="40">
        <v>0</v>
      </c>
      <c r="Z256" s="42"/>
      <c r="AA256" s="6"/>
    </row>
    <row r="257" spans="7:27" x14ac:dyDescent="0.3">
      <c r="G257" s="42"/>
      <c r="Q257" s="48">
        <f>c_cog+c_lung+c_hosp_fu+c_CSG</f>
        <v>58348.510902399998</v>
      </c>
      <c r="R257" s="48"/>
      <c r="T257" s="80"/>
      <c r="V257" s="40"/>
      <c r="Z257" s="42"/>
      <c r="AA257" s="6"/>
    </row>
    <row r="258" spans="7:27" x14ac:dyDescent="0.3">
      <c r="Q258" s="19" t="s">
        <v>370</v>
      </c>
      <c r="R258" s="19"/>
      <c r="T258" s="80"/>
      <c r="U258" s="40">
        <f>$K$252*$I$241*$G$265*$E$302*$C$148*$A$103*$M$247*$O$252*Q259</f>
        <v>0</v>
      </c>
      <c r="W258" s="42">
        <f>$K$253+$I$242+$G$266+E$303+$C$149+$M$248+$O$253+Q260+$A$104</f>
        <v>302177.16824820562</v>
      </c>
      <c r="X258">
        <f>u_Healthy</f>
        <v>0</v>
      </c>
      <c r="Z258" s="42">
        <f>U258*W258</f>
        <v>0</v>
      </c>
      <c r="AA258" s="6">
        <f>U258*X258</f>
        <v>0</v>
      </c>
    </row>
    <row r="259" spans="7:27" x14ac:dyDescent="0.3">
      <c r="Q259" s="47">
        <f>1-Q256-Q253-Q250</f>
        <v>0.61785831659300938</v>
      </c>
      <c r="R259" s="47"/>
      <c r="T259" s="80"/>
      <c r="V259" s="40">
        <v>0</v>
      </c>
      <c r="Z259" s="42"/>
      <c r="AA259" s="6"/>
    </row>
    <row r="260" spans="7:27" x14ac:dyDescent="0.3">
      <c r="Q260" s="48">
        <f>c_clinic_fu+c_CSG</f>
        <v>14403</v>
      </c>
      <c r="R260" s="48"/>
      <c r="T260" s="80"/>
      <c r="Z260" s="42"/>
      <c r="AA260" s="6"/>
    </row>
    <row r="261" spans="7:27" x14ac:dyDescent="0.3">
      <c r="Q261" s="42"/>
      <c r="R261" s="42"/>
      <c r="T261" s="80"/>
      <c r="Z261" s="42"/>
      <c r="AA261" s="6"/>
    </row>
    <row r="262" spans="7:27" x14ac:dyDescent="0.3">
      <c r="Q262" s="19" t="s">
        <v>368</v>
      </c>
      <c r="R262" s="19"/>
      <c r="T262" s="80"/>
      <c r="U262" s="40">
        <f>$K$252*$I$241*$G$265*$E$302*$C$148*$A$103*$M$267*$O$265*Q263</f>
        <v>0</v>
      </c>
      <c r="W262" s="42">
        <f>$K$253+$I$242+$G$266+E$303+$C$149+$M$268+$O$266+Q264+$A$104</f>
        <v>314644.32940239995</v>
      </c>
      <c r="X262">
        <f>u_ChronicResp</f>
        <v>0.53465956747782661</v>
      </c>
      <c r="Z262" s="42">
        <f>U262*W262</f>
        <v>0</v>
      </c>
      <c r="AA262" s="6">
        <f>U262*X262</f>
        <v>0</v>
      </c>
    </row>
    <row r="263" spans="7:27" x14ac:dyDescent="0.3">
      <c r="Q263" s="47">
        <f>noRDS2CLD_1-(Hypo2CI_1*noRDS2CLD_1)</f>
        <v>0</v>
      </c>
      <c r="R263" s="47"/>
      <c r="T263" s="80"/>
      <c r="V263" s="40">
        <v>0</v>
      </c>
      <c r="Z263" s="42"/>
      <c r="AA263" s="6"/>
    </row>
    <row r="264" spans="7:27" x14ac:dyDescent="0.3">
      <c r="G264" s="19" t="s">
        <v>8</v>
      </c>
      <c r="O264" s="19" t="s">
        <v>161</v>
      </c>
      <c r="Q264" s="48">
        <f>c_lung+c_hosp_fu+c_CSG</f>
        <v>54529.510902399998</v>
      </c>
      <c r="R264" s="48"/>
      <c r="T264" s="80"/>
      <c r="Z264" s="42"/>
      <c r="AA264" s="6"/>
    </row>
    <row r="265" spans="7:27" x14ac:dyDescent="0.3">
      <c r="G265" s="47">
        <f>Term2LBW_1</f>
        <v>0.24686153846153844</v>
      </c>
      <c r="O265" s="47">
        <f>SGA_term_2hypoglycaemia_1</f>
        <v>0.26</v>
      </c>
      <c r="Q265" s="19" t="s">
        <v>226</v>
      </c>
      <c r="R265" s="19"/>
      <c r="T265" s="80"/>
      <c r="U265" s="40">
        <f>$K$252*$I$241*$G$265*$E$302*$C$148*$A$103*$M$267*$O$265*Q266</f>
        <v>2.2862463037152539E-3</v>
      </c>
      <c r="V265">
        <v>3.0885625157634445E-3</v>
      </c>
      <c r="W265" s="42">
        <f>$K$253+$I$242+$G$266+E$303+$C$149+$M$268+$O$266+Q267+$A$104</f>
        <v>275880.81849999994</v>
      </c>
      <c r="X265">
        <f>u_CongnitiveImpairement</f>
        <v>17.270393127285455</v>
      </c>
      <c r="Z265" s="42">
        <f>U265*W265</f>
        <v>630.73150156156373</v>
      </c>
      <c r="AA265" s="6">
        <f>U265*X265</f>
        <v>3.9484372450965699E-2</v>
      </c>
    </row>
    <row r="266" spans="7:27" x14ac:dyDescent="0.3">
      <c r="G266" s="48">
        <f>c_LBW</f>
        <v>254701.55809999997</v>
      </c>
      <c r="M266" s="19" t="s">
        <v>203</v>
      </c>
      <c r="O266" s="48">
        <f>c_hypo</f>
        <v>2936.2604000000001</v>
      </c>
      <c r="Q266" s="47">
        <f>Hypo2CI_1-(Hypo2CI_1*noRDS2CLD_1)</f>
        <v>5.1333333333333335E-2</v>
      </c>
      <c r="R266" s="47"/>
      <c r="T266" s="80"/>
      <c r="V266" s="40"/>
      <c r="Z266" s="42"/>
      <c r="AA266" s="6"/>
    </row>
    <row r="267" spans="7:27" x14ac:dyDescent="0.3">
      <c r="M267" s="47">
        <f>S_term_2noRDS_1</f>
        <v>1</v>
      </c>
      <c r="Q267" s="48">
        <f>c_cog+c_hosp_fu+c_CSG</f>
        <v>15766</v>
      </c>
      <c r="R267" s="48"/>
      <c r="T267" s="80"/>
      <c r="Z267" s="42"/>
      <c r="AA267" s="6"/>
    </row>
    <row r="268" spans="7:27" x14ac:dyDescent="0.3">
      <c r="M268" s="48"/>
      <c r="O268" s="42"/>
      <c r="Q268" s="19" t="s">
        <v>369</v>
      </c>
      <c r="R268" s="19"/>
      <c r="T268" s="80"/>
      <c r="U268" s="40">
        <f>$K$252*$I$241*$G$265*$E$302*$C$148*$A$103*$M$267*$O$265*Q269</f>
        <v>0</v>
      </c>
      <c r="V268">
        <v>0</v>
      </c>
      <c r="W268" s="42">
        <f>$K$253+$I$242+$G$266+E$303+$C$149+$M$268+$O$266+Q270+$A$104</f>
        <v>318463.32940239995</v>
      </c>
      <c r="X268">
        <f>u_ChronicResp+u_CongnitiveImpairement</f>
        <v>17.805052694763283</v>
      </c>
      <c r="Z268" s="42">
        <f>U268*W268</f>
        <v>0</v>
      </c>
      <c r="AA268" s="6">
        <f>U268*X268</f>
        <v>0</v>
      </c>
    </row>
    <row r="269" spans="7:27" x14ac:dyDescent="0.3">
      <c r="M269" s="42"/>
      <c r="Q269" s="47">
        <f>noRDS2CLD_1*Hypo2CI_1</f>
        <v>0</v>
      </c>
      <c r="R269" s="47"/>
      <c r="T269" s="80"/>
      <c r="V269" s="40"/>
      <c r="Z269" s="42"/>
      <c r="AA269" s="6"/>
    </row>
    <row r="270" spans="7:27" x14ac:dyDescent="0.3">
      <c r="M270" s="42"/>
      <c r="Q270" s="48">
        <f>c_lung+c_cog+c_hosp_fu+c_CSG</f>
        <v>58348.510902399998</v>
      </c>
      <c r="R270" s="48"/>
      <c r="T270" s="80"/>
      <c r="Z270" s="42"/>
      <c r="AA270" s="6"/>
    </row>
    <row r="271" spans="7:27" x14ac:dyDescent="0.3">
      <c r="M271" s="42"/>
      <c r="Q271" s="19" t="s">
        <v>370</v>
      </c>
      <c r="R271" s="19"/>
      <c r="T271" s="80"/>
      <c r="U271" s="40">
        <f>$K$252*$I$241*$G$265*$E$302*$C$148*$A$103*$M$267*$O$265*Q272</f>
        <v>4.2251019353075403E-2</v>
      </c>
      <c r="V271">
        <v>5.707823973936859E-2</v>
      </c>
      <c r="W271" s="42">
        <f>$K$253+$I$242+$G$266+E$303+$C$149+$M$268+$O$266+Q273+$A$104</f>
        <v>274517.81849999994</v>
      </c>
      <c r="X271">
        <f>u_Healthy</f>
        <v>0</v>
      </c>
      <c r="Z271" s="42">
        <f>U271*W271</f>
        <v>11598.657662207539</v>
      </c>
      <c r="AA271" s="6">
        <f>U271*X271</f>
        <v>0</v>
      </c>
    </row>
    <row r="272" spans="7:27" x14ac:dyDescent="0.3">
      <c r="M272" s="42"/>
      <c r="O272" s="42"/>
      <c r="Q272" s="47">
        <f>1-Q269-Q266-Q263</f>
        <v>0.94866666666666666</v>
      </c>
      <c r="R272" s="47"/>
      <c r="T272" s="80"/>
      <c r="V272" s="40"/>
      <c r="Z272" s="42"/>
      <c r="AA272" s="6"/>
    </row>
    <row r="273" spans="3:27" x14ac:dyDescent="0.3">
      <c r="M273" s="42"/>
      <c r="Q273" s="48">
        <f>c_clinic_fu+c_CSG</f>
        <v>14403</v>
      </c>
      <c r="R273" s="48"/>
      <c r="T273" s="80"/>
      <c r="Z273" s="42"/>
      <c r="AA273" s="6"/>
    </row>
    <row r="274" spans="3:27" x14ac:dyDescent="0.3">
      <c r="M274" s="42"/>
      <c r="Q274" s="42"/>
      <c r="R274" s="42"/>
      <c r="S274" s="96"/>
      <c r="T274" s="80"/>
      <c r="Z274" s="42"/>
      <c r="AA274" s="6"/>
    </row>
    <row r="275" spans="3:27" x14ac:dyDescent="0.3">
      <c r="M275" s="42"/>
      <c r="Q275" s="19" t="s">
        <v>368</v>
      </c>
      <c r="R275" s="19"/>
      <c r="T275" s="80"/>
      <c r="U275" s="40">
        <f>$K$252*$I$241*$G$265*$E$302*$C$148*$A$103*$M$267*$O$279*Q276</f>
        <v>0</v>
      </c>
      <c r="V275">
        <v>0</v>
      </c>
      <c r="W275" s="42">
        <f>$K$253+$I$242+$G$266+E$303+$C$149+$M$268+$O$280+Q277+$A$104</f>
        <v>313737.32940239995</v>
      </c>
      <c r="X275">
        <f>u_ChronicResp</f>
        <v>0.53465956747782661</v>
      </c>
      <c r="Z275" s="42">
        <f>U275*W275</f>
        <v>0</v>
      </c>
      <c r="AA275" s="6">
        <f>U275*X275</f>
        <v>0</v>
      </c>
    </row>
    <row r="276" spans="3:27" x14ac:dyDescent="0.3">
      <c r="M276" s="42"/>
      <c r="Q276" s="47">
        <f>noRDS2CLD_1-(noRDS2CLD_1*noHypo2CI_1)</f>
        <v>0</v>
      </c>
      <c r="R276" s="47"/>
      <c r="T276" s="80"/>
      <c r="V276" s="40"/>
      <c r="Z276" s="42"/>
      <c r="AA276" s="6"/>
    </row>
    <row r="277" spans="3:27" x14ac:dyDescent="0.3">
      <c r="M277" s="42"/>
      <c r="Q277" s="48">
        <f>c_lung+c_hypo+c_CSG</f>
        <v>56558.771302399997</v>
      </c>
      <c r="R277" s="48"/>
      <c r="T277" s="80"/>
      <c r="Z277" s="42"/>
      <c r="AA277" s="6"/>
    </row>
    <row r="278" spans="3:27" x14ac:dyDescent="0.3">
      <c r="M278" s="42"/>
      <c r="O278" s="19" t="s">
        <v>371</v>
      </c>
      <c r="Q278" s="19" t="s">
        <v>226</v>
      </c>
      <c r="R278" s="19"/>
      <c r="T278" s="80"/>
      <c r="U278" s="40">
        <f>$K$252*$I$241*$G$265*$E$302*$C$148*$A$103*$M$267*$O$279*Q279</f>
        <v>4.1939247023196928E-3</v>
      </c>
      <c r="V278">
        <v>5.6657056628016973E-3</v>
      </c>
      <c r="W278" s="42">
        <f>$K$253+$I$242+$G$266+E$303+$C$149+$M$268+$O$280+Q280+$A$104</f>
        <v>272944.55809999997</v>
      </c>
      <c r="X278">
        <f>u_CongnitiveImpairement</f>
        <v>17.270393127285455</v>
      </c>
      <c r="Z278" s="42">
        <f>U278*W278</f>
        <v>1144.7089245793225</v>
      </c>
      <c r="AA278" s="6">
        <f>U278*X278</f>
        <v>7.2430728355294724E-2</v>
      </c>
    </row>
    <row r="279" spans="3:27" x14ac:dyDescent="0.3">
      <c r="M279" s="42"/>
      <c r="O279" s="47">
        <f>SGA_term_2normoglycaemia_1</f>
        <v>0.74</v>
      </c>
      <c r="Q279" s="47">
        <f>noHypo2CI_1</f>
        <v>3.3085576536761752E-2</v>
      </c>
      <c r="R279" s="47"/>
      <c r="T279" s="80"/>
      <c r="V279" s="40"/>
      <c r="Z279" s="42"/>
      <c r="AA279" s="6"/>
    </row>
    <row r="280" spans="3:27" x14ac:dyDescent="0.3">
      <c r="M280" s="42"/>
      <c r="O280" s="48"/>
      <c r="Q280" s="48">
        <f>c_cog+c_hosp_fu+c_CSG</f>
        <v>15766</v>
      </c>
      <c r="R280" s="48"/>
      <c r="T280" s="80"/>
      <c r="Z280" s="42"/>
      <c r="AA280" s="6"/>
    </row>
    <row r="281" spans="3:27" x14ac:dyDescent="0.3">
      <c r="M281" s="42"/>
      <c r="Q281" s="19" t="s">
        <v>369</v>
      </c>
      <c r="R281" s="19"/>
      <c r="T281" s="80"/>
      <c r="U281" s="40">
        <f>$K$252*$I$241*$G$265*$E$302*$C$148*$A$103*$M$267*$O$279*Q282</f>
        <v>0</v>
      </c>
      <c r="W281" s="42">
        <f>$K$253+$I$242+$G$266+E$303+$C$149+$M$268+$O$280+Q283+$A$104</f>
        <v>315527.06900239998</v>
      </c>
      <c r="X281">
        <f>u_ChronicResp+u_CongnitiveImpairement</f>
        <v>17.805052694763283</v>
      </c>
      <c r="Z281" s="42">
        <f>U281*W281</f>
        <v>0</v>
      </c>
      <c r="AA281" s="6">
        <f>U281*X281</f>
        <v>0</v>
      </c>
    </row>
    <row r="282" spans="3:27" x14ac:dyDescent="0.3">
      <c r="M282" s="42"/>
      <c r="Q282" s="47">
        <f>noRDS2CLD_1*noHypo2CI_1</f>
        <v>0</v>
      </c>
      <c r="R282" s="47"/>
      <c r="T282" s="80"/>
      <c r="U282" s="40"/>
      <c r="V282" s="40">
        <v>0</v>
      </c>
      <c r="Z282" s="42"/>
      <c r="AA282" s="6"/>
    </row>
    <row r="283" spans="3:27" x14ac:dyDescent="0.3">
      <c r="M283" s="42"/>
      <c r="Q283" s="48">
        <f>c_cog+c_lung+c_hosp_fu+c_CSG</f>
        <v>58348.510902399998</v>
      </c>
      <c r="R283" s="48"/>
      <c r="T283" s="80"/>
      <c r="V283" s="40"/>
      <c r="Z283" s="42"/>
      <c r="AA283" s="6"/>
    </row>
    <row r="284" spans="3:27" x14ac:dyDescent="0.3">
      <c r="M284" s="42"/>
      <c r="Q284" s="19" t="s">
        <v>370</v>
      </c>
      <c r="R284" s="19"/>
      <c r="T284" s="80"/>
      <c r="U284" s="40">
        <f>$K$252*$I$241*$G$265*$E$302*$C$148*$A$103*$M$267*$O$279*Q285</f>
        <v>0.12256598524393064</v>
      </c>
      <c r="V284">
        <v>0.16557826998642022</v>
      </c>
      <c r="W284" s="42">
        <f>$K$253+$I$242+$G$266+E$303+$C$149+$M$268+$O$280+Q286+$A$104</f>
        <v>271581.55809999997</v>
      </c>
      <c r="X284">
        <f>u_Healthy</f>
        <v>0</v>
      </c>
      <c r="Z284" s="42">
        <f>U284*W284</f>
        <v>33286.661242608287</v>
      </c>
      <c r="AA284" s="6">
        <f>U284*X284</f>
        <v>0</v>
      </c>
    </row>
    <row r="285" spans="3:27" x14ac:dyDescent="0.3">
      <c r="M285" s="42"/>
      <c r="Q285" s="47">
        <f>1-Q282-Q279-Q276</f>
        <v>0.9669144234632383</v>
      </c>
      <c r="R285" s="47"/>
      <c r="T285" s="80"/>
      <c r="V285" s="40"/>
      <c r="Z285" s="42"/>
      <c r="AA285" s="6"/>
    </row>
    <row r="286" spans="3:27" x14ac:dyDescent="0.3">
      <c r="C286" s="42"/>
      <c r="M286" s="42"/>
      <c r="Q286" s="48">
        <f>c_clinic_fu+c_CSG</f>
        <v>14403</v>
      </c>
      <c r="R286" s="48"/>
      <c r="T286" s="80"/>
      <c r="Z286" s="42"/>
      <c r="AA286" s="6"/>
    </row>
    <row r="287" spans="3:27" x14ac:dyDescent="0.3">
      <c r="M287" s="42"/>
      <c r="Q287" s="42"/>
      <c r="R287" s="42"/>
      <c r="T287" s="80"/>
      <c r="Z287" s="42"/>
      <c r="AA287" s="6"/>
    </row>
    <row r="288" spans="3:27" x14ac:dyDescent="0.3">
      <c r="K288" s="19" t="s">
        <v>165</v>
      </c>
      <c r="L288" s="19"/>
      <c r="M288" s="19"/>
      <c r="N288" s="19"/>
      <c r="O288" s="19"/>
      <c r="P288" s="19"/>
      <c r="Q288" s="19"/>
      <c r="R288" s="19"/>
      <c r="T288" s="80"/>
      <c r="U288" s="40">
        <f>$K$289*$I$297*$G$265*$E$302*$C$148*$A$103</f>
        <v>1.0890962311570219E-4</v>
      </c>
      <c r="W288" s="42">
        <f>$K$290+$I$298+$G$266+E$303+$C$149+$A$104</f>
        <v>258970.55809999997</v>
      </c>
      <c r="X288">
        <f>u_Death</f>
        <v>19.181538114427529</v>
      </c>
      <c r="Z288" s="42">
        <f>U288*W288</f>
        <v>28.204385880734055</v>
      </c>
      <c r="AA288" s="6">
        <f>U288*X288</f>
        <v>2.0890540868217788E-3</v>
      </c>
    </row>
    <row r="289" spans="5:27" x14ac:dyDescent="0.3">
      <c r="K289" s="47">
        <f>AGA_term_2d_1</f>
        <v>5.6536333333333339E-3</v>
      </c>
      <c r="T289" s="80"/>
      <c r="V289" s="40">
        <v>0</v>
      </c>
      <c r="Z289" s="42"/>
      <c r="AA289" s="6"/>
    </row>
    <row r="290" spans="5:27" x14ac:dyDescent="0.3">
      <c r="K290" s="48">
        <f>c_SB</f>
        <v>1792</v>
      </c>
      <c r="T290" s="80"/>
      <c r="Z290" s="42"/>
      <c r="AA290" s="6"/>
    </row>
    <row r="291" spans="5:27" x14ac:dyDescent="0.3">
      <c r="T291" s="80"/>
      <c r="Z291" s="42"/>
      <c r="AA291" s="6"/>
    </row>
    <row r="292" spans="5:27" x14ac:dyDescent="0.3">
      <c r="Q292" s="19" t="s">
        <v>368</v>
      </c>
      <c r="R292" s="19"/>
      <c r="T292" s="80"/>
      <c r="U292" s="40">
        <f>$K$308*$I$297*$G$265*$E$302*$C$148*$A$103*$M$303*$O$298*Q293</f>
        <v>0</v>
      </c>
      <c r="W292" s="42">
        <f>$K$309+$I$298+$G$266+E$303+$C$149+$M$304+$O$299+Q294+$A$104</f>
        <v>345239.93955060566</v>
      </c>
      <c r="X292">
        <f>u_ChronicResp</f>
        <v>0.53465956747782661</v>
      </c>
      <c r="Z292" s="42">
        <f>U292*W292</f>
        <v>0</v>
      </c>
      <c r="AA292" s="6">
        <f>U292*X292</f>
        <v>0</v>
      </c>
    </row>
    <row r="293" spans="5:27" x14ac:dyDescent="0.3">
      <c r="Q293" s="47">
        <f>RDS2CLD_1-(Hypo2CI_1*RDS2CLD_1)</f>
        <v>0.34246866666666664</v>
      </c>
      <c r="R293" s="47"/>
      <c r="T293" s="80"/>
      <c r="V293" s="40">
        <v>0</v>
      </c>
      <c r="Z293" s="42"/>
      <c r="AA293" s="6"/>
    </row>
    <row r="294" spans="5:27" x14ac:dyDescent="0.3">
      <c r="Q294" s="48">
        <f>c_lung+c_hosp_fu+c_CSG</f>
        <v>54529.510902399998</v>
      </c>
      <c r="R294" s="48"/>
      <c r="T294" s="80"/>
      <c r="Z294" s="42"/>
      <c r="AA294" s="6"/>
    </row>
    <row r="295" spans="5:27" x14ac:dyDescent="0.3">
      <c r="Q295" s="19" t="s">
        <v>226</v>
      </c>
      <c r="R295" s="19"/>
      <c r="T295" s="80"/>
      <c r="U295" s="40">
        <f>$K$308*$I$297*$G$265*$E$302*$C$148*$A$103*$M$303*$O$298*Q296</f>
        <v>0</v>
      </c>
      <c r="W295" s="42">
        <f>$K$309+$I$298+$G$266+E$303+$C$149+$M$304+$O$299+Q297+$A$104</f>
        <v>306476.42864820565</v>
      </c>
      <c r="X295">
        <f>u_CongnitiveImpairement</f>
        <v>17.270393127285455</v>
      </c>
      <c r="Z295" s="42">
        <f>U295*W295</f>
        <v>0</v>
      </c>
      <c r="AA295" s="6">
        <f>U295*X295</f>
        <v>0</v>
      </c>
    </row>
    <row r="296" spans="5:27" x14ac:dyDescent="0.3">
      <c r="I296" s="19" t="s">
        <v>425</v>
      </c>
      <c r="Q296" s="47">
        <f>Hypo2CI_1-(Hypo2CI_1*RDS2CLD_1)</f>
        <v>3.2801999999999998E-2</v>
      </c>
      <c r="R296" s="47"/>
      <c r="T296" s="80"/>
      <c r="V296" s="40">
        <v>0</v>
      </c>
      <c r="Z296" s="42"/>
      <c r="AA296" s="6"/>
    </row>
    <row r="297" spans="5:27" x14ac:dyDescent="0.3">
      <c r="I297" s="47">
        <f>LBW_term_2AGA_1</f>
        <v>9.9999999999999978E-2</v>
      </c>
      <c r="O297" s="19" t="s">
        <v>161</v>
      </c>
      <c r="Q297" s="48">
        <f>c_cog+c_hosp_fu+c_CSG</f>
        <v>15766</v>
      </c>
      <c r="R297" s="48"/>
      <c r="T297" s="80"/>
      <c r="Z297" s="42"/>
      <c r="AA297" s="6"/>
    </row>
    <row r="298" spans="5:27" x14ac:dyDescent="0.3">
      <c r="I298" s="48"/>
      <c r="O298" s="47">
        <f>AGA_term_2hypoglycaemia_1</f>
        <v>0</v>
      </c>
      <c r="Q298" s="19" t="s">
        <v>369</v>
      </c>
      <c r="R298" s="19"/>
      <c r="T298" s="80"/>
      <c r="U298" s="40">
        <f>$K$308*$I$297*$G$265*$E$302*$C$148*$A$103*$M$303*$O$298*Q299</f>
        <v>0</v>
      </c>
      <c r="W298" s="42">
        <f>$K$309+$I$298+$G$266+E$303+$C$149+$M$304+$O$299+Q300+$A$104</f>
        <v>349058.93955060566</v>
      </c>
      <c r="X298">
        <f>u_ChronicResp+u_CongnitiveImpairement</f>
        <v>17.805052694763283</v>
      </c>
      <c r="Z298" s="42">
        <f>U298*W298</f>
        <v>0</v>
      </c>
      <c r="AA298" s="6">
        <f>U298*X298</f>
        <v>0</v>
      </c>
    </row>
    <row r="299" spans="5:27" x14ac:dyDescent="0.3">
      <c r="O299" s="48">
        <f>c_hypo</f>
        <v>2936.2604000000001</v>
      </c>
      <c r="Q299" s="47">
        <f>Hypo2CI_3*RDS2CLD_3</f>
        <v>1.8531333333333334E-2</v>
      </c>
      <c r="R299" s="47"/>
      <c r="T299" s="80"/>
      <c r="V299" s="40">
        <v>0</v>
      </c>
      <c r="Z299" s="42"/>
      <c r="AA299" s="6"/>
    </row>
    <row r="300" spans="5:27" x14ac:dyDescent="0.3">
      <c r="M300" s="42"/>
      <c r="Q300" s="48">
        <f>c_lung+c_cog+c_hosp_fu+c_CSG</f>
        <v>58348.510902399998</v>
      </c>
      <c r="R300" s="48"/>
      <c r="T300" s="80"/>
      <c r="Z300" s="42"/>
      <c r="AA300" s="6"/>
    </row>
    <row r="301" spans="5:27" x14ac:dyDescent="0.3">
      <c r="E301" s="19" t="s">
        <v>11</v>
      </c>
      <c r="Q301" s="19" t="s">
        <v>370</v>
      </c>
      <c r="R301" s="19"/>
      <c r="T301" s="80"/>
      <c r="U301" s="40">
        <f>$K$308*$I$297*$G$265*$E$302*$C$148*$A$103*$M$303*$O$298*Q302</f>
        <v>0</v>
      </c>
      <c r="W301" s="42">
        <f>$K$309+$I$298+$G$266+E$303+$C$149+$M$304+$O$299+Q303+$A$104</f>
        <v>305113.42864820565</v>
      </c>
      <c r="X301">
        <f>u_Healthy</f>
        <v>0</v>
      </c>
      <c r="Z301" s="42">
        <f>U301*W301</f>
        <v>0</v>
      </c>
      <c r="AA301" s="6">
        <f>U301*X301</f>
        <v>0</v>
      </c>
    </row>
    <row r="302" spans="5:27" x14ac:dyDescent="0.3">
      <c r="E302" s="47">
        <f>LB2term_1</f>
        <v>0.86713851761846905</v>
      </c>
      <c r="F302">
        <f>LB2term_3</f>
        <v>0.82518226002430128</v>
      </c>
      <c r="G302" t="b">
        <f>F302=E302</f>
        <v>0</v>
      </c>
      <c r="M302" s="19" t="s">
        <v>9</v>
      </c>
      <c r="Q302" s="47">
        <f>1-Q293-Q296-Q299</f>
        <v>0.60619800000000001</v>
      </c>
      <c r="R302" s="47"/>
      <c r="T302" s="80"/>
      <c r="V302" s="40">
        <v>0</v>
      </c>
      <c r="Z302" s="42"/>
      <c r="AA302" s="6"/>
    </row>
    <row r="303" spans="5:27" x14ac:dyDescent="0.3">
      <c r="E303" s="48"/>
      <c r="K303" s="42"/>
      <c r="M303" s="47">
        <f>S_term_2RDS_1</f>
        <v>0</v>
      </c>
      <c r="Q303" s="48">
        <f>c_clinic_fu+c_CSG</f>
        <v>14403</v>
      </c>
      <c r="R303" s="48"/>
      <c r="T303" s="80"/>
      <c r="Z303" s="42"/>
      <c r="AA303" s="6"/>
    </row>
    <row r="304" spans="5:27" x14ac:dyDescent="0.3">
      <c r="K304" s="42"/>
      <c r="M304" s="48">
        <f>c_RDS</f>
        <v>30595.610148205637</v>
      </c>
      <c r="Q304" s="42"/>
      <c r="R304" s="42"/>
      <c r="T304" s="80"/>
      <c r="Z304" s="42"/>
      <c r="AA304" s="6"/>
    </row>
    <row r="305" spans="11:27" x14ac:dyDescent="0.3">
      <c r="Q305" s="19" t="s">
        <v>368</v>
      </c>
      <c r="R305" s="19"/>
      <c r="T305" s="80"/>
      <c r="U305" s="40">
        <f>$K$308*$I$297*$G$265*$E$302*$C$148*$A$103*$M$303*$O$308*Q306</f>
        <v>0</v>
      </c>
      <c r="W305" s="42">
        <f>$K$309+$I$298+$G$266+E$303+$C$149+$M$304+$O$309+Q307+$A$104</f>
        <v>342303.67915060563</v>
      </c>
      <c r="X305">
        <f>u_ChronicResp</f>
        <v>0.53465956747782661</v>
      </c>
      <c r="Z305" s="42">
        <f>U305*W305</f>
        <v>0</v>
      </c>
      <c r="AA305" s="6">
        <f>U305*X305</f>
        <v>0</v>
      </c>
    </row>
    <row r="306" spans="11:27" x14ac:dyDescent="0.3">
      <c r="Q306" s="47">
        <f>RDS2CLD_1-(RDS2CLD_1*noHypo2CI_1)</f>
        <v>0.34905610687022898</v>
      </c>
      <c r="R306" s="47"/>
      <c r="T306" s="80"/>
      <c r="V306" s="40">
        <v>0</v>
      </c>
      <c r="Z306" s="42"/>
      <c r="AA306" s="6"/>
    </row>
    <row r="307" spans="11:27" x14ac:dyDescent="0.3">
      <c r="K307" s="19" t="s">
        <v>37</v>
      </c>
      <c r="M307" s="42"/>
      <c r="O307" s="19" t="s">
        <v>371</v>
      </c>
      <c r="Q307" s="48">
        <f>c_lung+c_hosp_fu+c_CSG</f>
        <v>54529.510902399998</v>
      </c>
      <c r="R307" s="48"/>
      <c r="T307" s="80"/>
      <c r="Z307" s="42"/>
      <c r="AA307" s="6"/>
    </row>
    <row r="308" spans="11:27" x14ac:dyDescent="0.3">
      <c r="K308" s="47">
        <f>AGA_term_2s_1</f>
        <v>0.99434636666666665</v>
      </c>
      <c r="O308" s="47">
        <f>AGA_term_2normoglycaemia_1</f>
        <v>1</v>
      </c>
      <c r="Q308" s="19" t="s">
        <v>226</v>
      </c>
      <c r="R308" s="19"/>
      <c r="T308" s="80"/>
      <c r="U308" s="40">
        <f>$K$308*$I$297*$G$265*$E$302*$C$148*$A$103*$M$303*$O$308*Q309</f>
        <v>0</v>
      </c>
      <c r="W308" s="42">
        <f>$K$309+$I$298+$G$266+E$303+$C$149+$M$304+$O$309+Q310+$A$104</f>
        <v>303540.16824820562</v>
      </c>
      <c r="X308">
        <f>u_CongnitiveImpairement</f>
        <v>17.270393127285455</v>
      </c>
      <c r="Z308" s="42">
        <f>U308*W308</f>
        <v>0</v>
      </c>
      <c r="AA308" s="6">
        <f>U308*X308</f>
        <v>0</v>
      </c>
    </row>
    <row r="309" spans="11:27" x14ac:dyDescent="0.3">
      <c r="K309" s="48"/>
      <c r="O309" s="48"/>
      <c r="Q309" s="47">
        <f>noHypo2CI_1-(RDS2CLD_1*noHypo2CI_1)</f>
        <v>2.1141683406990762E-2</v>
      </c>
      <c r="R309" s="47"/>
      <c r="T309" s="80"/>
      <c r="V309" s="40">
        <v>0</v>
      </c>
      <c r="Z309" s="42"/>
      <c r="AA309" s="6"/>
    </row>
    <row r="310" spans="11:27" x14ac:dyDescent="0.3">
      <c r="Q310" s="48">
        <f>c_cog+c_hosp_fu+c_CSG</f>
        <v>15766</v>
      </c>
      <c r="R310" s="48"/>
      <c r="T310" s="80"/>
      <c r="Z310" s="42"/>
      <c r="AA310" s="6"/>
    </row>
    <row r="311" spans="11:27" x14ac:dyDescent="0.3">
      <c r="Q311" s="19" t="s">
        <v>369</v>
      </c>
      <c r="R311" s="19"/>
      <c r="T311" s="80"/>
      <c r="U311" s="40">
        <f>$K$308*$I$297*$G$265*$E$302*$C$148*$A$103*$M$303*$O$308*Q312</f>
        <v>0</v>
      </c>
      <c r="W311" s="42">
        <f>$K$309+$I$298+$G$266+E$303+$C$149+$M$304+$O$309+Q313+$A$104</f>
        <v>346122.67915060563</v>
      </c>
      <c r="X311">
        <f>u_ChronicResp+u_CongnitiveImpairement</f>
        <v>17.805052694763283</v>
      </c>
      <c r="Z311" s="42">
        <f>U311*W311</f>
        <v>0</v>
      </c>
      <c r="AA311" s="6">
        <f>U311*X311</f>
        <v>0</v>
      </c>
    </row>
    <row r="312" spans="11:27" x14ac:dyDescent="0.3">
      <c r="Q312" s="47">
        <f>RDS2CLD_1*noHypo2CI_1</f>
        <v>1.1943893129770991E-2</v>
      </c>
      <c r="R312" s="47"/>
      <c r="T312" s="80"/>
      <c r="V312" s="40">
        <v>0</v>
      </c>
      <c r="Z312" s="42"/>
      <c r="AA312" s="6"/>
    </row>
    <row r="313" spans="11:27" x14ac:dyDescent="0.3">
      <c r="Q313" s="48">
        <f>c_cog+c_lung+c_hosp_fu+c_CSG</f>
        <v>58348.510902399998</v>
      </c>
      <c r="R313" s="48"/>
      <c r="T313" s="80"/>
      <c r="Z313" s="42"/>
      <c r="AA313" s="6"/>
    </row>
    <row r="314" spans="11:27" x14ac:dyDescent="0.3">
      <c r="Q314" s="19" t="s">
        <v>370</v>
      </c>
      <c r="R314" s="19"/>
      <c r="T314" s="80"/>
      <c r="U314" s="40">
        <f>$K$308*$I$297*$G$265*$E$302*$C$148*$A$103*$M$303*$O$308*Q315</f>
        <v>0</v>
      </c>
      <c r="W314" s="42">
        <f>$K$309+$I$298+$G$266+E$303+$C$149+$M$304+$O$309+Q316+$A$104</f>
        <v>302177.16824820562</v>
      </c>
      <c r="X314">
        <f>u_Healthy</f>
        <v>0</v>
      </c>
      <c r="Z314" s="42">
        <f>U314*W314</f>
        <v>0</v>
      </c>
      <c r="AA314" s="6">
        <f>U314*X314</f>
        <v>0</v>
      </c>
    </row>
    <row r="315" spans="11:27" x14ac:dyDescent="0.3">
      <c r="Q315" s="47">
        <f>1-Q312-Q309-Q306</f>
        <v>0.61785831659300938</v>
      </c>
      <c r="R315" s="47"/>
      <c r="T315" s="80"/>
      <c r="V315" s="40">
        <v>0</v>
      </c>
      <c r="Z315" s="42"/>
      <c r="AA315" s="6"/>
    </row>
    <row r="316" spans="11:27" x14ac:dyDescent="0.3">
      <c r="Q316" s="48">
        <f>c_clinic_fu+c_CSG</f>
        <v>14403</v>
      </c>
      <c r="R316" s="48"/>
      <c r="T316" s="80"/>
      <c r="Z316" s="42"/>
      <c r="AA316" s="6"/>
    </row>
    <row r="317" spans="11:27" x14ac:dyDescent="0.3">
      <c r="Q317" s="42"/>
      <c r="R317" s="42"/>
      <c r="T317" s="80"/>
      <c r="Z317" s="42"/>
      <c r="AA317" s="6"/>
    </row>
    <row r="318" spans="11:27" x14ac:dyDescent="0.3">
      <c r="Q318" s="19" t="s">
        <v>368</v>
      </c>
      <c r="R318" s="19"/>
      <c r="T318" s="80"/>
      <c r="U318" s="40">
        <f>$K$308*$I$297*$G$265*$E$302*$C$148*$A$103*$M$323*$O$321*Q319</f>
        <v>0</v>
      </c>
      <c r="W318" s="42">
        <f>$K$309+$I$298+$G$266+E$303+$C$149+$M$324+$O$322+Q320+$A$104</f>
        <v>314644.32940239995</v>
      </c>
      <c r="X318">
        <f>u_ChronicResp</f>
        <v>0.53465956747782661</v>
      </c>
      <c r="Z318" s="42">
        <f>U318*W318</f>
        <v>0</v>
      </c>
      <c r="AA318" s="6">
        <f>U318*X318</f>
        <v>0</v>
      </c>
    </row>
    <row r="319" spans="11:27" x14ac:dyDescent="0.3">
      <c r="Q319" s="47">
        <f>noRDS2CLD_1-(Hypo2CI_1*noRDS2CLD_1)</f>
        <v>0</v>
      </c>
      <c r="R319" s="47"/>
      <c r="T319" s="80"/>
      <c r="V319" s="40">
        <v>0</v>
      </c>
      <c r="Z319" s="42"/>
      <c r="AA319" s="6"/>
    </row>
    <row r="320" spans="11:27" x14ac:dyDescent="0.3">
      <c r="O320" s="19" t="s">
        <v>161</v>
      </c>
      <c r="Q320" s="48">
        <f>c_lung+c_hosp_fu+c_CSG</f>
        <v>54529.510902399998</v>
      </c>
      <c r="R320" s="48"/>
      <c r="T320" s="80"/>
      <c r="Z320" s="42"/>
      <c r="AA320" s="6"/>
    </row>
    <row r="321" spans="13:27" x14ac:dyDescent="0.3">
      <c r="O321" s="47">
        <f>AGA_term_2hypoglycaemia_1</f>
        <v>0</v>
      </c>
      <c r="Q321" s="19" t="s">
        <v>226</v>
      </c>
      <c r="R321" s="19"/>
      <c r="T321" s="80"/>
      <c r="U321" s="40">
        <f>$K$308*$I$297*$G$265*$E$302*$C$148*$A$103*$M$323*$O$321*Q322</f>
        <v>0</v>
      </c>
      <c r="W321" s="42">
        <f>$K$309+$I$298+$G$266+E$303+$C$149+$M$324+$O$322+Q323+$A$104</f>
        <v>275880.81849999994</v>
      </c>
      <c r="X321">
        <f>u_CongnitiveImpairement</f>
        <v>17.270393127285455</v>
      </c>
      <c r="Z321" s="42">
        <f>U321*W321</f>
        <v>0</v>
      </c>
      <c r="AA321" s="6">
        <f>U321*X321</f>
        <v>0</v>
      </c>
    </row>
    <row r="322" spans="13:27" x14ac:dyDescent="0.3">
      <c r="M322" s="19" t="s">
        <v>203</v>
      </c>
      <c r="O322" s="48">
        <f>c_hypo</f>
        <v>2936.2604000000001</v>
      </c>
      <c r="Q322" s="47">
        <f>Hypo2CI_1-(Hypo2CI_1*noRDS2CLD_1)</f>
        <v>5.1333333333333335E-2</v>
      </c>
      <c r="R322" s="47"/>
      <c r="T322" s="80"/>
      <c r="V322" s="40">
        <v>0</v>
      </c>
      <c r="Z322" s="42"/>
      <c r="AA322" s="6"/>
    </row>
    <row r="323" spans="13:27" x14ac:dyDescent="0.3">
      <c r="M323" s="47">
        <f>S_term_2noRDS_1</f>
        <v>1</v>
      </c>
      <c r="Q323" s="48">
        <f>c_cog+c_hosp_fu+c_CSG</f>
        <v>15766</v>
      </c>
      <c r="R323" s="48"/>
      <c r="T323" s="80"/>
      <c r="Z323" s="42"/>
      <c r="AA323" s="6"/>
    </row>
    <row r="324" spans="13:27" x14ac:dyDescent="0.3">
      <c r="M324" s="48"/>
      <c r="O324" s="42"/>
      <c r="Q324" s="19" t="s">
        <v>369</v>
      </c>
      <c r="R324" s="19"/>
      <c r="T324" s="80"/>
      <c r="U324" s="40">
        <f>$K$308*$I$297*$G$265*$E$302*$C$148*$A$103*$M$323*$O$321*Q325</f>
        <v>0</v>
      </c>
      <c r="W324" s="42">
        <f>$K$309+$I$298+$G$266+E$303+$C$149+$M$324+$O$322+Q326+$A$104</f>
        <v>318463.32940239995</v>
      </c>
      <c r="X324">
        <f>u_ChronicResp+u_CongnitiveImpairement</f>
        <v>17.805052694763283</v>
      </c>
      <c r="Z324" s="42">
        <f>U324*W324</f>
        <v>0</v>
      </c>
      <c r="AA324" s="6">
        <f>U324*X324</f>
        <v>0</v>
      </c>
    </row>
    <row r="325" spans="13:27" x14ac:dyDescent="0.3">
      <c r="M325" s="42"/>
      <c r="Q325" s="47">
        <f>noRDS2CLD_1*Hypo2CI_1</f>
        <v>0</v>
      </c>
      <c r="R325" s="47"/>
      <c r="T325" s="80"/>
      <c r="V325" s="40">
        <v>0</v>
      </c>
      <c r="Z325" s="42"/>
      <c r="AA325" s="6"/>
    </row>
    <row r="326" spans="13:27" x14ac:dyDescent="0.3">
      <c r="M326" s="42"/>
      <c r="Q326" s="48">
        <f>c_lung+c_cog+c_hosp_fu+c_CSG</f>
        <v>58348.510902399998</v>
      </c>
      <c r="R326" s="48"/>
      <c r="T326" s="80"/>
      <c r="Z326" s="42"/>
      <c r="AA326" s="6"/>
    </row>
    <row r="327" spans="13:27" x14ac:dyDescent="0.3">
      <c r="M327" s="42"/>
      <c r="Q327" s="19" t="s">
        <v>370</v>
      </c>
      <c r="R327" s="19"/>
      <c r="T327" s="80"/>
      <c r="U327" s="40">
        <f>$K$308*$I$297*$G$265*$E$302*$C$148*$A$103*$M$323*$O$321*Q328</f>
        <v>0</v>
      </c>
      <c r="W327" s="42">
        <f>$K$309+$I$298+$G$266+E$303+$C$149+$M$324+$O$322+Q329+$A$104</f>
        <v>274517.81849999994</v>
      </c>
      <c r="X327">
        <f>u_Healthy</f>
        <v>0</v>
      </c>
      <c r="Z327" s="42">
        <f>U327*W327</f>
        <v>0</v>
      </c>
      <c r="AA327" s="6">
        <f>U327*X327</f>
        <v>0</v>
      </c>
    </row>
    <row r="328" spans="13:27" x14ac:dyDescent="0.3">
      <c r="M328" s="42"/>
      <c r="O328" s="42"/>
      <c r="Q328" s="47">
        <f>1-Q325-Q322-Q319</f>
        <v>0.94866666666666666</v>
      </c>
      <c r="R328" s="47"/>
      <c r="T328" s="80"/>
      <c r="V328" s="40">
        <v>0</v>
      </c>
      <c r="Z328" s="42"/>
      <c r="AA328" s="6"/>
    </row>
    <row r="329" spans="13:27" x14ac:dyDescent="0.3">
      <c r="M329" s="42"/>
      <c r="Q329" s="48">
        <f>c_clinic_fu+c_CSG</f>
        <v>14403</v>
      </c>
      <c r="R329" s="48"/>
      <c r="T329" s="80"/>
      <c r="Z329" s="42"/>
      <c r="AA329" s="6"/>
    </row>
    <row r="330" spans="13:27" x14ac:dyDescent="0.3">
      <c r="M330" s="42"/>
      <c r="Q330" s="42"/>
      <c r="R330" s="42"/>
      <c r="S330" s="96"/>
      <c r="T330" s="80"/>
      <c r="Z330" s="42"/>
      <c r="AA330" s="6"/>
    </row>
    <row r="331" spans="13:27" x14ac:dyDescent="0.3">
      <c r="M331" s="42"/>
      <c r="Q331" s="19" t="s">
        <v>368</v>
      </c>
      <c r="R331" s="19"/>
      <c r="T331" s="80"/>
      <c r="U331" s="40">
        <f>$K$308*$I$297*$G$265*$E$302*$C$148*$A$103*$M$323*$O$335*Q332</f>
        <v>0</v>
      </c>
      <c r="W331" s="42">
        <f>$K$309+$I$298+$G$266+E$303+$C$149+$M$324+$O$336+Q333+$A$104</f>
        <v>313737.32940239995</v>
      </c>
      <c r="X331">
        <f>u_ChronicResp</f>
        <v>0.53465956747782661</v>
      </c>
      <c r="Z331" s="42">
        <f>U331*W331</f>
        <v>0</v>
      </c>
      <c r="AA331" s="6">
        <f>U331*X331</f>
        <v>0</v>
      </c>
    </row>
    <row r="332" spans="13:27" x14ac:dyDescent="0.3">
      <c r="M332" s="42"/>
      <c r="Q332" s="47">
        <f>noRDS2CLD_1-(noRDS2CLD_1*noHypo2CI_1)</f>
        <v>0</v>
      </c>
      <c r="R332" s="47"/>
      <c r="T332" s="80"/>
      <c r="V332" s="40">
        <v>0</v>
      </c>
      <c r="Z332" s="42"/>
      <c r="AA332" s="6"/>
    </row>
    <row r="333" spans="13:27" x14ac:dyDescent="0.3">
      <c r="M333" s="42"/>
      <c r="Q333" s="48">
        <f>c_lung+c_hypo+c_CSG</f>
        <v>56558.771302399997</v>
      </c>
      <c r="R333" s="48"/>
      <c r="T333" s="80"/>
      <c r="Z333" s="42"/>
      <c r="AA333" s="6"/>
    </row>
    <row r="334" spans="13:27" x14ac:dyDescent="0.3">
      <c r="M334" s="42"/>
      <c r="O334" s="19" t="s">
        <v>371</v>
      </c>
      <c r="Q334" s="19" t="s">
        <v>226</v>
      </c>
      <c r="R334" s="19"/>
      <c r="T334" s="80"/>
      <c r="U334" s="40">
        <f>$K$308*$I$297*$G$265*$E$302*$C$148*$A$103*$M$323*$O$335*Q335</f>
        <v>6.3374568352187279E-4</v>
      </c>
      <c r="W334" s="42">
        <f>$K$309+$I$298+$G$266+E$303+$C$149+$M$324+$O$336+Q336+$A$104</f>
        <v>272944.55809999997</v>
      </c>
      <c r="X334">
        <f>u_CongnitiveImpairement</f>
        <v>17.270393127285455</v>
      </c>
      <c r="Z334" s="42">
        <f>U334*W334</f>
        <v>172.97743553666001</v>
      </c>
      <c r="AA334" s="6">
        <f>U334*X334</f>
        <v>1.0945037097142975E-2</v>
      </c>
    </row>
    <row r="335" spans="13:27" x14ac:dyDescent="0.3">
      <c r="M335" s="42"/>
      <c r="O335" s="47">
        <f>AGA_term_2normoglycaemia_1</f>
        <v>1</v>
      </c>
      <c r="Q335" s="47">
        <f>noHypo2CI_1</f>
        <v>3.3085576536761752E-2</v>
      </c>
      <c r="R335" s="47"/>
      <c r="T335" s="80"/>
      <c r="V335" s="40">
        <v>0</v>
      </c>
      <c r="Z335" s="42"/>
      <c r="AA335" s="6"/>
    </row>
    <row r="336" spans="13:27" x14ac:dyDescent="0.3">
      <c r="M336" s="42"/>
      <c r="O336" s="48"/>
      <c r="Q336" s="48">
        <f>c_cog+c_hosp_fu+c_CSG</f>
        <v>15766</v>
      </c>
      <c r="R336" s="48"/>
      <c r="T336" s="80"/>
      <c r="Z336" s="42"/>
      <c r="AA336" s="6"/>
    </row>
    <row r="337" spans="9:27" x14ac:dyDescent="0.3">
      <c r="M337" s="42"/>
      <c r="Q337" s="19" t="s">
        <v>369</v>
      </c>
      <c r="R337" s="19"/>
      <c r="T337" s="80"/>
      <c r="U337" s="40">
        <f>$K$308*$I$297*$G$265*$E$302*$C$148*$A$103*$M$323*$O$335*Q338</f>
        <v>0</v>
      </c>
      <c r="W337" s="42">
        <f>$K$309+$I$298+$G$266+E$303+$C$149+$M$324+$O$336+Q339+$A$104</f>
        <v>315527.06900239998</v>
      </c>
      <c r="X337">
        <f>u_ChronicResp+u_CongnitiveImpairement</f>
        <v>17.805052694763283</v>
      </c>
      <c r="Z337" s="42">
        <f>U337*W337</f>
        <v>0</v>
      </c>
      <c r="AA337" s="6">
        <f>U337*X337</f>
        <v>0</v>
      </c>
    </row>
    <row r="338" spans="9:27" x14ac:dyDescent="0.3">
      <c r="Q338" s="47">
        <f>noRDS2CLD_1*noHypo2CI_1</f>
        <v>0</v>
      </c>
      <c r="R338" s="47"/>
      <c r="T338" s="80"/>
      <c r="V338" s="40">
        <v>0</v>
      </c>
      <c r="Z338" s="42"/>
      <c r="AA338" s="6"/>
    </row>
    <row r="339" spans="9:27" x14ac:dyDescent="0.3">
      <c r="Q339" s="48">
        <f>c_cog+c_lung+c_hosp_fu+c_CSG</f>
        <v>58348.510902399998</v>
      </c>
      <c r="R339" s="48"/>
      <c r="T339" s="80"/>
      <c r="Z339" s="42"/>
      <c r="AA339" s="6"/>
    </row>
    <row r="340" spans="9:27" x14ac:dyDescent="0.3">
      <c r="M340" s="42"/>
      <c r="Q340" s="19" t="s">
        <v>370</v>
      </c>
      <c r="R340" s="19"/>
      <c r="T340" s="80"/>
      <c r="U340" s="40">
        <f>$K$308*$I$297*$G$265*$E$302*$C$148*$A$103*$M$323*$O$335*Q341</f>
        <v>1.8520996347879966E-2</v>
      </c>
      <c r="W340" s="42">
        <f>$K$309+$I$298+$G$266+E$303+$C$149+$M$324+$O$336+Q342+$A$104</f>
        <v>271581.55809999997</v>
      </c>
      <c r="X340">
        <f>u_Healthy</f>
        <v>0</v>
      </c>
      <c r="Z340" s="42">
        <f>U340*W340</f>
        <v>5029.9610457216504</v>
      </c>
      <c r="AA340" s="6">
        <f>U340*X340</f>
        <v>0</v>
      </c>
    </row>
    <row r="341" spans="9:27" x14ac:dyDescent="0.3">
      <c r="M341" s="42"/>
      <c r="Q341" s="47">
        <f>1-Q338-Q335-Q332</f>
        <v>0.9669144234632383</v>
      </c>
      <c r="R341" s="47"/>
      <c r="T341" s="80"/>
      <c r="V341" s="40">
        <v>0</v>
      </c>
      <c r="Z341" s="42"/>
      <c r="AA341" s="6"/>
    </row>
    <row r="342" spans="9:27" x14ac:dyDescent="0.3">
      <c r="M342" s="42"/>
      <c r="Q342" s="48">
        <f>c_clinic_fu+c_CSG</f>
        <v>14403</v>
      </c>
      <c r="R342" s="48"/>
      <c r="T342" s="80"/>
      <c r="Z342" s="42"/>
      <c r="AA342" s="6"/>
    </row>
    <row r="343" spans="9:27" x14ac:dyDescent="0.3">
      <c r="M343" s="42"/>
      <c r="Q343" s="42"/>
      <c r="R343" s="42"/>
      <c r="T343" s="80"/>
      <c r="Z343" s="42"/>
      <c r="AA343" s="6"/>
    </row>
    <row r="344" spans="9:27" x14ac:dyDescent="0.3">
      <c r="K344" s="19" t="s">
        <v>165</v>
      </c>
      <c r="L344" s="19"/>
      <c r="M344" s="19"/>
      <c r="N344" s="19"/>
      <c r="O344" s="19"/>
      <c r="P344" s="19"/>
      <c r="Q344" s="19"/>
      <c r="R344" s="19"/>
      <c r="T344" s="80"/>
      <c r="U344">
        <f>$K$345*$I$353*$G$374*$E$302*$C$148*$A$103</f>
        <v>1.2029225505644379E-3</v>
      </c>
      <c r="V344">
        <v>1.1031630754367548E-3</v>
      </c>
      <c r="W344" s="42">
        <f>$K$346+$I$354+$G$375+$E$303+$C$149+$A$104</f>
        <v>5524.2</v>
      </c>
      <c r="X344">
        <f>u_Death</f>
        <v>19.181538114427529</v>
      </c>
      <c r="Z344" s="42">
        <f>U344*W344</f>
        <v>6.6451847538280679</v>
      </c>
      <c r="AA344" s="6">
        <f>U344*X344</f>
        <v>2.3073904752356142E-2</v>
      </c>
    </row>
    <row r="345" spans="9:27" x14ac:dyDescent="0.3">
      <c r="K345" s="47">
        <f>SGA_term_2d_1</f>
        <v>1.1972400000000001E-2</v>
      </c>
      <c r="T345" s="80"/>
      <c r="Z345" s="42"/>
      <c r="AA345" s="6"/>
    </row>
    <row r="346" spans="9:27" x14ac:dyDescent="0.3">
      <c r="K346" s="48">
        <f>c_SB</f>
        <v>1792</v>
      </c>
      <c r="T346" s="80"/>
      <c r="Z346" s="42"/>
      <c r="AA346" s="6"/>
    </row>
    <row r="347" spans="9:27" x14ac:dyDescent="0.3">
      <c r="T347" s="80"/>
      <c r="Z347" s="42"/>
      <c r="AA347" s="6"/>
    </row>
    <row r="348" spans="9:27" x14ac:dyDescent="0.3">
      <c r="Q348" s="19" t="s">
        <v>368</v>
      </c>
      <c r="R348" s="19"/>
      <c r="T348" s="80"/>
      <c r="U348">
        <f>$K$364*$I$353*$G$374*$E$302*$C$148*$A$103*$M$359*$O$354*Q349</f>
        <v>0</v>
      </c>
      <c r="W348" s="42">
        <f>$K$365+$I$354+$G$375+$E$303+$C$149+$A$104+$M$360+$O$355+Q350</f>
        <v>91793.581450605634</v>
      </c>
      <c r="X348">
        <f>u_ChronicResp</f>
        <v>0.53465956747782661</v>
      </c>
      <c r="Z348" s="42">
        <f>U348*W348</f>
        <v>0</v>
      </c>
      <c r="AA348" s="6">
        <f>U348*X348</f>
        <v>0</v>
      </c>
    </row>
    <row r="349" spans="9:27" x14ac:dyDescent="0.3">
      <c r="Q349" s="47">
        <f>RDS2CLD_1-(Hypo2CI_1*RDS2CLD_1)</f>
        <v>0.34246866666666664</v>
      </c>
      <c r="R349" s="47"/>
      <c r="T349" s="80"/>
      <c r="V349">
        <v>0</v>
      </c>
      <c r="Z349" s="42"/>
      <c r="AA349" s="6"/>
    </row>
    <row r="350" spans="9:27" x14ac:dyDescent="0.3">
      <c r="Q350" s="48">
        <f>c_lung+c_hosp_fu+c_CSG</f>
        <v>54529.510902399998</v>
      </c>
      <c r="R350" s="48"/>
      <c r="T350" s="80"/>
      <c r="Z350" s="42"/>
      <c r="AA350" s="6"/>
    </row>
    <row r="351" spans="9:27" x14ac:dyDescent="0.3">
      <c r="Q351" s="19" t="s">
        <v>226</v>
      </c>
      <c r="R351" s="19"/>
      <c r="T351" s="80"/>
      <c r="U351">
        <f>$K$364*$I$353*$G$374*$E$302*$C$148*$A$103*$M$359*$O$354*Q352</f>
        <v>0</v>
      </c>
      <c r="W351" s="42">
        <f>$K$365+$I$354+$G$375+$E$303+$C$149+$A$104+$M$360+$O$355+Q353</f>
        <v>53030.070548205636</v>
      </c>
      <c r="X351">
        <f>u_CongnitiveImpairement</f>
        <v>17.270393127285455</v>
      </c>
      <c r="Z351" s="42">
        <f>U351*W351</f>
        <v>0</v>
      </c>
      <c r="AA351" s="6">
        <f>U351*X351</f>
        <v>0</v>
      </c>
    </row>
    <row r="352" spans="9:27" x14ac:dyDescent="0.3">
      <c r="I352" s="19" t="s">
        <v>164</v>
      </c>
      <c r="Q352" s="47">
        <f>Hypo2CI_1-(Hypo2CI_1*RDS2CLD_1)</f>
        <v>3.2801999999999998E-2</v>
      </c>
      <c r="R352" s="47"/>
      <c r="T352" s="80"/>
      <c r="V352">
        <v>0</v>
      </c>
      <c r="Z352" s="42"/>
      <c r="AA352" s="6"/>
    </row>
    <row r="353" spans="5:27" x14ac:dyDescent="0.3">
      <c r="I353" s="47">
        <f>NBW_term_2SGA_1</f>
        <v>0.17096075860597004</v>
      </c>
      <c r="O353" s="19" t="s">
        <v>161</v>
      </c>
      <c r="Q353" s="48">
        <f>c_cog+c_hosp_fu+c_CSG</f>
        <v>15766</v>
      </c>
      <c r="R353" s="48"/>
      <c r="T353" s="80"/>
      <c r="Z353" s="42"/>
      <c r="AA353" s="6"/>
    </row>
    <row r="354" spans="5:27" x14ac:dyDescent="0.3">
      <c r="I354" s="48"/>
      <c r="O354" s="47">
        <f>SGA_term_2hypoglycaemia_1</f>
        <v>0.26</v>
      </c>
      <c r="Q354" s="19" t="s">
        <v>369</v>
      </c>
      <c r="R354" s="19"/>
      <c r="T354" s="80"/>
      <c r="U354">
        <f>$K$364*$I$353*$G$374*$E$302*$C$148*$A$103*$M$359*$O$354*Q355</f>
        <v>0</v>
      </c>
      <c r="W354" s="42">
        <f>$K$365+$I$354+$G$375+$E$303+$C$149+$A$104+$M$360+$O$355+Q356</f>
        <v>95612.581450605634</v>
      </c>
      <c r="X354">
        <f>u_ChronicResp+u_CongnitiveImpairement</f>
        <v>17.805052694763283</v>
      </c>
      <c r="Z354" s="42">
        <f>U354*W354</f>
        <v>0</v>
      </c>
      <c r="AA354" s="6">
        <f>U354*X354</f>
        <v>0</v>
      </c>
    </row>
    <row r="355" spans="5:27" x14ac:dyDescent="0.3">
      <c r="O355" s="48">
        <f>c_hypo</f>
        <v>2936.2604000000001</v>
      </c>
      <c r="Q355" s="47">
        <f>Hypo2CI_1*RDS2CLD_1</f>
        <v>1.8531333333333334E-2</v>
      </c>
      <c r="R355" s="47"/>
      <c r="T355" s="80"/>
      <c r="V355">
        <v>0</v>
      </c>
      <c r="Z355" s="42"/>
      <c r="AA355" s="6"/>
    </row>
    <row r="356" spans="5:27" x14ac:dyDescent="0.3">
      <c r="M356" s="42"/>
      <c r="Q356" s="48">
        <f>c_lung+c_cog+c_hosp_fu+c_CSG</f>
        <v>58348.510902399998</v>
      </c>
      <c r="R356" s="48"/>
      <c r="T356" s="80"/>
      <c r="Z356" s="42"/>
      <c r="AA356" s="6"/>
    </row>
    <row r="357" spans="5:27" x14ac:dyDescent="0.3">
      <c r="Q357" s="19" t="s">
        <v>370</v>
      </c>
      <c r="R357" s="19"/>
      <c r="T357" s="80"/>
      <c r="U357">
        <f>$K$364*$I$353*$G$374*$E$302*$C$148*$A$103*$M$359*$O$354*Q358</f>
        <v>0</v>
      </c>
      <c r="W357" s="42">
        <f>$K$365+$I$354+$G$375+$E$303+$C$149+$A$104+$M$360+$O$355+Q359</f>
        <v>51667.070548205636</v>
      </c>
      <c r="X357">
        <f>u_Healthy</f>
        <v>0</v>
      </c>
      <c r="Z357" s="42">
        <f>U357*W357</f>
        <v>0</v>
      </c>
      <c r="AA357" s="6">
        <f>U357*X357</f>
        <v>0</v>
      </c>
    </row>
    <row r="358" spans="5:27" x14ac:dyDescent="0.3">
      <c r="E358" s="42"/>
      <c r="M358" s="19" t="s">
        <v>9</v>
      </c>
      <c r="Q358" s="47">
        <f>1-Q349-Q352-Q355</f>
        <v>0.60619800000000001</v>
      </c>
      <c r="R358" s="47"/>
      <c r="T358" s="80"/>
      <c r="V358">
        <v>0</v>
      </c>
      <c r="Z358" s="42"/>
      <c r="AA358" s="6"/>
    </row>
    <row r="359" spans="5:27" x14ac:dyDescent="0.3">
      <c r="K359" s="42"/>
      <c r="M359" s="47">
        <f>S_term_2RDS_1</f>
        <v>0</v>
      </c>
      <c r="Q359" s="48">
        <f>c_clinic_fu+c_CSG</f>
        <v>14403</v>
      </c>
      <c r="R359" s="48"/>
      <c r="T359" s="80"/>
      <c r="Z359" s="42"/>
      <c r="AA359" s="6"/>
    </row>
    <row r="360" spans="5:27" x14ac:dyDescent="0.3">
      <c r="K360" s="42"/>
      <c r="M360" s="48">
        <f>c_RDS</f>
        <v>30595.610148205637</v>
      </c>
      <c r="Q360" s="42"/>
      <c r="R360" s="42"/>
      <c r="T360" s="80"/>
      <c r="Z360" s="42"/>
      <c r="AA360" s="6"/>
    </row>
    <row r="361" spans="5:27" x14ac:dyDescent="0.3">
      <c r="Q361" s="19" t="s">
        <v>368</v>
      </c>
      <c r="R361" s="19"/>
      <c r="T361" s="80"/>
      <c r="U361">
        <f>$K$364*$I$353*$G$374*$E$302*$C$148*$A$103*$M$359*$O$364*Q362</f>
        <v>0</v>
      </c>
      <c r="W361" s="42">
        <f>$K$365+$I$354+$G$375+$E$303+$C$149+$A$104+$M$360+$O$365+Q363</f>
        <v>88857.321050605635</v>
      </c>
      <c r="X361">
        <f>u_ChronicResp</f>
        <v>0.53465956747782661</v>
      </c>
      <c r="Z361" s="42">
        <f>U361*W361</f>
        <v>0</v>
      </c>
      <c r="AA361" s="6">
        <f>U361*X361</f>
        <v>0</v>
      </c>
    </row>
    <row r="362" spans="5:27" x14ac:dyDescent="0.3">
      <c r="Q362" s="47">
        <f>RDS2CLD_1-(RDS2CLD_1*noHypo2CI_1)</f>
        <v>0.34905610687022898</v>
      </c>
      <c r="R362" s="47"/>
      <c r="T362" s="80"/>
      <c r="V362">
        <v>0</v>
      </c>
      <c r="Z362" s="42"/>
      <c r="AA362" s="6"/>
    </row>
    <row r="363" spans="5:27" x14ac:dyDescent="0.3">
      <c r="K363" s="19" t="s">
        <v>37</v>
      </c>
      <c r="M363" s="42"/>
      <c r="O363" s="19" t="s">
        <v>371</v>
      </c>
      <c r="Q363" s="48">
        <f>c_lung+c_hosp_fu+c_CSG</f>
        <v>54529.510902399998</v>
      </c>
      <c r="R363" s="48"/>
      <c r="T363" s="80"/>
      <c r="Z363" s="42"/>
      <c r="AA363" s="6"/>
    </row>
    <row r="364" spans="5:27" x14ac:dyDescent="0.3">
      <c r="K364" s="47">
        <f>SGA_term_2s_1</f>
        <v>0.98802760000000001</v>
      </c>
      <c r="O364" s="47">
        <f>SGA_term_2normoglycaemia_1</f>
        <v>0.74</v>
      </c>
      <c r="Q364" s="19" t="s">
        <v>226</v>
      </c>
      <c r="R364" s="19"/>
      <c r="T364" s="80"/>
      <c r="U364">
        <f>$K$364*$I$353*$G$374*$E$302*$C$148*$A$103*$M$359*$O$364*Q365</f>
        <v>0</v>
      </c>
      <c r="W364" s="42">
        <f>$K$365+$I$354+$G$375+$E$303+$C$149+$A$104+$M$360+$O$365+Q366</f>
        <v>50093.810148205637</v>
      </c>
      <c r="X364">
        <f>u_CongnitiveImpairement</f>
        <v>17.270393127285455</v>
      </c>
      <c r="Z364" s="42">
        <f>U364*W364</f>
        <v>0</v>
      </c>
      <c r="AA364" s="6">
        <f>U364*X364</f>
        <v>0</v>
      </c>
    </row>
    <row r="365" spans="5:27" x14ac:dyDescent="0.3">
      <c r="K365" s="48"/>
      <c r="O365" s="48"/>
      <c r="Q365" s="47">
        <f>noHypo2CI_1-(RDS2CLD_1*noHypo2CI_1)</f>
        <v>2.1141683406990762E-2</v>
      </c>
      <c r="R365" s="47"/>
      <c r="T365" s="80"/>
      <c r="V365">
        <v>0</v>
      </c>
      <c r="Z365" s="42"/>
      <c r="AA365" s="6"/>
    </row>
    <row r="366" spans="5:27" x14ac:dyDescent="0.3">
      <c r="Q366" s="48">
        <f>c_cog+c_hosp_fu+c_CSG</f>
        <v>15766</v>
      </c>
      <c r="R366" s="48"/>
      <c r="T366" s="80"/>
      <c r="Z366" s="42"/>
      <c r="AA366" s="6"/>
    </row>
    <row r="367" spans="5:27" x14ac:dyDescent="0.3">
      <c r="Q367" s="19" t="s">
        <v>369</v>
      </c>
      <c r="R367" s="19"/>
      <c r="T367" s="80"/>
      <c r="U367">
        <f>$K$364*$I$353*$G$374*$E$302*$C$148*$A$103*$M$359*$O$364*Q368</f>
        <v>0</v>
      </c>
      <c r="W367" s="42">
        <f>$K$365+$I$354+$G$375+$E$303+$C$149+$A$104+$M$360+$O$365+Q369</f>
        <v>92676.321050605635</v>
      </c>
      <c r="X367">
        <f>u_ChronicResp+u_CongnitiveImpairement</f>
        <v>17.805052694763283</v>
      </c>
      <c r="Z367" s="42">
        <f>U367*W367</f>
        <v>0</v>
      </c>
      <c r="AA367" s="6">
        <f>U367*X367</f>
        <v>0</v>
      </c>
    </row>
    <row r="368" spans="5:27" x14ac:dyDescent="0.3">
      <c r="Q368" s="47">
        <f>RDS2CLD_1*noHypo2CI_1</f>
        <v>1.1943893129770991E-2</v>
      </c>
      <c r="R368" s="47"/>
      <c r="T368" s="80"/>
      <c r="V368">
        <v>0</v>
      </c>
      <c r="Z368" s="42"/>
      <c r="AA368" s="6"/>
    </row>
    <row r="369" spans="1:27" x14ac:dyDescent="0.3">
      <c r="Q369" s="48">
        <f>c_cog+c_lung+c_hosp_fu+c_CSG</f>
        <v>58348.510902399998</v>
      </c>
      <c r="R369" s="48"/>
      <c r="T369" s="80"/>
      <c r="Z369" s="42"/>
      <c r="AA369" s="6"/>
    </row>
    <row r="370" spans="1:27" x14ac:dyDescent="0.3">
      <c r="Q370" s="19" t="s">
        <v>370</v>
      </c>
      <c r="R370" s="19"/>
      <c r="T370" s="80"/>
      <c r="U370">
        <f>$K$364*$I$353*$G$374*$E$302*$C$148*$A$103*$M$359*$O$364*Q371</f>
        <v>0</v>
      </c>
      <c r="W370" s="42">
        <f>$K$365+$I$354+$G$375+$E$303+$C$149+$A$104+$M$360+$O$365+Q372</f>
        <v>48730.810148205637</v>
      </c>
      <c r="X370">
        <f>u_Healthy</f>
        <v>0</v>
      </c>
      <c r="Z370" s="42">
        <f>U370*W370</f>
        <v>0</v>
      </c>
      <c r="AA370" s="6">
        <f>U370*X370</f>
        <v>0</v>
      </c>
    </row>
    <row r="371" spans="1:27" x14ac:dyDescent="0.3">
      <c r="Q371" s="47">
        <f>1-Q368-Q365-Q362</f>
        <v>0.61785831659300938</v>
      </c>
      <c r="R371" s="47"/>
      <c r="T371" s="80"/>
      <c r="V371">
        <v>0</v>
      </c>
      <c r="Z371" s="42"/>
      <c r="AA371" s="6"/>
    </row>
    <row r="372" spans="1:27" x14ac:dyDescent="0.3">
      <c r="Q372" s="48">
        <f>c_clinic_fu+c_CSG</f>
        <v>14403</v>
      </c>
      <c r="R372" s="48"/>
      <c r="T372" s="80"/>
      <c r="Z372" s="42"/>
      <c r="AA372" s="6"/>
    </row>
    <row r="373" spans="1:27" x14ac:dyDescent="0.3">
      <c r="G373" s="19" t="s">
        <v>372</v>
      </c>
      <c r="Q373" s="42"/>
      <c r="R373" s="42"/>
      <c r="T373" s="80"/>
      <c r="Z373" s="42"/>
      <c r="AA373" s="6"/>
    </row>
    <row r="374" spans="1:27" x14ac:dyDescent="0.3">
      <c r="G374" s="47">
        <f>Term2NBW_1</f>
        <v>0.75313846153846153</v>
      </c>
      <c r="H374">
        <f>Term2NBW_3</f>
        <v>0.65230769230769226</v>
      </c>
      <c r="I374" t="b">
        <f>H374=G374</f>
        <v>0</v>
      </c>
      <c r="Q374" s="19" t="s">
        <v>368</v>
      </c>
      <c r="R374" s="19"/>
      <c r="T374" s="80"/>
      <c r="U374">
        <f>$K$364*$I$353*$G$374*$E$302*$C$148*$A$103*$M$379*$O$377*Q375</f>
        <v>0</v>
      </c>
      <c r="W374" s="42">
        <f>$K$365+$I$354+$G$375+$E$303+$C$149+$A$104+$M$380+$O$378+Q376</f>
        <v>61197.971302399994</v>
      </c>
      <c r="X374">
        <f>u_ChronicResp</f>
        <v>0.53465956747782661</v>
      </c>
      <c r="Z374" s="42">
        <f>U374*W374</f>
        <v>0</v>
      </c>
      <c r="AA374" s="6">
        <f>U374*X374</f>
        <v>0</v>
      </c>
    </row>
    <row r="375" spans="1:27" x14ac:dyDescent="0.3">
      <c r="G375" s="48">
        <f>c_NICU_NBW</f>
        <v>1255.2</v>
      </c>
      <c r="Q375" s="47">
        <f>noRDS2CLD_1-(Hypo2CI_1*noRDS2CLD_1)</f>
        <v>0</v>
      </c>
      <c r="R375" s="47"/>
      <c r="T375" s="80"/>
      <c r="V375">
        <v>0</v>
      </c>
      <c r="Z375" s="42"/>
      <c r="AA375" s="6"/>
    </row>
    <row r="376" spans="1:27" x14ac:dyDescent="0.3">
      <c r="O376" s="19" t="s">
        <v>161</v>
      </c>
      <c r="Q376" s="48">
        <f>c_lung+c_hosp_fu+c_CSG</f>
        <v>54529.510902399998</v>
      </c>
      <c r="R376" s="48"/>
      <c r="T376" s="80"/>
      <c r="Z376" s="42"/>
      <c r="AA376" s="6"/>
    </row>
    <row r="377" spans="1:27" x14ac:dyDescent="0.3">
      <c r="O377" s="47">
        <f>SGA_term_2hypoglycaemia_1</f>
        <v>0.26</v>
      </c>
      <c r="Q377" s="19" t="s">
        <v>226</v>
      </c>
      <c r="R377" s="19"/>
      <c r="T377" s="80"/>
      <c r="U377">
        <f>$K$364*$I$353*$G$374*$E$302*$C$148*$A$103*$M$379*$O$377*Q378</f>
        <v>1.3249464894821209E-3</v>
      </c>
      <c r="V377">
        <v>1.1006968930947784E-3</v>
      </c>
      <c r="W377" s="42">
        <f>$K$365+$I$354+$G$375+$E$303+$C$149+$A$104+$M$380+$O$378+Q379</f>
        <v>22434.4604</v>
      </c>
      <c r="X377">
        <f>u_CongnitiveImpairement</f>
        <v>17.270393127285455</v>
      </c>
      <c r="Z377" s="42">
        <f>U377*W377</f>
        <v>29.724459550405658</v>
      </c>
      <c r="AA377" s="6">
        <f>U377*X377</f>
        <v>2.288234674597301E-2</v>
      </c>
    </row>
    <row r="378" spans="1:27" x14ac:dyDescent="0.3">
      <c r="M378" s="19" t="s">
        <v>203</v>
      </c>
      <c r="O378" s="48">
        <f>c_hypo</f>
        <v>2936.2604000000001</v>
      </c>
      <c r="Q378" s="47">
        <f>Hypo2CI_1-(Hypo2CI_1*noRDS2CLD_1)</f>
        <v>5.1333333333333335E-2</v>
      </c>
      <c r="R378" s="47"/>
      <c r="T378" s="80"/>
      <c r="Z378" s="42"/>
      <c r="AA378" s="6"/>
    </row>
    <row r="379" spans="1:27" x14ac:dyDescent="0.3">
      <c r="M379" s="47">
        <f>S_term_2noRDS_1</f>
        <v>1</v>
      </c>
      <c r="Q379" s="48">
        <f>c_cog+c_hosp_fu+c_CSG</f>
        <v>15766</v>
      </c>
      <c r="R379" s="48"/>
      <c r="T379" s="80"/>
      <c r="Z379" s="42"/>
      <c r="AA379" s="6"/>
    </row>
    <row r="380" spans="1:27" x14ac:dyDescent="0.3">
      <c r="G380" s="42"/>
      <c r="M380" s="48"/>
      <c r="O380" s="42"/>
      <c r="Q380" s="19" t="s">
        <v>369</v>
      </c>
      <c r="R380" s="19"/>
      <c r="T380" s="80"/>
      <c r="U380">
        <f>$K$364*$I$353*$G$374*$E$302*$C$148*$A$103*$M$379*$O$377*Q381</f>
        <v>0</v>
      </c>
      <c r="V380">
        <v>0</v>
      </c>
      <c r="W380" s="42">
        <f>$K$365+$I$354+$G$375+$E$303+$C$149+$A$104+$M$380+$O$378+Q382</f>
        <v>65016.971302399994</v>
      </c>
      <c r="X380">
        <f>u_ChronicResp+u_CongnitiveImpairement</f>
        <v>17.805052694763283</v>
      </c>
      <c r="Z380" s="42">
        <f>U380*W380</f>
        <v>0</v>
      </c>
      <c r="AA380" s="6">
        <f>U380*X380</f>
        <v>0</v>
      </c>
    </row>
    <row r="381" spans="1:27" x14ac:dyDescent="0.3">
      <c r="M381" s="42"/>
      <c r="Q381" s="47">
        <f>noRDS2CLD_1*Hypo2CI_1</f>
        <v>0</v>
      </c>
      <c r="R381" s="47"/>
      <c r="T381" s="80"/>
      <c r="Z381" s="42"/>
      <c r="AA381" s="6"/>
    </row>
    <row r="382" spans="1:27" x14ac:dyDescent="0.3">
      <c r="A382" s="42"/>
      <c r="M382" s="42"/>
      <c r="Q382" s="48">
        <f>c_lung+c_cog+c_hosp_fu+c_CSG</f>
        <v>58348.510902399998</v>
      </c>
      <c r="R382" s="48"/>
      <c r="T382" s="80"/>
      <c r="Z382" s="42"/>
      <c r="AA382" s="6"/>
    </row>
    <row r="383" spans="1:27" x14ac:dyDescent="0.3">
      <c r="M383" s="42"/>
      <c r="Q383" s="19" t="s">
        <v>370</v>
      </c>
      <c r="R383" s="19"/>
      <c r="T383" s="80"/>
      <c r="U383">
        <f>$K$364*$I$353*$G$374*$E$302*$C$148*$A$103*$M$379*$O$377*Q384</f>
        <v>2.448569940952023E-2</v>
      </c>
      <c r="V383">
        <v>2.0341450374985321E-2</v>
      </c>
      <c r="W383" s="42">
        <f>$K$365+$I$354+$G$375+$E$303+$C$149+$A$104+$M$380+$O$378+Q385</f>
        <v>21071.4604</v>
      </c>
      <c r="X383">
        <f>u_Healthy</f>
        <v>0</v>
      </c>
      <c r="Z383" s="42">
        <f>U383*W383</f>
        <v>515.94944547400894</v>
      </c>
      <c r="AA383" s="6">
        <f>U383*X383</f>
        <v>0</v>
      </c>
    </row>
    <row r="384" spans="1:27" x14ac:dyDescent="0.3">
      <c r="M384" s="42"/>
      <c r="O384" s="42"/>
      <c r="Q384" s="47">
        <f>1-Q381-Q378-Q375</f>
        <v>0.94866666666666666</v>
      </c>
      <c r="R384" s="47"/>
      <c r="T384" s="80"/>
      <c r="Z384" s="42"/>
      <c r="AA384" s="6"/>
    </row>
    <row r="385" spans="11:27" x14ac:dyDescent="0.3">
      <c r="M385" s="42"/>
      <c r="Q385" s="48">
        <f>c_clinic_fu+c_CSG</f>
        <v>14403</v>
      </c>
      <c r="R385" s="48"/>
      <c r="T385" s="80"/>
      <c r="Z385" s="42"/>
      <c r="AA385" s="6"/>
    </row>
    <row r="386" spans="11:27" x14ac:dyDescent="0.3">
      <c r="M386" s="42"/>
      <c r="Q386" s="42"/>
      <c r="R386" s="42"/>
      <c r="S386" s="96"/>
      <c r="T386" s="80"/>
      <c r="Z386" s="42"/>
      <c r="AA386" s="6"/>
    </row>
    <row r="387" spans="11:27" x14ac:dyDescent="0.3">
      <c r="M387" s="42"/>
      <c r="Q387" s="19" t="s">
        <v>368</v>
      </c>
      <c r="R387" s="19"/>
      <c r="T387" s="80"/>
      <c r="U387">
        <f>$K$364*$I$353*$G$374*$E$302*$C$148*$A$103*$M$379*$O$391*Q388</f>
        <v>0</v>
      </c>
      <c r="V387">
        <v>0</v>
      </c>
      <c r="W387" s="42">
        <f>$K$365+$I$354+$G$375+$E$303+$C$149+$A$104+$M$380+$O$392+Q389</f>
        <v>60290.971302399994</v>
      </c>
      <c r="X387">
        <f>u_ChronicResp</f>
        <v>0.53465956747782661</v>
      </c>
      <c r="Z387" s="42">
        <f>U387*W387</f>
        <v>0</v>
      </c>
      <c r="AA387" s="6">
        <f>U387*X387</f>
        <v>0</v>
      </c>
    </row>
    <row r="388" spans="11:27" x14ac:dyDescent="0.3">
      <c r="M388" s="42"/>
      <c r="Q388" s="47">
        <f>noRDS2CLD_1-(noRDS2CLD_1*noHypo2CI_1)</f>
        <v>0</v>
      </c>
      <c r="R388" s="47"/>
      <c r="T388" s="80"/>
      <c r="Z388" s="42"/>
      <c r="AA388" s="6"/>
    </row>
    <row r="389" spans="11:27" x14ac:dyDescent="0.3">
      <c r="M389" s="42"/>
      <c r="Q389" s="48">
        <f>c_lung+c_hypo+c_CSG</f>
        <v>56558.771302399997</v>
      </c>
      <c r="R389" s="48"/>
      <c r="T389" s="80"/>
      <c r="Z389" s="42"/>
      <c r="AA389" s="6"/>
    </row>
    <row r="390" spans="11:27" x14ac:dyDescent="0.3">
      <c r="M390" s="42"/>
      <c r="O390" s="19" t="s">
        <v>371</v>
      </c>
      <c r="Q390" s="19" t="s">
        <v>226</v>
      </c>
      <c r="R390" s="19"/>
      <c r="T390" s="80"/>
      <c r="U390">
        <f>$K$364*$I$353*$G$374*$E$302*$C$148*$A$103*$M$379*$O$391*Q391</f>
        <v>2.4305018240864482E-3</v>
      </c>
      <c r="V390">
        <v>2.0191349821824228E-3</v>
      </c>
      <c r="W390" s="42">
        <f>$K$365+$I$354+$G$375+$E$303+$C$149+$A$104+$M$380+$O$392+Q392</f>
        <v>19498.2</v>
      </c>
      <c r="X390">
        <f>u_CongnitiveImpairement</f>
        <v>17.270393127285455</v>
      </c>
      <c r="Z390" s="42">
        <f>U390*W390</f>
        <v>47.390410666402389</v>
      </c>
      <c r="AA390" s="6">
        <f>U390*X390</f>
        <v>4.1975721998557355E-2</v>
      </c>
    </row>
    <row r="391" spans="11:27" x14ac:dyDescent="0.3">
      <c r="M391" s="42"/>
      <c r="O391" s="47">
        <f>SGA_term_2normoglycaemia_1</f>
        <v>0.74</v>
      </c>
      <c r="Q391" s="47">
        <f>noHypo2CI_1</f>
        <v>3.3085576536761752E-2</v>
      </c>
      <c r="R391" s="47"/>
      <c r="T391" s="80"/>
      <c r="Z391" s="42"/>
      <c r="AA391" s="6"/>
    </row>
    <row r="392" spans="11:27" x14ac:dyDescent="0.3">
      <c r="M392" s="42"/>
      <c r="O392" s="48"/>
      <c r="Q392" s="48">
        <f>c_cog+c_hosp_fu+c_CSG</f>
        <v>15766</v>
      </c>
      <c r="R392" s="48"/>
      <c r="T392" s="80"/>
      <c r="Z392" s="42"/>
      <c r="AA392" s="6"/>
    </row>
    <row r="393" spans="11:27" x14ac:dyDescent="0.3">
      <c r="M393" s="42"/>
      <c r="Q393" s="19" t="s">
        <v>369</v>
      </c>
      <c r="R393" s="19"/>
      <c r="T393" s="80"/>
      <c r="U393">
        <f>$K$364*$I$353*$G$374*$E$302*$C$148*$A$103*$M$379*$O$391*Q394</f>
        <v>0</v>
      </c>
      <c r="V393">
        <v>0</v>
      </c>
      <c r="W393" s="42">
        <f>$K$365+$I$354+$G$375+$E$303+$C$149+$A$104+$M$380+$O$392+Q395</f>
        <v>62080.710902399995</v>
      </c>
      <c r="X393">
        <f>u_ChronicResp+u_CongnitiveImpairement</f>
        <v>17.805052694763283</v>
      </c>
      <c r="Z393" s="42">
        <f>U393*W393</f>
        <v>0</v>
      </c>
      <c r="AA393" s="6">
        <f>U393*X393</f>
        <v>0</v>
      </c>
    </row>
    <row r="394" spans="11:27" x14ac:dyDescent="0.3">
      <c r="M394" s="42"/>
      <c r="Q394" s="47">
        <f>noRDS2CLD_1*noHypo2CI_1</f>
        <v>0</v>
      </c>
      <c r="R394" s="47"/>
      <c r="T394" s="80"/>
      <c r="Z394" s="42"/>
      <c r="AA394" s="6"/>
    </row>
    <row r="395" spans="11:27" x14ac:dyDescent="0.3">
      <c r="M395" s="42"/>
      <c r="Q395" s="48">
        <f>c_cog+c_lung+c_hosp_fu+c_CSG</f>
        <v>58348.510902399998</v>
      </c>
      <c r="R395" s="48"/>
      <c r="T395" s="80"/>
      <c r="Z395" s="42"/>
      <c r="AA395" s="6"/>
    </row>
    <row r="396" spans="11:27" x14ac:dyDescent="0.3">
      <c r="M396" s="42"/>
      <c r="Q396" s="19" t="s">
        <v>370</v>
      </c>
      <c r="R396" s="19"/>
      <c r="T396" s="80"/>
      <c r="U396">
        <f>$K$364*$I$353*$G$374*$E$302*$C$148*$A$103*$M$379*$O$391*Q397</f>
        <v>7.1030567273074094E-2</v>
      </c>
      <c r="V396">
        <v>5.9008514934660937E-2</v>
      </c>
      <c r="W396" s="42">
        <f>$K$365+$I$354+$G$375+$E$303+$C$149+$A$104+$M$380+$O$392+Q398</f>
        <v>18135.2</v>
      </c>
      <c r="X396">
        <f>u_Healthy</f>
        <v>0</v>
      </c>
      <c r="Z396" s="42">
        <f>U396*W396</f>
        <v>1288.1535436106533</v>
      </c>
      <c r="AA396" s="6">
        <f>U396*X396</f>
        <v>0</v>
      </c>
    </row>
    <row r="397" spans="11:27" x14ac:dyDescent="0.3">
      <c r="M397" s="42"/>
      <c r="Q397" s="47">
        <f>1-Q394-Q391-Q388</f>
        <v>0.9669144234632383</v>
      </c>
      <c r="R397" s="47"/>
      <c r="T397" s="80"/>
      <c r="Z397" s="42"/>
      <c r="AA397" s="6"/>
    </row>
    <row r="398" spans="11:27" x14ac:dyDescent="0.3">
      <c r="M398" s="42"/>
      <c r="Q398" s="48">
        <f>c_clinic_fu+c_CSG</f>
        <v>14403</v>
      </c>
      <c r="R398" s="48"/>
      <c r="T398" s="80"/>
      <c r="Z398" s="42"/>
      <c r="AA398" s="6"/>
    </row>
    <row r="399" spans="11:27" x14ac:dyDescent="0.3">
      <c r="M399" s="42"/>
      <c r="Q399" s="42"/>
      <c r="R399" s="42"/>
      <c r="T399" s="80"/>
      <c r="Z399" s="42"/>
      <c r="AA399" s="6"/>
    </row>
    <row r="400" spans="11:27" x14ac:dyDescent="0.3">
      <c r="K400" s="19" t="s">
        <v>165</v>
      </c>
      <c r="L400" s="19"/>
      <c r="M400" s="19"/>
      <c r="N400" s="19"/>
      <c r="O400" s="19"/>
      <c r="P400" s="19"/>
      <c r="Q400" s="19"/>
      <c r="R400" s="19"/>
      <c r="T400" s="80"/>
      <c r="U400">
        <f>$G$374*$E$302*$C$148*$I$409*$K$401*A$103</f>
        <v>2.7546266103253884E-3</v>
      </c>
      <c r="V400">
        <v>2.2214707875297863E-3</v>
      </c>
      <c r="W400" s="42">
        <f>$K$402+$I$410+$G$375+$E$303+$C$149+$A$104</f>
        <v>5524.2</v>
      </c>
      <c r="X400">
        <f>u_Death</f>
        <v>19.181538114427529</v>
      </c>
      <c r="Z400" s="42">
        <f>U400*W400</f>
        <v>15.217108320759509</v>
      </c>
      <c r="AA400" s="6">
        <f>U400*X400</f>
        <v>5.2837975316972742E-2</v>
      </c>
    </row>
    <row r="401" spans="9:27" x14ac:dyDescent="0.3">
      <c r="K401" s="47">
        <f>AGA_term_2d_1</f>
        <v>5.6536333333333339E-3</v>
      </c>
      <c r="L401">
        <f>AGA_term_2d_3</f>
        <v>6.2333333333333338E-3</v>
      </c>
      <c r="M401" t="b">
        <f>L401=K401</f>
        <v>0</v>
      </c>
      <c r="T401" s="80"/>
      <c r="Z401" s="42"/>
      <c r="AA401" s="6"/>
    </row>
    <row r="402" spans="9:27" x14ac:dyDescent="0.3">
      <c r="K402" s="48">
        <f>c_SB</f>
        <v>1792</v>
      </c>
      <c r="T402" s="80"/>
      <c r="Z402" s="42"/>
      <c r="AA402" s="6"/>
    </row>
    <row r="403" spans="9:27" x14ac:dyDescent="0.3">
      <c r="T403" s="80"/>
      <c r="Z403" s="42"/>
      <c r="AA403" s="6"/>
    </row>
    <row r="404" spans="9:27" x14ac:dyDescent="0.3">
      <c r="Q404" s="19" t="s">
        <v>368</v>
      </c>
      <c r="R404" s="19"/>
      <c r="T404" s="80"/>
      <c r="U404">
        <f>$G$374*$E$302*$C$148*$I$409*$K$420*$M$415*$O$410*Q405*$A$103</f>
        <v>0</v>
      </c>
      <c r="W404" s="42">
        <f>$K$421+$I$410+$G$375+$E$303+$C$149+$A$104+$M$416+$O$411+Q406</f>
        <v>91793.581450605634</v>
      </c>
      <c r="X404">
        <f>u_ChronicResp</f>
        <v>0.53465956747782661</v>
      </c>
      <c r="Z404" s="42">
        <f>U404*W404</f>
        <v>0</v>
      </c>
      <c r="AA404" s="6">
        <f>U404*X404</f>
        <v>0</v>
      </c>
    </row>
    <row r="405" spans="9:27" x14ac:dyDescent="0.3">
      <c r="Q405" s="47">
        <f>RDS2CLD_1-(Hypo2CI_1*RDS2CLD_1)</f>
        <v>0.34246866666666664</v>
      </c>
      <c r="R405" s="47"/>
      <c r="T405" s="80"/>
      <c r="V405">
        <v>0</v>
      </c>
      <c r="Z405" s="42"/>
      <c r="AA405" s="6"/>
    </row>
    <row r="406" spans="9:27" x14ac:dyDescent="0.3">
      <c r="Q406" s="48">
        <f>c_lung+c_hosp_fu+c_CSG</f>
        <v>54529.510902399998</v>
      </c>
      <c r="R406" s="48"/>
      <c r="T406" s="80"/>
      <c r="Z406" s="42"/>
      <c r="AA406" s="6"/>
    </row>
    <row r="407" spans="9:27" x14ac:dyDescent="0.3">
      <c r="Q407" s="19" t="s">
        <v>226</v>
      </c>
      <c r="R407" s="19"/>
      <c r="T407" s="80"/>
      <c r="U407">
        <f>$G$374*$E$302*$C$148*$I$409*$K$420*$M$415*$O$410*Q408*A$103</f>
        <v>0</v>
      </c>
      <c r="W407" s="42">
        <f>$K$421+$I$410+$G$375+$E$303+$C$149+$A$104+$M$416+$O$411+Q409</f>
        <v>53030.070548205636</v>
      </c>
      <c r="X407">
        <f>u_CongnitiveImpairement</f>
        <v>17.270393127285455</v>
      </c>
      <c r="Z407" s="42">
        <f>U407*W407</f>
        <v>0</v>
      </c>
      <c r="AA407" s="6">
        <f>U407*X407</f>
        <v>0</v>
      </c>
    </row>
    <row r="408" spans="9:27" x14ac:dyDescent="0.3">
      <c r="I408" s="19" t="s">
        <v>425</v>
      </c>
      <c r="Q408" s="47">
        <f>Hypo2CI_1-(Hypo2CI_1*RDS2CLD_1)</f>
        <v>3.2801999999999998E-2</v>
      </c>
      <c r="R408" s="47"/>
      <c r="T408" s="80"/>
      <c r="V408">
        <v>0</v>
      </c>
      <c r="Z408" s="42"/>
      <c r="AA408" s="6"/>
    </row>
    <row r="409" spans="9:27" x14ac:dyDescent="0.3">
      <c r="I409" s="47">
        <f>NBW_term_2AGA_1</f>
        <v>0.82903924139402996</v>
      </c>
      <c r="J409">
        <f>NBW_term_2AGA_3</f>
        <v>0.81004360154892219</v>
      </c>
      <c r="K409" t="b">
        <f>J409=I409</f>
        <v>0</v>
      </c>
      <c r="O409" s="19" t="s">
        <v>161</v>
      </c>
      <c r="Q409" s="48">
        <f>c_cog+c_hosp_fu+c_CSG</f>
        <v>15766</v>
      </c>
      <c r="R409" s="48"/>
      <c r="T409" s="80"/>
      <c r="Z409" s="42"/>
      <c r="AA409" s="6"/>
    </row>
    <row r="410" spans="9:27" x14ac:dyDescent="0.3">
      <c r="I410" s="48"/>
      <c r="O410" s="47">
        <f>AGA_term_2hypoglycaemia_1</f>
        <v>0</v>
      </c>
      <c r="Q410" s="19" t="s">
        <v>369</v>
      </c>
      <c r="R410" s="19"/>
      <c r="T410" s="80"/>
      <c r="U410">
        <f>$G$374*$E$302*$C$148*$I$409*$K$420*$M$415*$O$410*Q411*A$103</f>
        <v>0</v>
      </c>
      <c r="W410" s="42">
        <f>$K$421+$I$410+$G$375+$E$303+$C$149+$A$104+$M$416+$O$411+Q412</f>
        <v>95612.581450605634</v>
      </c>
      <c r="X410">
        <f>u_ChronicResp+u_CongnitiveImpairement</f>
        <v>17.805052694763283</v>
      </c>
      <c r="Z410" s="42">
        <f>U410*W410</f>
        <v>0</v>
      </c>
      <c r="AA410" s="6">
        <f>U410*X410</f>
        <v>0</v>
      </c>
    </row>
    <row r="411" spans="9:27" x14ac:dyDescent="0.3">
      <c r="O411" s="48">
        <f>c_hypo</f>
        <v>2936.2604000000001</v>
      </c>
      <c r="Q411" s="47">
        <f>RDS2CLD_1*Hypo2CI_1</f>
        <v>1.8531333333333334E-2</v>
      </c>
      <c r="R411" s="47"/>
      <c r="T411" s="80"/>
      <c r="V411">
        <v>0</v>
      </c>
      <c r="Z411" s="42"/>
      <c r="AA411" s="6"/>
    </row>
    <row r="412" spans="9:27" x14ac:dyDescent="0.3">
      <c r="M412" s="42"/>
      <c r="Q412" s="48">
        <f>c_lung+c_cog+c_hosp_fu+c_CSG</f>
        <v>58348.510902399998</v>
      </c>
      <c r="R412" s="48"/>
      <c r="T412" s="80"/>
      <c r="Z412" s="42"/>
      <c r="AA412" s="6"/>
    </row>
    <row r="413" spans="9:27" x14ac:dyDescent="0.3">
      <c r="Q413" s="19" t="s">
        <v>370</v>
      </c>
      <c r="R413" s="19"/>
      <c r="T413" s="80"/>
      <c r="U413">
        <f>$G$374*$E$302*$C$148*$I$409*$K$420*$M$415*$O$410*Q414*A$103</f>
        <v>0</v>
      </c>
      <c r="W413" s="42">
        <f>$K$421+$I$410+$G$375+$E$303+$C$149+$A$104+$M$416+$O$411+Q415</f>
        <v>51667.070548205636</v>
      </c>
      <c r="X413">
        <f>u_Healthy</f>
        <v>0</v>
      </c>
      <c r="Z413" s="42">
        <f>U413*W413</f>
        <v>0</v>
      </c>
      <c r="AA413" s="6">
        <f>U413*X413</f>
        <v>0</v>
      </c>
    </row>
    <row r="414" spans="9:27" x14ac:dyDescent="0.3">
      <c r="M414" s="19" t="s">
        <v>9</v>
      </c>
      <c r="Q414" s="47">
        <f>1-Q405-Q408-Q411</f>
        <v>0.60619800000000001</v>
      </c>
      <c r="R414" s="47"/>
      <c r="T414" s="80"/>
      <c r="V414">
        <v>0</v>
      </c>
      <c r="Z414" s="42"/>
      <c r="AA414" s="6"/>
    </row>
    <row r="415" spans="9:27" x14ac:dyDescent="0.3">
      <c r="K415" s="42"/>
      <c r="M415" s="47">
        <f>S_term_2RDS_1</f>
        <v>0</v>
      </c>
      <c r="Q415" s="48">
        <f>c_clinic_fu+c_CSG</f>
        <v>14403</v>
      </c>
      <c r="R415" s="48"/>
      <c r="T415" s="80"/>
      <c r="Z415" s="42"/>
      <c r="AA415" s="6"/>
    </row>
    <row r="416" spans="9:27" x14ac:dyDescent="0.3">
      <c r="K416" s="42"/>
      <c r="M416" s="48">
        <f>c_RDS</f>
        <v>30595.610148205637</v>
      </c>
      <c r="Q416" s="42"/>
      <c r="R416" s="42"/>
      <c r="T416" s="80"/>
      <c r="Z416" s="42"/>
      <c r="AA416" s="6"/>
    </row>
    <row r="417" spans="3:27" x14ac:dyDescent="0.3">
      <c r="Q417" s="19" t="s">
        <v>368</v>
      </c>
      <c r="R417" s="19"/>
      <c r="T417" s="80"/>
      <c r="U417">
        <f>$G$374*$E$302*$C$148*$I$409*$K$420*$M$415*$O$420*Q418*A$103</f>
        <v>0</v>
      </c>
      <c r="W417" s="42">
        <f>$K$421+$I$410+$G$375+$E$303+$C$149+$A$104+$M$416+$O$421+Q419</f>
        <v>88857.321050605635</v>
      </c>
      <c r="X417">
        <f>u_ChronicResp</f>
        <v>0.53465956747782661</v>
      </c>
      <c r="Z417" s="42">
        <f>U417*W417</f>
        <v>0</v>
      </c>
      <c r="AA417" s="6">
        <f>U417*X417</f>
        <v>0</v>
      </c>
    </row>
    <row r="418" spans="3:27" x14ac:dyDescent="0.3">
      <c r="Q418" s="47">
        <f>RDS2CLD_1-(RDS2CLD_1*noHypo2CI_1)</f>
        <v>0.34905610687022898</v>
      </c>
      <c r="R418" s="47"/>
      <c r="T418" s="80"/>
      <c r="V418">
        <v>0</v>
      </c>
      <c r="Z418" s="42"/>
      <c r="AA418" s="6"/>
    </row>
    <row r="419" spans="3:27" x14ac:dyDescent="0.3">
      <c r="K419" s="19" t="s">
        <v>37</v>
      </c>
      <c r="M419" s="42"/>
      <c r="O419" s="19" t="s">
        <v>371</v>
      </c>
      <c r="Q419" s="48">
        <f>c_lung+c_hosp_fu+c_CSG</f>
        <v>54529.510902399998</v>
      </c>
      <c r="R419" s="48"/>
      <c r="T419" s="80"/>
      <c r="Z419" s="42"/>
      <c r="AA419" s="6"/>
    </row>
    <row r="420" spans="3:27" x14ac:dyDescent="0.3">
      <c r="K420" s="47">
        <f>AGA_term_2s_1</f>
        <v>0.99434636666666665</v>
      </c>
      <c r="O420" s="47">
        <f>AGA_term_2normoglycaemia_1</f>
        <v>1</v>
      </c>
      <c r="Q420" s="19" t="s">
        <v>226</v>
      </c>
      <c r="R420" s="19"/>
      <c r="T420" s="80"/>
      <c r="U420">
        <f>$G$374*$E$302*$C$148*$I$409*$K$420*$M$415*$O$420*Q421*A$103</f>
        <v>0</v>
      </c>
      <c r="W420" s="42">
        <f>$K$421+$I$410+$G$375+$E$303+$C$149+$A$104+$M$416+$O$421+Q422</f>
        <v>50093.810148205637</v>
      </c>
      <c r="X420">
        <f>u_CongnitiveImpairement</f>
        <v>17.270393127285455</v>
      </c>
      <c r="Z420" s="42">
        <f>U420*W420</f>
        <v>0</v>
      </c>
      <c r="AA420" s="6">
        <f>U420*X420</f>
        <v>0</v>
      </c>
    </row>
    <row r="421" spans="3:27" x14ac:dyDescent="0.3">
      <c r="K421" s="48"/>
      <c r="O421" s="48"/>
      <c r="Q421" s="47">
        <f>noHypo2CI_1-(RDS2CLD_1*noHypo2CI_1)</f>
        <v>2.1141683406990762E-2</v>
      </c>
      <c r="R421" s="47"/>
      <c r="T421" s="80"/>
      <c r="V421">
        <v>0</v>
      </c>
      <c r="Z421" s="42"/>
      <c r="AA421" s="6"/>
    </row>
    <row r="422" spans="3:27" x14ac:dyDescent="0.3">
      <c r="Q422" s="48">
        <f>c_cog+c_hosp_fu+c_CSG</f>
        <v>15766</v>
      </c>
      <c r="R422" s="48"/>
      <c r="T422" s="80"/>
      <c r="Z422" s="42"/>
      <c r="AA422" s="6"/>
    </row>
    <row r="423" spans="3:27" x14ac:dyDescent="0.3">
      <c r="Q423" s="19" t="s">
        <v>369</v>
      </c>
      <c r="R423" s="19"/>
      <c r="T423" s="80"/>
      <c r="U423">
        <f>$G$374*$E$302*$C$148*$I$409*$K$420*$M$415*$O$420*Q424*A$103</f>
        <v>0</v>
      </c>
      <c r="W423" s="42">
        <f>$K$421+$I$410+$G$375+$E$303+$C$149+$A$104+$M$416+$O$421+Q425</f>
        <v>92676.321050605635</v>
      </c>
      <c r="X423">
        <f>u_ChronicResp+u_CongnitiveImpairement</f>
        <v>17.805052694763283</v>
      </c>
      <c r="Z423" s="42">
        <f>U423*W423</f>
        <v>0</v>
      </c>
      <c r="AA423" s="6">
        <f>U423*X423</f>
        <v>0</v>
      </c>
    </row>
    <row r="424" spans="3:27" x14ac:dyDescent="0.3">
      <c r="Q424" s="47">
        <f>RDS2CLD_1*noHypo2CI_1</f>
        <v>1.1943893129770991E-2</v>
      </c>
      <c r="R424" s="47"/>
      <c r="T424" s="80"/>
      <c r="V424">
        <v>0</v>
      </c>
      <c r="Z424" s="42"/>
      <c r="AA424" s="6"/>
    </row>
    <row r="425" spans="3:27" x14ac:dyDescent="0.3">
      <c r="Q425" s="48">
        <f>c_cog+c_lung+c_hosp_fu+c_CSG</f>
        <v>58348.510902399998</v>
      </c>
      <c r="R425" s="48"/>
      <c r="T425" s="80"/>
      <c r="Z425" s="42"/>
      <c r="AA425" s="6"/>
    </row>
    <row r="426" spans="3:27" x14ac:dyDescent="0.3">
      <c r="Q426" s="19" t="s">
        <v>370</v>
      </c>
      <c r="R426" s="19"/>
      <c r="T426" s="80"/>
      <c r="U426">
        <f>$G$374*$E$302*$C$148*$I$409*$K$420*$M$415*$O$420*Q427*A$103</f>
        <v>0</v>
      </c>
      <c r="W426" s="42">
        <f>$K$421+$I$410+$G$375+$E$303+$C$149+$A$104+$M$416+$O$421+Q428</f>
        <v>48730.810148205637</v>
      </c>
      <c r="X426">
        <f>u_Healthy</f>
        <v>0</v>
      </c>
      <c r="Z426" s="42">
        <f>U426*W426</f>
        <v>0</v>
      </c>
      <c r="AA426" s="6">
        <f>U426*X426</f>
        <v>0</v>
      </c>
    </row>
    <row r="427" spans="3:27" x14ac:dyDescent="0.3">
      <c r="C427" s="42"/>
      <c r="Q427" s="47">
        <f>1-Q424-Q421-Q418</f>
        <v>0.61785831659300938</v>
      </c>
      <c r="R427" s="47"/>
      <c r="T427" s="80"/>
      <c r="V427">
        <v>0</v>
      </c>
      <c r="Z427" s="42"/>
      <c r="AA427" s="6"/>
    </row>
    <row r="428" spans="3:27" x14ac:dyDescent="0.3">
      <c r="Q428" s="48">
        <f>c_clinic_fu+c_CSG</f>
        <v>14403</v>
      </c>
      <c r="R428" s="48"/>
      <c r="T428" s="80"/>
      <c r="Z428" s="42"/>
      <c r="AA428" s="6"/>
    </row>
    <row r="429" spans="3:27" x14ac:dyDescent="0.3">
      <c r="Q429" s="42"/>
      <c r="R429" s="42"/>
      <c r="T429" s="80"/>
      <c r="Z429" s="42"/>
      <c r="AA429" s="6"/>
    </row>
    <row r="430" spans="3:27" x14ac:dyDescent="0.3">
      <c r="Q430" s="19" t="s">
        <v>368</v>
      </c>
      <c r="R430" s="19"/>
      <c r="T430" s="80"/>
      <c r="U430">
        <f>$A$103*$G$374*$E$302*$C$148*$I$409*$K$420*$M$435*$O$433*Q431</f>
        <v>0</v>
      </c>
      <c r="W430" s="42">
        <f>$K$421+$I$410+$G$375+$E$303+$C$149+$A$104+$M$436+$O$434+Q432</f>
        <v>61197.971302399994</v>
      </c>
      <c r="X430">
        <f>u_ChronicResp</f>
        <v>0.53465956747782661</v>
      </c>
      <c r="Z430" s="42">
        <f>U430*W430</f>
        <v>0</v>
      </c>
      <c r="AA430" s="6">
        <f>U430*X430</f>
        <v>0</v>
      </c>
    </row>
    <row r="431" spans="3:27" x14ac:dyDescent="0.3">
      <c r="Q431" s="47">
        <f>noRDS2CLD_1-(Hypo2CI_1*noRDS2CLD_1)</f>
        <v>0</v>
      </c>
      <c r="R431" s="47"/>
      <c r="T431" s="80"/>
      <c r="V431">
        <v>0</v>
      </c>
      <c r="Z431" s="42"/>
      <c r="AA431" s="6"/>
    </row>
    <row r="432" spans="3:27" x14ac:dyDescent="0.3">
      <c r="O432" s="19" t="s">
        <v>161</v>
      </c>
      <c r="Q432" s="48">
        <f>c_lung+c_hosp_fu+c_CSG</f>
        <v>54529.510902399998</v>
      </c>
      <c r="R432" s="48"/>
      <c r="T432" s="80"/>
      <c r="Z432" s="42"/>
      <c r="AA432" s="6"/>
    </row>
    <row r="433" spans="13:27" x14ac:dyDescent="0.3">
      <c r="O433" s="47">
        <f>AGA_term_2hypoglycaemia_1</f>
        <v>0</v>
      </c>
      <c r="Q433" s="19" t="s">
        <v>226</v>
      </c>
      <c r="R433" s="19"/>
      <c r="T433" s="80"/>
      <c r="U433">
        <f>$A$103*$G$374*$E$302*$C$148*$I$409*$K$420*$M$435*$O$433*Q434</f>
        <v>0</v>
      </c>
      <c r="W433" s="42">
        <f>$K$421+$I$410+$G$375+$E$303+$C$149+$A$104+$M$436+$O$434+Q435</f>
        <v>22434.4604</v>
      </c>
      <c r="X433">
        <f>u_CongnitiveImpairement</f>
        <v>17.270393127285455</v>
      </c>
      <c r="Z433" s="42">
        <f>U433*W433</f>
        <v>0</v>
      </c>
      <c r="AA433" s="6">
        <f>U433*X433</f>
        <v>0</v>
      </c>
    </row>
    <row r="434" spans="13:27" x14ac:dyDescent="0.3">
      <c r="M434" s="19" t="s">
        <v>203</v>
      </c>
      <c r="O434" s="48">
        <f>c_hypo</f>
        <v>2936.2604000000001</v>
      </c>
      <c r="Q434" s="47">
        <f>Hypo2CI_1-(Hypo2CI_1*noRDS2CLD_1)</f>
        <v>5.1333333333333335E-2</v>
      </c>
      <c r="R434" s="47"/>
      <c r="T434" s="80"/>
      <c r="V434">
        <v>0</v>
      </c>
      <c r="Z434" s="42"/>
      <c r="AA434" s="6"/>
    </row>
    <row r="435" spans="13:27" x14ac:dyDescent="0.3">
      <c r="M435" s="47">
        <f>S_term_2noRDS_1</f>
        <v>1</v>
      </c>
      <c r="Q435" s="48">
        <f>c_cog+c_hosp_fu+c_CSG</f>
        <v>15766</v>
      </c>
      <c r="R435" s="48"/>
      <c r="T435" s="80"/>
      <c r="Z435" s="42"/>
      <c r="AA435" s="6"/>
    </row>
    <row r="436" spans="13:27" x14ac:dyDescent="0.3">
      <c r="M436" s="48"/>
      <c r="O436" s="42"/>
      <c r="Q436" s="19" t="s">
        <v>369</v>
      </c>
      <c r="R436" s="19"/>
      <c r="T436" s="80"/>
      <c r="U436">
        <f>$A$103*$G$374*$E$302*$C$148*$I$409*$K$420*$M$435*$O$433*Q437</f>
        <v>0</v>
      </c>
      <c r="W436" s="42">
        <f>$K$421+$I$410+$G$375+$E$303+$C$149+$A$104+$M$436+$O$434+Q438</f>
        <v>65016.971302399994</v>
      </c>
      <c r="X436">
        <f>u_ChronicResp+u_CongnitiveImpairement</f>
        <v>17.805052694763283</v>
      </c>
      <c r="Z436" s="42">
        <f>U436*W436</f>
        <v>0</v>
      </c>
      <c r="AA436" s="6">
        <f>U436*X436</f>
        <v>0</v>
      </c>
    </row>
    <row r="437" spans="13:27" x14ac:dyDescent="0.3">
      <c r="M437" s="42"/>
      <c r="Q437" s="47">
        <f>noRDS2CLD_1*Hypo2CI_1</f>
        <v>0</v>
      </c>
      <c r="R437" s="47"/>
      <c r="T437" s="80"/>
      <c r="V437">
        <v>0</v>
      </c>
      <c r="W437" s="42"/>
      <c r="Z437" s="42"/>
      <c r="AA437" s="6"/>
    </row>
    <row r="438" spans="13:27" x14ac:dyDescent="0.3">
      <c r="M438" s="42"/>
      <c r="Q438" s="48">
        <f>c_lung+c_cog+c_hosp_fu+c_CSG</f>
        <v>58348.510902399998</v>
      </c>
      <c r="R438" s="48"/>
      <c r="T438" s="80"/>
      <c r="Z438" s="42"/>
      <c r="AA438" s="6"/>
    </row>
    <row r="439" spans="13:27" x14ac:dyDescent="0.3">
      <c r="M439" s="42"/>
      <c r="Q439" s="19" t="s">
        <v>370</v>
      </c>
      <c r="R439" s="19"/>
      <c r="T439" s="80"/>
      <c r="U439">
        <f>$A$103*$G$374*$E$302*$C$148*$I$409*$K$420*$M$435*$O$433*Q440</f>
        <v>0</v>
      </c>
      <c r="W439" s="42">
        <f>$K$421+$I$410+$G$375+$E$303+$C$149+$A$104+$M$436+$O$434+Q441</f>
        <v>21071.4604</v>
      </c>
      <c r="X439">
        <f>u_Healthy</f>
        <v>0</v>
      </c>
      <c r="Z439" s="42">
        <f>U439*W439</f>
        <v>0</v>
      </c>
      <c r="AA439" s="6">
        <f>U439*X439</f>
        <v>0</v>
      </c>
    </row>
    <row r="440" spans="13:27" x14ac:dyDescent="0.3">
      <c r="M440" s="42"/>
      <c r="O440" s="42"/>
      <c r="Q440" s="47">
        <f>1-Q437-Q434-Q431</f>
        <v>0.94866666666666666</v>
      </c>
      <c r="R440" s="47"/>
      <c r="T440" s="80"/>
      <c r="V440">
        <v>0</v>
      </c>
      <c r="Z440" s="42"/>
      <c r="AA440" s="6"/>
    </row>
    <row r="441" spans="13:27" x14ac:dyDescent="0.3">
      <c r="M441" s="42"/>
      <c r="Q441" s="48">
        <f>c_clinic_fu+c_CSG</f>
        <v>14403</v>
      </c>
      <c r="R441" s="48"/>
      <c r="T441" s="80"/>
      <c r="Z441" s="42"/>
      <c r="AA441" s="6"/>
    </row>
    <row r="442" spans="13:27" x14ac:dyDescent="0.3">
      <c r="M442" s="42"/>
      <c r="Q442" s="42"/>
      <c r="R442" s="42"/>
      <c r="S442" s="96"/>
      <c r="T442" s="80"/>
      <c r="Z442" s="42"/>
      <c r="AA442" s="6"/>
    </row>
    <row r="443" spans="13:27" x14ac:dyDescent="0.3">
      <c r="M443" s="42"/>
      <c r="Q443" s="19" t="s">
        <v>368</v>
      </c>
      <c r="R443" s="19"/>
      <c r="T443" s="80"/>
      <c r="U443">
        <f>$A$103*$G$374*$E$302*$C$148*$I$409*$K$420*$M$435*$O$447*Q444</f>
        <v>0</v>
      </c>
      <c r="W443" s="42">
        <f>$K$421+$I$410+$G$375+$E$303+$C$149+$A$104+$M$436+$O$448+Q445</f>
        <v>60290.971302399994</v>
      </c>
      <c r="X443">
        <f>u_ChronicResp</f>
        <v>0.53465956747782661</v>
      </c>
      <c r="Z443" s="42">
        <f>U443*W443</f>
        <v>0</v>
      </c>
      <c r="AA443" s="6">
        <f>U443*X443</f>
        <v>0</v>
      </c>
    </row>
    <row r="444" spans="13:27" x14ac:dyDescent="0.3">
      <c r="M444" s="42"/>
      <c r="Q444" s="47">
        <f>noRDS2CLD_1-(noRDS2CLD_1*noHypo2CI_1)</f>
        <v>0</v>
      </c>
      <c r="R444" s="47"/>
      <c r="T444" s="80"/>
      <c r="V444">
        <v>0</v>
      </c>
      <c r="Z444" s="42"/>
      <c r="AA444" s="6"/>
    </row>
    <row r="445" spans="13:27" x14ac:dyDescent="0.3">
      <c r="M445" s="42"/>
      <c r="Q445" s="48">
        <f>c_lung+c_hypo+c_CSG</f>
        <v>56558.771302399997</v>
      </c>
      <c r="R445" s="48"/>
      <c r="T445" s="80"/>
      <c r="Z445" s="42"/>
      <c r="AA445" s="6"/>
    </row>
    <row r="446" spans="13:27" x14ac:dyDescent="0.3">
      <c r="M446" s="42"/>
      <c r="O446" s="19" t="s">
        <v>371</v>
      </c>
      <c r="Q446" s="19" t="s">
        <v>226</v>
      </c>
      <c r="R446" s="19"/>
      <c r="T446" s="80"/>
      <c r="U446">
        <f>$A$103*$G$374*$E$302*$C$148*$I$409*$K$420*$M$435*$O$447*Q447</f>
        <v>1.6029187082518784E-2</v>
      </c>
      <c r="V446">
        <v>1.1717727309838824E-2</v>
      </c>
      <c r="W446" s="42">
        <f>$K$421+$I$410+$G$375+$E$303+$C$149+$A$104+$M$436+$O$448+Q448</f>
        <v>19498.2</v>
      </c>
      <c r="X446">
        <f>u_CongnitiveImpairement</f>
        <v>17.270393127285455</v>
      </c>
      <c r="Z446" s="42">
        <f>U446*W446</f>
        <v>312.54029557236777</v>
      </c>
      <c r="AA446" s="6">
        <f>U446*X446</f>
        <v>0.2768303624259052</v>
      </c>
    </row>
    <row r="447" spans="13:27" x14ac:dyDescent="0.3">
      <c r="M447" s="42"/>
      <c r="O447" s="47">
        <f>AGA_term_2normoglycaemia_1</f>
        <v>1</v>
      </c>
      <c r="Q447" s="47">
        <f>noHypo2CI_1</f>
        <v>3.3085576536761752E-2</v>
      </c>
      <c r="R447" s="47"/>
      <c r="T447" s="80"/>
      <c r="Z447" s="42"/>
      <c r="AA447" s="6"/>
    </row>
    <row r="448" spans="13:27" x14ac:dyDescent="0.3">
      <c r="M448" s="42"/>
      <c r="O448" s="48"/>
      <c r="Q448" s="48">
        <f>c_cog+c_hosp_fu+c_CSG</f>
        <v>15766</v>
      </c>
      <c r="R448" s="48"/>
      <c r="T448" s="80"/>
      <c r="Z448" s="42"/>
      <c r="AA448" s="6"/>
    </row>
    <row r="449" spans="1:27" x14ac:dyDescent="0.3">
      <c r="G449" s="42"/>
      <c r="M449" s="42"/>
      <c r="Q449" s="19" t="s">
        <v>369</v>
      </c>
      <c r="R449" s="19"/>
      <c r="T449" s="80"/>
      <c r="U449">
        <f>$A$103*$G$374*$E$302*$C$148*$I$409*$K$420*$M$435*$O$447*Q450</f>
        <v>0</v>
      </c>
      <c r="W449" s="42">
        <f>$K$421+$I$410+$G$375+$E$303+$C$149+$A$104+$M$436+$O$448+Q451</f>
        <v>62080.710902399995</v>
      </c>
      <c r="X449">
        <f>u_ChronicResp+u_CongnitiveImpairement</f>
        <v>17.805052694763283</v>
      </c>
      <c r="Z449" s="42">
        <f>U449*W449</f>
        <v>0</v>
      </c>
      <c r="AA449" s="6">
        <f>U449*X449</f>
        <v>0</v>
      </c>
    </row>
    <row r="450" spans="1:27" x14ac:dyDescent="0.3">
      <c r="Q450" s="47">
        <f>noRDS2CLD_1*noHypo2CI_1</f>
        <v>0</v>
      </c>
      <c r="R450" s="47"/>
      <c r="T450" s="80"/>
      <c r="V450">
        <v>0</v>
      </c>
      <c r="Z450" s="42"/>
      <c r="AA450" s="6"/>
    </row>
    <row r="451" spans="1:27" x14ac:dyDescent="0.3">
      <c r="Q451" s="48">
        <f>c_cog+c_lung+c_hosp_fu+c_CSG</f>
        <v>58348.510902399998</v>
      </c>
      <c r="R451" s="48"/>
      <c r="T451" s="80"/>
      <c r="Z451" s="42"/>
      <c r="AA451" s="6"/>
    </row>
    <row r="452" spans="1:27" x14ac:dyDescent="0.3">
      <c r="M452" s="42"/>
      <c r="Q452" s="19" t="s">
        <v>370</v>
      </c>
      <c r="R452" s="19"/>
      <c r="T452" s="80"/>
      <c r="U452">
        <f>$A$103*$G$374*$E$302*$C$148*$I$409*$K$420*$M$435*$O$447*Q453</f>
        <v>0.46844739638304589</v>
      </c>
      <c r="V452">
        <v>0.34244648974163461</v>
      </c>
      <c r="W452" s="42">
        <f>$K$421+$I$410+$G$375+$E$303+$C$149+$A$104+$M$436+$O$448+Q454</f>
        <v>18135.2</v>
      </c>
      <c r="X452">
        <f>u_Healthy</f>
        <v>0</v>
      </c>
      <c r="Z452" s="42">
        <f>U452*W452</f>
        <v>8495.3872228858145</v>
      </c>
      <c r="AA452" s="6">
        <f>U452*X452</f>
        <v>0</v>
      </c>
    </row>
    <row r="453" spans="1:27" x14ac:dyDescent="0.3">
      <c r="M453" s="42"/>
      <c r="Q453" s="47">
        <f>1-Q450-Q447-Q444</f>
        <v>0.9669144234632383</v>
      </c>
      <c r="R453" s="47"/>
      <c r="T453" s="80"/>
      <c r="Z453" s="42"/>
      <c r="AA453" s="6"/>
    </row>
    <row r="454" spans="1:27" x14ac:dyDescent="0.3">
      <c r="M454" s="42"/>
      <c r="Q454" s="48">
        <f>c_clinic_fu+c_CSG</f>
        <v>14403</v>
      </c>
      <c r="R454" s="48"/>
      <c r="T454" s="80"/>
      <c r="Z454" s="42"/>
      <c r="AA454" s="6"/>
    </row>
    <row r="455" spans="1:27" x14ac:dyDescent="0.3">
      <c r="A455" s="83"/>
      <c r="B455" s="83"/>
      <c r="C455" s="83"/>
      <c r="D455" s="83"/>
      <c r="E455" s="83"/>
      <c r="F455" s="83"/>
      <c r="G455" s="83"/>
      <c r="H455" s="83"/>
      <c r="I455" s="83"/>
      <c r="J455" s="83"/>
      <c r="K455" s="83"/>
      <c r="L455" s="83"/>
      <c r="M455" s="85"/>
      <c r="N455" s="83"/>
      <c r="O455" s="83"/>
      <c r="P455" s="83"/>
      <c r="Q455" s="85"/>
      <c r="R455" s="85"/>
      <c r="S455" s="97"/>
      <c r="T455" s="80"/>
      <c r="Z455" s="42"/>
      <c r="AA455" s="6"/>
    </row>
    <row r="456" spans="1:27" x14ac:dyDescent="0.3">
      <c r="C456" s="19" t="s">
        <v>3</v>
      </c>
      <c r="D456" s="19"/>
      <c r="E456" s="19"/>
      <c r="F456" s="19"/>
      <c r="G456" s="19"/>
      <c r="H456" s="19"/>
      <c r="I456" s="19"/>
      <c r="J456" s="19"/>
      <c r="K456" s="19"/>
      <c r="L456" s="19"/>
      <c r="M456" s="19"/>
      <c r="N456" s="19"/>
      <c r="O456" s="19"/>
      <c r="P456" s="19"/>
      <c r="Q456" s="19"/>
      <c r="R456" s="19"/>
      <c r="T456" s="80"/>
      <c r="U456">
        <f>C457*A555</f>
        <v>2.6850306525037955E-3</v>
      </c>
      <c r="V456">
        <v>5.3341426403641888E-3</v>
      </c>
      <c r="W456" s="42">
        <f>C458+A556</f>
        <v>4092</v>
      </c>
      <c r="X456">
        <f>u_Death</f>
        <v>19.181538114427529</v>
      </c>
      <c r="Z456" s="42">
        <f>U456*W456</f>
        <v>10.987145430045532</v>
      </c>
      <c r="AA456" s="6">
        <f>U456*X456</f>
        <v>5.1503017799407767E-2</v>
      </c>
    </row>
    <row r="457" spans="1:27" x14ac:dyDescent="0.3">
      <c r="C457" s="47">
        <f>NoANC2SB_2</f>
        <v>3.1562974203338388E-2</v>
      </c>
      <c r="T457" s="80"/>
      <c r="Z457" s="42"/>
      <c r="AA457" s="6"/>
    </row>
    <row r="458" spans="1:27" x14ac:dyDescent="0.3">
      <c r="C458" s="48">
        <f>c_SB</f>
        <v>1792</v>
      </c>
      <c r="T458" s="80"/>
      <c r="Z458" s="42"/>
      <c r="AA458" s="6"/>
    </row>
    <row r="459" spans="1:27" x14ac:dyDescent="0.3">
      <c r="C459" s="48">
        <f>c_SB</f>
        <v>1792</v>
      </c>
      <c r="T459" s="80"/>
      <c r="Z459" s="42"/>
      <c r="AA459" s="6"/>
    </row>
    <row r="460" spans="1:27" x14ac:dyDescent="0.3">
      <c r="K460" s="19" t="s">
        <v>165</v>
      </c>
      <c r="L460" s="19"/>
      <c r="M460" s="19"/>
      <c r="N460" s="19"/>
      <c r="O460" s="19"/>
      <c r="P460" s="19"/>
      <c r="Q460" s="19"/>
      <c r="R460" s="19"/>
      <c r="T460" s="80"/>
      <c r="U460">
        <f>$K$461*$I$469*$G$493*$E$531*$C$600*$A$555</f>
        <v>1.6004339522467234E-4</v>
      </c>
      <c r="V460">
        <v>7.2182412917313988E-4</v>
      </c>
      <c r="W460" s="42">
        <f>$K$462+$I$470+$G$494+$E$532+$C$601+$A$556</f>
        <v>259371.45980810808</v>
      </c>
      <c r="X460">
        <f>u_Death</f>
        <v>19.181538114427529</v>
      </c>
      <c r="Z460" s="42">
        <f>U460*W460</f>
        <v>41.51068905206926</v>
      </c>
      <c r="AA460" s="6">
        <f>U460*X460</f>
        <v>3.0698784854644411E-3</v>
      </c>
    </row>
    <row r="461" spans="1:27" x14ac:dyDescent="0.3">
      <c r="K461" s="47">
        <f>SGA_prem_2d_2</f>
        <v>7.6248466666666667E-2</v>
      </c>
      <c r="T461" s="80"/>
      <c r="Z461" s="42"/>
      <c r="AA461" s="6"/>
    </row>
    <row r="462" spans="1:27" x14ac:dyDescent="0.3">
      <c r="K462" s="48">
        <f>c_SB</f>
        <v>1792</v>
      </c>
      <c r="T462" s="80"/>
      <c r="Z462" s="42"/>
      <c r="AA462" s="6"/>
    </row>
    <row r="463" spans="1:27" x14ac:dyDescent="0.3">
      <c r="T463" s="80"/>
      <c r="Z463" s="42"/>
      <c r="AA463" s="6"/>
    </row>
    <row r="464" spans="1:27" x14ac:dyDescent="0.3">
      <c r="Q464" s="19" t="s">
        <v>368</v>
      </c>
      <c r="R464" s="19"/>
      <c r="T464" s="80"/>
      <c r="U464">
        <f>$K$480*$I$469*$G$493*$E$531*$C$600*$A$555*$M$475*$O$470*Q465</f>
        <v>6.4393561375755389E-5</v>
      </c>
      <c r="V464">
        <v>2.6118730470040626E-4</v>
      </c>
      <c r="W464" s="42">
        <f>$K$481+$I$470+$G$494+$E$532+$C$601+$A$556+$M$476+$O$471+Q466</f>
        <v>345640.84125871374</v>
      </c>
      <c r="X464">
        <f>u_ChronicResp</f>
        <v>0.53465956747782661</v>
      </c>
      <c r="Z464" s="42">
        <f>U464*W464</f>
        <v>22.257044725560707</v>
      </c>
      <c r="AA464" s="6">
        <f>U464*X464</f>
        <v>3.4428633673518256E-5</v>
      </c>
    </row>
    <row r="465" spans="9:27" x14ac:dyDescent="0.3">
      <c r="Q465" s="47">
        <f>RDS2CLD_2-(Hypo2CI_2*RDS2CLD_2)</f>
        <v>0.34246866666666664</v>
      </c>
      <c r="R465" s="47"/>
      <c r="T465" s="80"/>
      <c r="Z465" s="42"/>
      <c r="AA465" s="6"/>
    </row>
    <row r="466" spans="9:27" x14ac:dyDescent="0.3">
      <c r="Q466" s="48">
        <f>c_lung+c_hosp_fu+c_CSG</f>
        <v>54529.510902399998</v>
      </c>
      <c r="R466" s="48"/>
      <c r="T466" s="80"/>
      <c r="Z466" s="42"/>
      <c r="AA466" s="6"/>
    </row>
    <row r="467" spans="9:27" x14ac:dyDescent="0.3">
      <c r="Q467" s="19" t="s">
        <v>226</v>
      </c>
      <c r="R467" s="19"/>
      <c r="T467" s="80"/>
      <c r="U467">
        <f>$K$480*$I$469*$G$493*$E$531*$C$600*$A$555*$M$475*$O$470*Q468</f>
        <v>6.1676813263136339E-6</v>
      </c>
      <c r="V467">
        <v>2.501678781937051E-5</v>
      </c>
      <c r="W467" s="42">
        <f>$K$481+$I$470+$G$494+$E$532+$C$601+$A$556+$M$476+$O$471+Q469</f>
        <v>306877.33035631373</v>
      </c>
      <c r="X467">
        <f>u_CongnitiveImpairement</f>
        <v>17.270393127285455</v>
      </c>
      <c r="Z467" s="42">
        <f>U467*W467</f>
        <v>1.8927215799076162</v>
      </c>
      <c r="AA467" s="6">
        <f>U467*X467</f>
        <v>1.0651828118925382E-4</v>
      </c>
    </row>
    <row r="468" spans="9:27" x14ac:dyDescent="0.3">
      <c r="I468" s="19" t="s">
        <v>164</v>
      </c>
      <c r="Q468" s="47">
        <f>Hypo2CI_2-(Hypo2CI_2*RDS2CLD_2)</f>
        <v>3.2801999999999998E-2</v>
      </c>
      <c r="R468" s="47"/>
      <c r="T468" s="80"/>
      <c r="Z468" s="42"/>
      <c r="AA468" s="6"/>
    </row>
    <row r="469" spans="9:27" x14ac:dyDescent="0.3">
      <c r="I469" s="47">
        <f>LBW_prem_2SGA_2</f>
        <v>0.39968592964824123</v>
      </c>
      <c r="O469" s="19" t="s">
        <v>161</v>
      </c>
      <c r="Q469" s="48">
        <f>c_cog+c_hosp_fu+c_CSG</f>
        <v>15766</v>
      </c>
      <c r="R469" s="48"/>
      <c r="T469" s="80"/>
      <c r="Z469" s="42"/>
      <c r="AA469" s="6"/>
    </row>
    <row r="470" spans="9:27" x14ac:dyDescent="0.3">
      <c r="I470" s="48"/>
      <c r="O470" s="47">
        <f>SGA_prem_2hypoglycaemia_2</f>
        <v>0.2155</v>
      </c>
      <c r="Q470" s="19" t="s">
        <v>369</v>
      </c>
      <c r="R470" s="19"/>
      <c r="T470" s="80"/>
      <c r="U470">
        <f>$K$480*$I$469*$G$493*$E$531*$C$600*$A$555*$M$475*$O$470*Q471</f>
        <v>3.4844021264463566E-6</v>
      </c>
      <c r="V470">
        <v>1.4133114871350164E-5</v>
      </c>
      <c r="W470" s="42">
        <f>$K$481+$I$470+$G$494+$E$532+$C$601+$A$556+$M$476+$O$471+Q472</f>
        <v>349459.84125871374</v>
      </c>
      <c r="X470">
        <f>u_ChronicResp+u_CongnitiveImpairement</f>
        <v>17.805052694763283</v>
      </c>
      <c r="Z470" s="42">
        <f>U470*W470</f>
        <v>1.2176586139894685</v>
      </c>
      <c r="AA470" s="6">
        <f>U470*X470</f>
        <v>6.203996347112262E-5</v>
      </c>
    </row>
    <row r="471" spans="9:27" x14ac:dyDescent="0.3">
      <c r="O471" s="48">
        <f>c_hypo</f>
        <v>2936.2604000000001</v>
      </c>
      <c r="Q471" s="47">
        <f>Hypo2CI_2*RDS2CLD_2</f>
        <v>1.8531333333333334E-2</v>
      </c>
      <c r="R471" s="47"/>
      <c r="T471" s="80"/>
      <c r="Z471" s="42"/>
      <c r="AA471" s="6"/>
    </row>
    <row r="472" spans="9:27" x14ac:dyDescent="0.3">
      <c r="M472" s="42"/>
      <c r="Q472" s="48">
        <f>c_lung+c_cog+c_hosp_fu+c_CSG</f>
        <v>58348.510902399998</v>
      </c>
      <c r="R472" s="48"/>
      <c r="T472" s="80"/>
      <c r="Z472" s="42"/>
      <c r="AA472" s="6"/>
    </row>
    <row r="473" spans="9:27" x14ac:dyDescent="0.3">
      <c r="Q473" s="19" t="s">
        <v>370</v>
      </c>
      <c r="R473" s="19"/>
      <c r="T473" s="80"/>
      <c r="U473">
        <f>$K$480*$I$469*$G$493*$E$531*$C$600*$A$555*$M$475*$O$470*Q474</f>
        <v>1.1398195490057534E-4</v>
      </c>
      <c r="V473">
        <v>4.623232346358992E-4</v>
      </c>
      <c r="W473" s="42">
        <f>$K$481+$I$470+$G$494+$E$532+$C$601+$A$556+$M$476+$O$471+Q475</f>
        <v>305514.33035631373</v>
      </c>
      <c r="X473">
        <f>u_Healthy</f>
        <v>0</v>
      </c>
      <c r="Z473" s="42">
        <f>U473*W473</f>
        <v>34.823120624152828</v>
      </c>
      <c r="AA473" s="6">
        <f>U473*X473</f>
        <v>0</v>
      </c>
    </row>
    <row r="474" spans="9:27" x14ac:dyDescent="0.3">
      <c r="M474" s="19" t="s">
        <v>9</v>
      </c>
      <c r="Q474" s="47">
        <f>1-Q465-Q468-Q471</f>
        <v>0.60619800000000001</v>
      </c>
      <c r="R474" s="47"/>
      <c r="T474" s="80"/>
      <c r="Z474" s="42"/>
      <c r="AA474" s="6"/>
    </row>
    <row r="475" spans="9:27" x14ac:dyDescent="0.3">
      <c r="K475" s="42"/>
      <c r="M475" s="47">
        <f>S_prem_2RDS_2</f>
        <v>0.45</v>
      </c>
      <c r="Q475" s="48">
        <f>c_clinic_fu+c_CSG</f>
        <v>14403</v>
      </c>
      <c r="R475" s="48"/>
      <c r="T475" s="80"/>
      <c r="Z475" s="42"/>
      <c r="AA475" s="6"/>
    </row>
    <row r="476" spans="9:27" x14ac:dyDescent="0.3">
      <c r="K476" s="42"/>
      <c r="M476" s="48">
        <f>c_RDS</f>
        <v>30595.610148205637</v>
      </c>
      <c r="Q476" s="42"/>
      <c r="R476" s="42"/>
      <c r="T476" s="80"/>
      <c r="Z476" s="42"/>
      <c r="AA476" s="6"/>
    </row>
    <row r="477" spans="9:27" x14ac:dyDescent="0.3">
      <c r="Q477" s="19" t="s">
        <v>368</v>
      </c>
      <c r="R477" s="19"/>
      <c r="T477" s="80"/>
      <c r="U477">
        <f>$K$480*$I$469*$G$493*$E$531*$C$600*$A$555*$M$475*$O$480*Q478</f>
        <v>2.3892550689705549E-4</v>
      </c>
      <c r="V477">
        <v>9.6910790205363435E-4</v>
      </c>
      <c r="W477" s="42">
        <f>$K$481+$I$470+$G$494+$E$532+$C$601+$A$556+$M$476+$O$481+Q479</f>
        <v>342704.58085871371</v>
      </c>
      <c r="X477">
        <f>u_ChronicResp</f>
        <v>0.53465956747782661</v>
      </c>
      <c r="Z477" s="42">
        <f>U477*W477</f>
        <v>81.880865697611114</v>
      </c>
      <c r="AA477" s="6">
        <f>U477*X477</f>
        <v>1.2774380817700016E-4</v>
      </c>
    </row>
    <row r="478" spans="9:27" x14ac:dyDescent="0.3">
      <c r="Q478" s="47">
        <f>RDS2CLD_2-(RDS2CLD_2*noHypo2CI_2)</f>
        <v>0.34905610687022898</v>
      </c>
      <c r="R478" s="47"/>
      <c r="T478" s="80"/>
      <c r="Z478" s="42"/>
      <c r="AA478" s="6"/>
    </row>
    <row r="479" spans="9:27" x14ac:dyDescent="0.3">
      <c r="K479" s="19" t="s">
        <v>37</v>
      </c>
      <c r="M479" s="42"/>
      <c r="O479" s="19" t="s">
        <v>371</v>
      </c>
      <c r="Q479" s="48">
        <f>c_lung+c_hosp_fu+c_CSG</f>
        <v>54529.510902399998</v>
      </c>
      <c r="R479" s="48"/>
      <c r="T479" s="80"/>
      <c r="Z479" s="42"/>
      <c r="AA479" s="6"/>
    </row>
    <row r="480" spans="9:27" x14ac:dyDescent="0.3">
      <c r="K480" s="47">
        <f>SGA_prem_2s_2</f>
        <v>0.92375153333333337</v>
      </c>
      <c r="O480" s="47">
        <f>SGA_prem_2normoglycaemia_2</f>
        <v>0.78449999999999998</v>
      </c>
      <c r="Q480" s="19" t="s">
        <v>226</v>
      </c>
      <c r="R480" s="19"/>
      <c r="T480" s="80"/>
      <c r="U480">
        <f>$K$480*$I$469*$G$493*$E$531*$C$600*$A$555*$M$475*$O$480*Q481</f>
        <v>1.4471276466021801E-5</v>
      </c>
      <c r="V480">
        <v>5.8697074909072222E-5</v>
      </c>
      <c r="W480" s="42">
        <f>$K$481+$I$470+$G$494+$E$532+$C$601+$A$556+$M$476+$O$481+Q482</f>
        <v>303941.0699563137</v>
      </c>
      <c r="X480">
        <f>u_CongnitiveImpairement</f>
        <v>17.270393127285455</v>
      </c>
      <c r="Z480" s="42">
        <f>U480*W480</f>
        <v>4.3984152527162879</v>
      </c>
      <c r="AA480" s="6">
        <f>U480*X480</f>
        <v>2.4992463362183068E-4</v>
      </c>
    </row>
    <row r="481" spans="7:27" x14ac:dyDescent="0.3">
      <c r="K481" s="48"/>
      <c r="O481" s="48"/>
      <c r="Q481" s="47">
        <f>noHypo2CI_2-(RDS2CLD_2*noHypo2CI_2)</f>
        <v>2.1141683406990762E-2</v>
      </c>
      <c r="R481" s="47"/>
      <c r="T481" s="80"/>
      <c r="Z481" s="42"/>
      <c r="AA481" s="6"/>
    </row>
    <row r="482" spans="7:27" x14ac:dyDescent="0.3">
      <c r="Q482" s="48">
        <f>c_cog+c_hosp_fu+c_CSG</f>
        <v>15766</v>
      </c>
      <c r="R482" s="48"/>
      <c r="T482" s="80"/>
      <c r="Z482" s="42"/>
      <c r="AA482" s="6"/>
    </row>
    <row r="483" spans="7:27" x14ac:dyDescent="0.3">
      <c r="Q483" s="19" t="s">
        <v>369</v>
      </c>
      <c r="R483" s="19"/>
      <c r="T483" s="80"/>
      <c r="U483">
        <f>$K$480*$I$469*$G$493*$E$531*$C$600*$A$555*$M$475*$O$480*Q484</f>
        <v>8.1754785668761644E-6</v>
      </c>
      <c r="V483">
        <v>3.3160632303873344E-5</v>
      </c>
      <c r="W483" s="42">
        <f>$K$481+$I$470+$G$494+$E$532+$C$601+$A$556+$M$476+$O$481+Q485</f>
        <v>346523.58085871371</v>
      </c>
      <c r="X483">
        <f>u_ChronicResp+u_CongnitiveImpairement</f>
        <v>17.805052694763283</v>
      </c>
      <c r="Z483" s="42">
        <f>U483*W483</f>
        <v>2.8329961082275936</v>
      </c>
      <c r="AA483" s="6">
        <f>U483*X483</f>
        <v>1.4556482668813791E-4</v>
      </c>
    </row>
    <row r="484" spans="7:27" x14ac:dyDescent="0.3">
      <c r="G484" s="42"/>
      <c r="Q484" s="47">
        <f>RDS2CLD_2*noHypo2CI_2</f>
        <v>1.1943893129770991E-2</v>
      </c>
      <c r="R484" s="47"/>
      <c r="T484" s="80"/>
      <c r="Z484" s="42"/>
      <c r="AA484" s="6"/>
    </row>
    <row r="485" spans="7:27" x14ac:dyDescent="0.3">
      <c r="G485" s="42"/>
      <c r="Q485" s="48">
        <f>c_cog+c_lung+c_hosp_fu+c_CSG</f>
        <v>58348.510902399998</v>
      </c>
      <c r="R485" s="48"/>
      <c r="T485" s="80"/>
      <c r="Z485" s="42"/>
      <c r="AA485" s="6"/>
    </row>
    <row r="486" spans="7:27" x14ac:dyDescent="0.3">
      <c r="Q486" s="19" t="s">
        <v>370</v>
      </c>
      <c r="R486" s="19"/>
      <c r="T486" s="80"/>
      <c r="U486">
        <f>$K$480*$I$469*$G$493*$E$531*$C$600*$A$555*$M$475*$O$480*Q487</f>
        <v>4.2291800251307069E-4</v>
      </c>
      <c r="V486">
        <v>1.7154015219176524E-3</v>
      </c>
      <c r="W486" s="42">
        <f>$K$481+$I$470+$G$494+$E$532+$C$601+$A$556+$M$476+$O$481+Q488</f>
        <v>302578.0699563137</v>
      </c>
      <c r="X486">
        <f>u_Healthy</f>
        <v>0</v>
      </c>
      <c r="Z486" s="42">
        <f>U486*W486</f>
        <v>127.96571295018435</v>
      </c>
      <c r="AA486" s="6">
        <f>U486*X486</f>
        <v>0</v>
      </c>
    </row>
    <row r="487" spans="7:27" x14ac:dyDescent="0.3">
      <c r="Q487" s="47">
        <f>1-Q484-Q481-Q478</f>
        <v>0.61785831659300938</v>
      </c>
      <c r="R487" s="47"/>
      <c r="T487" s="80"/>
      <c r="Z487" s="42"/>
      <c r="AA487" s="6"/>
    </row>
    <row r="488" spans="7:27" x14ac:dyDescent="0.3">
      <c r="Q488" s="48">
        <f>c_clinic_fu+c_CSG</f>
        <v>14403</v>
      </c>
      <c r="R488" s="48"/>
      <c r="T488" s="80"/>
      <c r="Z488" s="42"/>
      <c r="AA488" s="6"/>
    </row>
    <row r="489" spans="7:27" x14ac:dyDescent="0.3">
      <c r="Q489" s="42"/>
      <c r="R489" s="42"/>
      <c r="T489" s="80"/>
      <c r="Z489" s="42"/>
      <c r="AA489" s="6"/>
    </row>
    <row r="490" spans="7:27" x14ac:dyDescent="0.3">
      <c r="Q490" s="19" t="s">
        <v>368</v>
      </c>
      <c r="R490" s="19"/>
      <c r="T490" s="80"/>
      <c r="U490">
        <f>$K$480*$I$469*$G$493*$E$531*$C$600*$A$555*$M$495*$O$493*Q491</f>
        <v>7.8703241681478834E-5</v>
      </c>
      <c r="V490">
        <v>3.1922892796716319E-4</v>
      </c>
      <c r="W490" s="42">
        <f>$K$481+$I$470+$G$494+$E$532+$C$601+$A$556+$M$496+$O$494+Q492</f>
        <v>315045.23111050809</v>
      </c>
      <c r="X490">
        <f>u_ChronicResp</f>
        <v>0.53465956747782661</v>
      </c>
      <c r="Z490" s="42">
        <f>U490*W490</f>
        <v>24.795080964687674</v>
      </c>
      <c r="AA490" s="6">
        <f>U490*X490</f>
        <v>4.2079441156522332E-5</v>
      </c>
    </row>
    <row r="491" spans="7:27" x14ac:dyDescent="0.3">
      <c r="Q491" s="47">
        <f>RDS2CLD_2-(Hypo2CI_2*RDS2CLD_2)</f>
        <v>0.34246866666666664</v>
      </c>
      <c r="R491" s="47"/>
      <c r="T491" s="80"/>
      <c r="Z491" s="42"/>
      <c r="AA491" s="6"/>
    </row>
    <row r="492" spans="7:27" x14ac:dyDescent="0.3">
      <c r="G492" s="19" t="s">
        <v>8</v>
      </c>
      <c r="O492" s="19" t="s">
        <v>161</v>
      </c>
      <c r="Q492" s="48">
        <f>c_lung+c_hosp_fu+c_CSG</f>
        <v>54529.510902399998</v>
      </c>
      <c r="R492" s="48"/>
      <c r="T492" s="80"/>
      <c r="Z492" s="42"/>
      <c r="AA492" s="6"/>
    </row>
    <row r="493" spans="7:27" x14ac:dyDescent="0.3">
      <c r="G493" s="47">
        <f>Prem2LBW_2</f>
        <v>0.48376271186440678</v>
      </c>
      <c r="O493" s="47">
        <f>SGA_prem_2hypoglycaemia_2</f>
        <v>0.2155</v>
      </c>
      <c r="Q493" s="19" t="s">
        <v>226</v>
      </c>
      <c r="R493" s="19"/>
      <c r="T493" s="80"/>
      <c r="U493">
        <f>$K$480*$I$469*$G$493*$E$531*$C$600*$A$555*$M$495*$O$493*Q494</f>
        <v>7.5382771766055537E-6</v>
      </c>
      <c r="V493">
        <v>3.0576074001452847E-5</v>
      </c>
      <c r="W493" s="42">
        <f>$K$481+$I$470+$G$494+$E$532+$C$601+$A$556+$M$496+$O$494+Q495</f>
        <v>276281.72020810808</v>
      </c>
      <c r="X493">
        <f>u_CongnitiveImpairement</f>
        <v>17.270393127285455</v>
      </c>
      <c r="Z493" s="42">
        <f>U493*W493</f>
        <v>2.0826881857581023</v>
      </c>
      <c r="AA493" s="6">
        <f>U493*X493</f>
        <v>1.3018901034242137E-4</v>
      </c>
    </row>
    <row r="494" spans="7:27" x14ac:dyDescent="0.3">
      <c r="G494" s="48">
        <f>c_LBW</f>
        <v>254701.55809999997</v>
      </c>
      <c r="M494" s="19" t="s">
        <v>203</v>
      </c>
      <c r="O494" s="48">
        <f>c_hypo</f>
        <v>2936.2604000000001</v>
      </c>
      <c r="Q494" s="47">
        <f>Hypo2CI_2-(Hypo2CI_2*RDS2CLD_2)</f>
        <v>3.2801999999999998E-2</v>
      </c>
      <c r="R494" s="47"/>
      <c r="T494" s="80"/>
      <c r="Z494" s="42"/>
      <c r="AA494" s="6"/>
    </row>
    <row r="495" spans="7:27" x14ac:dyDescent="0.3">
      <c r="M495" s="47">
        <f>S_prem_2noRDS_2</f>
        <v>0.55000000000000004</v>
      </c>
      <c r="Q495" s="48">
        <f>c_cog+c_hosp_fu+c_CSG</f>
        <v>15766</v>
      </c>
      <c r="R495" s="48"/>
      <c r="T495" s="80"/>
      <c r="Z495" s="42"/>
      <c r="AA495" s="6"/>
    </row>
    <row r="496" spans="7:27" x14ac:dyDescent="0.3">
      <c r="M496" s="48"/>
      <c r="O496" s="42"/>
      <c r="Q496" s="19" t="s">
        <v>369</v>
      </c>
      <c r="R496" s="19"/>
      <c r="T496" s="80"/>
      <c r="U496">
        <f>$K$480*$I$469*$G$493*$E$531*$C$600*$A$555*$M$495*$O$493*Q497</f>
        <v>4.2587137101011031E-6</v>
      </c>
      <c r="V496">
        <v>1.7273807064983534E-5</v>
      </c>
      <c r="W496" s="42">
        <f>$K$481+$I$470+$G$494+$E$532+$C$601+$A$556+$M$496+$O$494+Q498</f>
        <v>318864.23111050809</v>
      </c>
      <c r="X496">
        <f>u_ChronicResp+u_CongnitiveImpairement</f>
        <v>17.805052694763283</v>
      </c>
      <c r="Z496" s="42">
        <f>U496*W496</f>
        <v>1.3579514726911674</v>
      </c>
      <c r="AA496" s="6">
        <f>U496*X496</f>
        <v>7.5826622020260984E-5</v>
      </c>
    </row>
    <row r="497" spans="13:27" x14ac:dyDescent="0.3">
      <c r="M497" s="42"/>
      <c r="Q497" s="47">
        <f>Hypo2CI_2*RDS2CLD_2</f>
        <v>1.8531333333333334E-2</v>
      </c>
      <c r="R497" s="47"/>
      <c r="T497" s="80"/>
      <c r="Z497" s="42"/>
      <c r="AA497" s="6"/>
    </row>
    <row r="498" spans="13:27" x14ac:dyDescent="0.3">
      <c r="M498" s="42"/>
      <c r="Q498" s="48">
        <f>c_lung+c_cog+c_hosp_fu+c_CSG</f>
        <v>58348.510902399998</v>
      </c>
      <c r="R498" s="48"/>
      <c r="T498" s="80"/>
      <c r="Z498" s="42"/>
      <c r="AA498" s="6"/>
    </row>
    <row r="499" spans="13:27" x14ac:dyDescent="0.3">
      <c r="M499" s="42"/>
      <c r="Q499" s="19" t="s">
        <v>370</v>
      </c>
      <c r="R499" s="19"/>
      <c r="T499" s="80"/>
      <c r="U499">
        <f>$K$480*$I$469*$G$493*$E$531*$C$600*$A$555*$M$495*$O$493*Q500</f>
        <v>1.3931127821181433E-4</v>
      </c>
      <c r="V499">
        <v>5.6506173122165457E-4</v>
      </c>
      <c r="W499" s="42">
        <f>$K$481+$I$470+$G$494+$E$532+$C$601+$A$556+$M$496+$O$494+Q501</f>
        <v>274918.72020810808</v>
      </c>
      <c r="X499">
        <f>u_Healthy</f>
        <v>0</v>
      </c>
      <c r="Z499" s="42">
        <f>U499*W499</f>
        <v>38.299278316547685</v>
      </c>
      <c r="AA499" s="6">
        <f>U499*X499</f>
        <v>0</v>
      </c>
    </row>
    <row r="500" spans="13:27" x14ac:dyDescent="0.3">
      <c r="M500" s="42"/>
      <c r="O500" s="42"/>
      <c r="Q500" s="47">
        <f>1-Q491-Q494-Q497</f>
        <v>0.60619800000000001</v>
      </c>
      <c r="R500" s="47"/>
      <c r="T500" s="80"/>
      <c r="Z500" s="42"/>
      <c r="AA500" s="6"/>
    </row>
    <row r="501" spans="13:27" x14ac:dyDescent="0.3">
      <c r="M501" s="42"/>
      <c r="Q501" s="48">
        <f>c_clinic_fu+c_CSG</f>
        <v>14403</v>
      </c>
      <c r="R501" s="48"/>
      <c r="T501" s="80"/>
      <c r="Z501" s="42"/>
      <c r="AA501" s="6"/>
    </row>
    <row r="502" spans="13:27" x14ac:dyDescent="0.3">
      <c r="M502" s="42"/>
      <c r="Q502" s="42"/>
      <c r="R502" s="42"/>
      <c r="S502" s="96"/>
      <c r="T502" s="80"/>
      <c r="Z502" s="42"/>
      <c r="AA502" s="6"/>
    </row>
    <row r="503" spans="13:27" x14ac:dyDescent="0.3">
      <c r="M503" s="42"/>
      <c r="Q503" s="19" t="s">
        <v>368</v>
      </c>
      <c r="R503" s="19"/>
      <c r="T503" s="80"/>
      <c r="U503">
        <f>$K$480*$I$469*$G$493*$E$531*$C$600*$A$555*$M$495*$O$507*Q504</f>
        <v>2.9202006398529009E-4</v>
      </c>
      <c r="V503">
        <v>1.1844652136211086E-3</v>
      </c>
      <c r="W503" s="42">
        <f>$K$481+$I$470+$G$494+$E$532+$C$601+$A$556+$M$496+$O$508+Q505</f>
        <v>312108.97071050806</v>
      </c>
      <c r="X503">
        <f>u_ChronicResp</f>
        <v>0.53465956747782661</v>
      </c>
      <c r="Z503" s="42">
        <f>U503*W503</f>
        <v>91.142081597265587</v>
      </c>
      <c r="AA503" s="6">
        <f>U503*X503</f>
        <v>1.5613132110522246E-4</v>
      </c>
    </row>
    <row r="504" spans="13:27" x14ac:dyDescent="0.3">
      <c r="M504" s="42"/>
      <c r="Q504" s="47">
        <f>RDS2CLD_2-(RDS2CLD_2*noHypo2CI_2)</f>
        <v>0.34905610687022898</v>
      </c>
      <c r="R504" s="47"/>
      <c r="T504" s="80"/>
      <c r="Z504" s="42"/>
      <c r="AA504" s="6"/>
    </row>
    <row r="505" spans="13:27" x14ac:dyDescent="0.3">
      <c r="M505" s="42"/>
      <c r="Q505" s="48">
        <f>c_lung+c_hosp_fu+c_CSG</f>
        <v>54529.510902399998</v>
      </c>
      <c r="R505" s="48"/>
      <c r="T505" s="80"/>
      <c r="Z505" s="42"/>
      <c r="AA505" s="6"/>
    </row>
    <row r="506" spans="13:27" x14ac:dyDescent="0.3">
      <c r="M506" s="42"/>
      <c r="O506" s="19" t="s">
        <v>371</v>
      </c>
      <c r="Q506" s="19" t="s">
        <v>226</v>
      </c>
      <c r="R506" s="19"/>
      <c r="T506" s="80"/>
      <c r="U506">
        <f>$K$480*$I$469*$G$493*$E$531*$C$600*$A$555*$M$495*$O$507*Q507</f>
        <v>1.7687115680693315E-5</v>
      </c>
      <c r="V506">
        <v>7.1740869333310485E-5</v>
      </c>
      <c r="W506" s="42">
        <f>$K$481+$I$470+$G$494+$E$532+$C$601+$A$556+$M$496+$O$508+Q508</f>
        <v>273345.45980810805</v>
      </c>
      <c r="X506">
        <f>u_CongnitiveImpairement</f>
        <v>17.270393127285455</v>
      </c>
      <c r="Z506" s="42">
        <f>U506*W506</f>
        <v>4.8346927684183125</v>
      </c>
      <c r="AA506" s="6">
        <f>U506*X506</f>
        <v>3.0546344109334865E-4</v>
      </c>
    </row>
    <row r="507" spans="13:27" x14ac:dyDescent="0.3">
      <c r="M507" s="42"/>
      <c r="O507" s="47">
        <f>SGA_prem_2normoglycaemia_2</f>
        <v>0.78449999999999998</v>
      </c>
      <c r="Q507" s="47">
        <f>noHypo2CI_2-(RDS2CLD_2*noHypo2CI_2)</f>
        <v>2.1141683406990762E-2</v>
      </c>
      <c r="R507" s="47"/>
      <c r="T507" s="80"/>
      <c r="Z507" s="42"/>
      <c r="AA507" s="6"/>
    </row>
    <row r="508" spans="13:27" x14ac:dyDescent="0.3">
      <c r="M508" s="42"/>
      <c r="O508" s="48"/>
      <c r="Q508" s="48">
        <f>c_cog+c_hosp_fu+c_CSG</f>
        <v>15766</v>
      </c>
      <c r="R508" s="48"/>
      <c r="T508" s="80"/>
      <c r="Z508" s="42"/>
      <c r="AA508" s="6"/>
    </row>
    <row r="509" spans="13:27" x14ac:dyDescent="0.3">
      <c r="M509" s="42"/>
      <c r="Q509" s="19" t="s">
        <v>369</v>
      </c>
      <c r="R509" s="19"/>
      <c r="T509" s="80"/>
      <c r="U509">
        <f>$K$480*$I$469*$G$493*$E$531*$C$600*$A$555*$M$495*$O$507*Q510</f>
        <v>9.9922515817375358E-6</v>
      </c>
      <c r="V509">
        <v>4.0529661704734088E-5</v>
      </c>
      <c r="W509" s="42">
        <f>$K$481+$I$470+$G$494+$E$532+$C$601+$A$556+$M$496+$O$508+Q511</f>
        <v>315927.97071050806</v>
      </c>
      <c r="X509">
        <f>u_ChronicResp+u_CongnitiveImpairement</f>
        <v>17.805052694763283</v>
      </c>
      <c r="Z509" s="42">
        <f>U509*W509</f>
        <v>3.1568317650472042</v>
      </c>
      <c r="AA509" s="6">
        <f>U509*X509</f>
        <v>1.7791256595216858E-4</v>
      </c>
    </row>
    <row r="510" spans="13:27" x14ac:dyDescent="0.3">
      <c r="M510" s="42"/>
      <c r="Q510" s="47">
        <f>RDS2CLD_2*noHypo2CI_2</f>
        <v>1.1943893129770991E-2</v>
      </c>
      <c r="R510" s="47"/>
      <c r="T510" s="80"/>
      <c r="Z510" s="42"/>
      <c r="AA510" s="6"/>
    </row>
    <row r="511" spans="13:27" x14ac:dyDescent="0.3">
      <c r="M511" s="42"/>
      <c r="Q511" s="48">
        <f>c_cog+c_lung+c_hosp_fu+c_CSG</f>
        <v>58348.510902399998</v>
      </c>
      <c r="R511" s="48"/>
      <c r="T511" s="80"/>
      <c r="Z511" s="42"/>
      <c r="AA511" s="6"/>
    </row>
    <row r="512" spans="13:27" x14ac:dyDescent="0.3">
      <c r="M512" s="42"/>
      <c r="Q512" s="19" t="s">
        <v>370</v>
      </c>
      <c r="R512" s="19"/>
      <c r="T512" s="80"/>
      <c r="U512">
        <f>$K$480*$I$469*$G$493*$E$531*$C$600*$A$555*$M$495*$O$507*Q513</f>
        <v>5.1689978084930863E-4</v>
      </c>
      <c r="V512">
        <v>2.0966018601215751E-3</v>
      </c>
      <c r="W512" s="42">
        <f>$K$481+$I$470+$G$494+$E$532+$C$601+$A$556+$M$496+$O$508+Q514</f>
        <v>271982.45980810805</v>
      </c>
      <c r="X512">
        <f>u_Healthy</f>
        <v>0</v>
      </c>
      <c r="Z512" s="42">
        <f>U512*W512</f>
        <v>140.58767386966693</v>
      </c>
      <c r="AA512" s="6">
        <f>U512*X512</f>
        <v>0</v>
      </c>
    </row>
    <row r="513" spans="9:27" x14ac:dyDescent="0.3">
      <c r="M513" s="42"/>
      <c r="Q513" s="47">
        <f>1-Q510-Q507-Q504</f>
        <v>0.61785831659300938</v>
      </c>
      <c r="R513" s="47"/>
      <c r="T513" s="80"/>
      <c r="Z513" s="42"/>
      <c r="AA513" s="6"/>
    </row>
    <row r="514" spans="9:27" x14ac:dyDescent="0.3">
      <c r="M514" s="42"/>
      <c r="Q514" s="48">
        <f>c_clinic_fu+c_CSG</f>
        <v>14403</v>
      </c>
      <c r="R514" s="48"/>
      <c r="T514" s="80"/>
      <c r="Z514" s="42"/>
      <c r="AA514" s="6"/>
    </row>
    <row r="515" spans="9:27" x14ac:dyDescent="0.3">
      <c r="M515" s="42"/>
      <c r="Q515" s="42"/>
      <c r="R515" s="42"/>
      <c r="T515" s="80"/>
      <c r="Z515" s="42"/>
      <c r="AA515" s="6"/>
    </row>
    <row r="516" spans="9:27" x14ac:dyDescent="0.3">
      <c r="K516" s="19" t="s">
        <v>165</v>
      </c>
      <c r="L516" s="19"/>
      <c r="M516" s="19"/>
      <c r="N516" s="19"/>
      <c r="O516" s="19"/>
      <c r="P516" s="19"/>
      <c r="Q516" s="19"/>
      <c r="R516" s="19"/>
      <c r="T516" s="80"/>
      <c r="U516">
        <f>$G$493*$E$531*$C$600*$A$555*$I$525*K517</f>
        <v>1.0057908895469078E-4</v>
      </c>
      <c r="V516">
        <v>3.7806417943276585E-4</v>
      </c>
      <c r="W516" s="42">
        <f>$K$518+$I$526+$G$494+$E$532+$C$601+$A$556</f>
        <v>259371.45980810808</v>
      </c>
      <c r="X516">
        <f>u_Death</f>
        <v>19.181538114427529</v>
      </c>
      <c r="Z516" s="42">
        <f>U516*W516</f>
        <v>26.087345128347707</v>
      </c>
      <c r="AA516" s="6">
        <f>U516*X516</f>
        <v>1.929261628298798E-3</v>
      </c>
    </row>
    <row r="517" spans="9:27" x14ac:dyDescent="0.3">
      <c r="K517" s="47">
        <f>AGA_prem_2d_2</f>
        <v>3.1903725000000001E-2</v>
      </c>
      <c r="T517" s="80"/>
      <c r="Z517" s="42"/>
      <c r="AA517" s="6"/>
    </row>
    <row r="518" spans="9:27" x14ac:dyDescent="0.3">
      <c r="K518" s="48">
        <f>c_SB</f>
        <v>1792</v>
      </c>
      <c r="T518" s="80"/>
      <c r="Z518" s="42"/>
      <c r="AA518" s="6"/>
    </row>
    <row r="519" spans="9:27" x14ac:dyDescent="0.3">
      <c r="T519" s="80"/>
      <c r="Z519" s="42"/>
      <c r="AA519" s="6"/>
    </row>
    <row r="520" spans="9:27" x14ac:dyDescent="0.3">
      <c r="Q520" s="19" t="s">
        <v>368</v>
      </c>
      <c r="R520" s="19"/>
      <c r="T520" s="80"/>
      <c r="U520">
        <f>$G$493*$E$531*$C$600*$A$555*$I$525*$K$536*$M$531*$O$526*Q521</f>
        <v>7.0552022667553718E-5</v>
      </c>
      <c r="V520">
        <v>2.3972017654573001E-4</v>
      </c>
      <c r="W520" s="42">
        <f>$K$537+$I$526+$G$494+$E$532+$C$601+$A$556+$M$532+$O$527+Q522</f>
        <v>345640.84125871374</v>
      </c>
      <c r="X520">
        <f>u_ChronicResp</f>
        <v>0.53465956747782661</v>
      </c>
      <c r="Z520" s="42">
        <f>U520*W520</f>
        <v>24.385660467317109</v>
      </c>
      <c r="AA520" s="6">
        <f>U520*X520</f>
        <v>3.7721313924120091E-5</v>
      </c>
    </row>
    <row r="521" spans="9:27" x14ac:dyDescent="0.3">
      <c r="Q521" s="47">
        <f>RDS2CLD_2-(Hypo2CI_2*RDS2CLD_2)</f>
        <v>0.34246866666666664</v>
      </c>
      <c r="R521" s="47"/>
      <c r="T521" s="80"/>
      <c r="Z521" s="42"/>
      <c r="AA521" s="6"/>
    </row>
    <row r="522" spans="9:27" x14ac:dyDescent="0.3">
      <c r="Q522" s="48">
        <f>c_lung+c_hosp_fu+c_CSG</f>
        <v>54529.510902399998</v>
      </c>
      <c r="R522" s="48"/>
      <c r="T522" s="80"/>
      <c r="Z522" s="42"/>
      <c r="AA522" s="6"/>
    </row>
    <row r="523" spans="9:27" x14ac:dyDescent="0.3">
      <c r="Q523" s="19" t="s">
        <v>226</v>
      </c>
      <c r="R523" s="19"/>
      <c r="T523" s="80"/>
      <c r="U523">
        <f>$G$493*$E$531*$C$600*$A$555*$I$525*$K$536*$M$531*$O$526*Q524</f>
        <v>6.7575450626366709E-6</v>
      </c>
      <c r="V523">
        <v>2.2960644276127556E-5</v>
      </c>
      <c r="W523" s="42">
        <f>$K$537+$I$526+$G$494+$E$532+$C$601+$A$556+$M$532+$O$527+Q525</f>
        <v>306877.33035631373</v>
      </c>
      <c r="X523">
        <f>u_CongnitiveImpairement</f>
        <v>17.270393127285455</v>
      </c>
      <c r="Z523" s="42">
        <f>U523*W523</f>
        <v>2.0737373885844304</v>
      </c>
      <c r="AA523" s="6">
        <f>U523*X523</f>
        <v>1.1670545980708213E-4</v>
      </c>
    </row>
    <row r="524" spans="9:27" x14ac:dyDescent="0.3">
      <c r="I524" s="19" t="s">
        <v>425</v>
      </c>
      <c r="Q524" s="47">
        <f>Hypo2CI_2-(Hypo2CI_2*RDS2CLD_2)</f>
        <v>3.2801999999999998E-2</v>
      </c>
      <c r="R524" s="47"/>
      <c r="T524" s="80"/>
      <c r="Z524" s="42"/>
      <c r="AA524" s="6"/>
    </row>
    <row r="525" spans="9:27" x14ac:dyDescent="0.3">
      <c r="I525" s="47">
        <f>LBW_prem_2AGA_2</f>
        <v>0.60031407035175877</v>
      </c>
      <c r="O525" s="19" t="s">
        <v>161</v>
      </c>
      <c r="Q525" s="48">
        <f>c_cog+c_hosp_fu+c_CSG</f>
        <v>15766</v>
      </c>
      <c r="R525" s="48"/>
      <c r="T525" s="80"/>
      <c r="Z525" s="42"/>
      <c r="AA525" s="6"/>
    </row>
    <row r="526" spans="9:27" x14ac:dyDescent="0.3">
      <c r="I526" s="48"/>
      <c r="O526" s="47">
        <f>AGA_prem_2hypoglycaemia_2</f>
        <v>0.15</v>
      </c>
      <c r="Q526" s="19" t="s">
        <v>369</v>
      </c>
      <c r="R526" s="19"/>
      <c r="T526" s="80"/>
      <c r="U526">
        <f>$G$493*$E$531*$C$600*$A$555*$I$525*$K$536*$M$531*$O$526*Q527</f>
        <v>3.8176428288135188E-6</v>
      </c>
      <c r="V526">
        <v>1.297150639073873E-5</v>
      </c>
      <c r="W526" s="42">
        <f>$K$537+$I$526+$G$494+$E$532+$C$601+$A$556+$M$532+$O$527+Q528</f>
        <v>349459.84125871374</v>
      </c>
      <c r="X526">
        <f>u_ChronicResp+u_CongnitiveImpairement</f>
        <v>17.805052694763283</v>
      </c>
      <c r="Z526" s="42">
        <f>U526*W526</f>
        <v>1.3341128569396392</v>
      </c>
      <c r="AA526" s="6">
        <f>U526*X526</f>
        <v>6.7973331736809864E-5</v>
      </c>
    </row>
    <row r="527" spans="9:27" x14ac:dyDescent="0.3">
      <c r="O527" s="48">
        <f>c_hypo</f>
        <v>2936.2604000000001</v>
      </c>
      <c r="Q527" s="47">
        <f>Hypo2CI_2*RDS2CLD_2</f>
        <v>1.8531333333333334E-2</v>
      </c>
      <c r="R527" s="47"/>
      <c r="T527" s="80"/>
      <c r="Z527" s="42"/>
      <c r="AA527" s="6"/>
    </row>
    <row r="528" spans="9:27" x14ac:dyDescent="0.3">
      <c r="M528" s="42"/>
      <c r="Q528" s="48">
        <f>c_lung+c_cog+c_hosp_fu+c_CSG</f>
        <v>58348.510902399998</v>
      </c>
      <c r="R528" s="48"/>
      <c r="T528" s="80"/>
      <c r="Z528" s="42"/>
      <c r="AA528" s="6"/>
    </row>
    <row r="529" spans="5:90" x14ac:dyDescent="0.3">
      <c r="Q529" s="19" t="s">
        <v>370</v>
      </c>
      <c r="R529" s="19"/>
      <c r="T529" s="80"/>
      <c r="U529">
        <f>$G$493*$E$531*$C$600*$A$555*$I$525*$K$536*$M$531*$O$526*Q530</f>
        <v>1.2488294317054523E-4</v>
      </c>
      <c r="V529">
        <v>4.2432463383025343E-4</v>
      </c>
      <c r="W529" s="42">
        <f>$K$537+$I$526+$G$494+$E$532+$C$601+$A$556+$M$532+$O$527+Q531</f>
        <v>305514.33035631373</v>
      </c>
      <c r="X529">
        <f>u_Healthy</f>
        <v>0</v>
      </c>
      <c r="Z529" s="42">
        <f>U529*W529</f>
        <v>38.153528755674706</v>
      </c>
      <c r="AA529" s="6">
        <f>U529*X529</f>
        <v>0</v>
      </c>
    </row>
    <row r="530" spans="5:90" x14ac:dyDescent="0.3">
      <c r="E530" s="19" t="s">
        <v>10</v>
      </c>
      <c r="M530" s="19" t="s">
        <v>9</v>
      </c>
      <c r="Q530" s="47">
        <f>1-Q521-Q524-Q527</f>
        <v>0.60619800000000001</v>
      </c>
      <c r="R530" s="47"/>
      <c r="T530" s="80"/>
      <c r="Z530" s="42"/>
      <c r="AA530" s="6"/>
      <c r="AK530" t="s">
        <v>10</v>
      </c>
      <c r="AS530" t="s">
        <v>9</v>
      </c>
      <c r="AW530">
        <v>0.60619800000000001</v>
      </c>
      <c r="BF530">
        <f t="shared" ref="BF530:BF561" si="16">IF(A530=AG530,0,1)</f>
        <v>0</v>
      </c>
      <c r="BG530">
        <f t="shared" ref="BG530:BG561" si="17">IF(B530=AH530,0,1)</f>
        <v>0</v>
      </c>
      <c r="BH530">
        <f t="shared" ref="BH530:BH561" si="18">IF(C530=AI530,0,1)</f>
        <v>0</v>
      </c>
      <c r="BI530">
        <f t="shared" ref="BI530:BI561" si="19">IF(D530=AJ530,0,1)</f>
        <v>0</v>
      </c>
      <c r="BJ530">
        <f t="shared" ref="BJ530:BJ561" si="20">IF(E530=AK530,0,1)</f>
        <v>0</v>
      </c>
      <c r="BK530">
        <f t="shared" ref="BK530:BK561" si="21">IF(F530=AL530,0,1)</f>
        <v>0</v>
      </c>
      <c r="BL530">
        <f t="shared" ref="BL530:BL561" si="22">IF(G530=AM530,0,1)</f>
        <v>0</v>
      </c>
      <c r="BM530">
        <f t="shared" ref="BM530:BM561" si="23">IF(H530=AN530,0,1)</f>
        <v>0</v>
      </c>
      <c r="BN530">
        <f t="shared" ref="BN530:BN561" si="24">IF(I530=AO530,0,1)</f>
        <v>0</v>
      </c>
      <c r="BO530">
        <f t="shared" ref="BO530:BO561" si="25">IF(J530=AP530,0,1)</f>
        <v>0</v>
      </c>
      <c r="BP530">
        <f t="shared" ref="BP530:BP561" si="26">IF(K530=AQ530,0,1)</f>
        <v>0</v>
      </c>
      <c r="BQ530">
        <f t="shared" ref="BQ530:BQ561" si="27">IF(L530=AR530,0,1)</f>
        <v>0</v>
      </c>
      <c r="BR530">
        <f t="shared" ref="BR530:BR561" si="28">IF(M530=AS530,0,1)</f>
        <v>0</v>
      </c>
      <c r="BS530">
        <f t="shared" ref="BS530:BS561" si="29">IF(N530=AT530,0,1)</f>
        <v>0</v>
      </c>
      <c r="BT530">
        <f t="shared" ref="BT530:BT561" si="30">IF(O530=AU530,0,1)</f>
        <v>0</v>
      </c>
      <c r="BU530">
        <f t="shared" ref="BU530:BU561" si="31">IF(P530=AV530,0,1)</f>
        <v>0</v>
      </c>
      <c r="BV530">
        <f t="shared" ref="BV530:BV561" si="32">IF(Q530=AW530,0,1)</f>
        <v>0</v>
      </c>
      <c r="BW530">
        <f t="shared" ref="BW530:BW561" si="33">IF(S530=AX530,0,1)</f>
        <v>0</v>
      </c>
      <c r="BX530">
        <f t="shared" ref="BX530:BX561" si="34">IF(T530=AY530,0,1)</f>
        <v>0</v>
      </c>
      <c r="BY530">
        <f t="shared" ref="BY530:BY561" si="35">IF(U530=AZ530,0,1)</f>
        <v>0</v>
      </c>
      <c r="BZ530">
        <f t="shared" ref="BZ530:BZ561" si="36">IF(V531=BA530,0,1)</f>
        <v>0</v>
      </c>
      <c r="CA530" t="e">
        <f>IF(#REF!=BB530,0,1)</f>
        <v>#REF!</v>
      </c>
      <c r="CB530">
        <f t="shared" ref="CB530:CB561" si="37">IF(W530=BC530,0,1)</f>
        <v>0</v>
      </c>
      <c r="CC530" t="e">
        <f>IF(#REF!=BD530,0,1)</f>
        <v>#REF!</v>
      </c>
      <c r="CD530" t="e">
        <f>IF(#REF!=BE530,0,1)</f>
        <v>#REF!</v>
      </c>
      <c r="CE530" t="e">
        <f>IF(#REF!=BF530,0,1)</f>
        <v>#REF!</v>
      </c>
      <c r="CF530">
        <f t="shared" ref="CF530:CF561" si="38">IF(X530=BG530,0,1)</f>
        <v>0</v>
      </c>
      <c r="CG530">
        <f t="shared" ref="CG530:CG561" si="39">IF(Z530=BH530,0,1)</f>
        <v>0</v>
      </c>
      <c r="CH530">
        <f t="shared" ref="CH530:CH561" si="40">IF(AA530=BI530,0,1)</f>
        <v>0</v>
      </c>
      <c r="CI530">
        <f t="shared" ref="CI530:CI561" si="41">IF(AB530=BJ530,0,1)</f>
        <v>0</v>
      </c>
      <c r="CJ530">
        <f t="shared" ref="CJ530:CJ561" si="42">IF(AC530=BK530,0,1)</f>
        <v>0</v>
      </c>
      <c r="CK530">
        <f t="shared" ref="CK530:CK561" si="43">IF(AD530=BL530,0,1)</f>
        <v>0</v>
      </c>
      <c r="CL530">
        <f t="shared" ref="CL530:CL561" si="44">IF(AE530=BM530,0,1)</f>
        <v>0</v>
      </c>
    </row>
    <row r="531" spans="5:90" x14ac:dyDescent="0.3">
      <c r="E531" s="47">
        <f>LB2prem_2</f>
        <v>0.13176882661996497</v>
      </c>
      <c r="K531" s="42"/>
      <c r="M531" s="47">
        <f>S_prem_2RDS_2</f>
        <v>0.45</v>
      </c>
      <c r="Q531" s="48">
        <f>c_clinic_fu+c_CSG</f>
        <v>14403</v>
      </c>
      <c r="R531" s="48"/>
      <c r="T531" s="80"/>
      <c r="Z531" s="42"/>
      <c r="AA531" s="6"/>
      <c r="AK531">
        <v>0.1733800350262697</v>
      </c>
      <c r="AS531">
        <v>0.45</v>
      </c>
      <c r="AW531">
        <v>3230</v>
      </c>
      <c r="BF531">
        <f t="shared" si="16"/>
        <v>0</v>
      </c>
      <c r="BG531">
        <f t="shared" si="17"/>
        <v>0</v>
      </c>
      <c r="BH531">
        <f t="shared" si="18"/>
        <v>0</v>
      </c>
      <c r="BI531">
        <f t="shared" si="19"/>
        <v>0</v>
      </c>
      <c r="BJ531">
        <f t="shared" si="20"/>
        <v>1</v>
      </c>
      <c r="BK531">
        <f t="shared" si="21"/>
        <v>0</v>
      </c>
      <c r="BL531">
        <f t="shared" si="22"/>
        <v>0</v>
      </c>
      <c r="BM531">
        <f t="shared" si="23"/>
        <v>0</v>
      </c>
      <c r="BN531">
        <f t="shared" si="24"/>
        <v>0</v>
      </c>
      <c r="BO531">
        <f t="shared" si="25"/>
        <v>0</v>
      </c>
      <c r="BP531">
        <f t="shared" si="26"/>
        <v>0</v>
      </c>
      <c r="BQ531">
        <f t="shared" si="27"/>
        <v>0</v>
      </c>
      <c r="BR531">
        <f t="shared" si="28"/>
        <v>0</v>
      </c>
      <c r="BS531">
        <f t="shared" si="29"/>
        <v>0</v>
      </c>
      <c r="BT531">
        <f t="shared" si="30"/>
        <v>0</v>
      </c>
      <c r="BU531">
        <f t="shared" si="31"/>
        <v>0</v>
      </c>
      <c r="BV531">
        <f t="shared" si="32"/>
        <v>1</v>
      </c>
      <c r="BW531">
        <f t="shared" si="33"/>
        <v>0</v>
      </c>
      <c r="BX531">
        <f t="shared" si="34"/>
        <v>0</v>
      </c>
      <c r="BY531">
        <f t="shared" si="35"/>
        <v>0</v>
      </c>
      <c r="BZ531">
        <f t="shared" si="36"/>
        <v>0</v>
      </c>
      <c r="CA531" t="e">
        <f>IF(#REF!=BB531,0,1)</f>
        <v>#REF!</v>
      </c>
      <c r="CB531">
        <f t="shared" si="37"/>
        <v>0</v>
      </c>
      <c r="CC531" t="e">
        <f>IF(#REF!=BD531,0,1)</f>
        <v>#REF!</v>
      </c>
      <c r="CD531" t="e">
        <f>IF(#REF!=BE531,0,1)</f>
        <v>#REF!</v>
      </c>
      <c r="CE531" t="e">
        <f>IF(#REF!=BF531,0,1)</f>
        <v>#REF!</v>
      </c>
      <c r="CF531">
        <f t="shared" si="38"/>
        <v>0</v>
      </c>
      <c r="CG531">
        <f t="shared" si="39"/>
        <v>0</v>
      </c>
      <c r="CH531">
        <f t="shared" si="40"/>
        <v>0</v>
      </c>
      <c r="CI531">
        <f t="shared" si="41"/>
        <v>1</v>
      </c>
      <c r="CJ531">
        <f t="shared" si="42"/>
        <v>0</v>
      </c>
      <c r="CK531">
        <f t="shared" si="43"/>
        <v>0</v>
      </c>
      <c r="CL531">
        <f t="shared" si="44"/>
        <v>0</v>
      </c>
    </row>
    <row r="532" spans="5:90" x14ac:dyDescent="0.3">
      <c r="E532" s="48">
        <f>c_prem</f>
        <v>577.9017081081081</v>
      </c>
      <c r="K532" s="42"/>
      <c r="M532" s="48">
        <f>c_RDS</f>
        <v>30595.610148205637</v>
      </c>
      <c r="Q532" s="42"/>
      <c r="R532" s="42"/>
      <c r="T532" s="80"/>
      <c r="Z532" s="42"/>
      <c r="AA532" s="6"/>
      <c r="AK532">
        <v>1653.34</v>
      </c>
      <c r="AS532">
        <v>23624</v>
      </c>
      <c r="BF532">
        <f t="shared" si="16"/>
        <v>0</v>
      </c>
      <c r="BG532">
        <f t="shared" si="17"/>
        <v>0</v>
      </c>
      <c r="BH532">
        <f t="shared" si="18"/>
        <v>0</v>
      </c>
      <c r="BI532">
        <f t="shared" si="19"/>
        <v>0</v>
      </c>
      <c r="BJ532">
        <f t="shared" si="20"/>
        <v>1</v>
      </c>
      <c r="BK532">
        <f t="shared" si="21"/>
        <v>0</v>
      </c>
      <c r="BL532">
        <f t="shared" si="22"/>
        <v>0</v>
      </c>
      <c r="BM532">
        <f t="shared" si="23"/>
        <v>0</v>
      </c>
      <c r="BN532">
        <f t="shared" si="24"/>
        <v>0</v>
      </c>
      <c r="BO532">
        <f t="shared" si="25"/>
        <v>0</v>
      </c>
      <c r="BP532">
        <f t="shared" si="26"/>
        <v>0</v>
      </c>
      <c r="BQ532">
        <f t="shared" si="27"/>
        <v>0</v>
      </c>
      <c r="BR532">
        <f t="shared" si="28"/>
        <v>1</v>
      </c>
      <c r="BS532">
        <f t="shared" si="29"/>
        <v>0</v>
      </c>
      <c r="BT532">
        <f t="shared" si="30"/>
        <v>0</v>
      </c>
      <c r="BU532">
        <f t="shared" si="31"/>
        <v>0</v>
      </c>
      <c r="BV532">
        <f t="shared" si="32"/>
        <v>0</v>
      </c>
      <c r="BW532">
        <f t="shared" si="33"/>
        <v>0</v>
      </c>
      <c r="BX532">
        <f t="shared" si="34"/>
        <v>0</v>
      </c>
      <c r="BY532">
        <f t="shared" si="35"/>
        <v>0</v>
      </c>
      <c r="BZ532">
        <f t="shared" si="36"/>
        <v>1</v>
      </c>
      <c r="CA532" t="e">
        <f>IF(#REF!=BB532,0,1)</f>
        <v>#REF!</v>
      </c>
      <c r="CB532">
        <f t="shared" si="37"/>
        <v>0</v>
      </c>
      <c r="CC532" t="e">
        <f>IF(#REF!=BD532,0,1)</f>
        <v>#REF!</v>
      </c>
      <c r="CD532" t="e">
        <f>IF(#REF!=BE532,0,1)</f>
        <v>#REF!</v>
      </c>
      <c r="CE532" t="e">
        <f>IF(#REF!=BF532,0,1)</f>
        <v>#REF!</v>
      </c>
      <c r="CF532">
        <f t="shared" si="38"/>
        <v>0</v>
      </c>
      <c r="CG532">
        <f t="shared" si="39"/>
        <v>0</v>
      </c>
      <c r="CH532">
        <f t="shared" si="40"/>
        <v>0</v>
      </c>
      <c r="CI532">
        <f t="shared" si="41"/>
        <v>1</v>
      </c>
      <c r="CJ532">
        <f t="shared" si="42"/>
        <v>0</v>
      </c>
      <c r="CK532">
        <f t="shared" si="43"/>
        <v>0</v>
      </c>
      <c r="CL532">
        <f t="shared" si="44"/>
        <v>0</v>
      </c>
    </row>
    <row r="533" spans="5:90" x14ac:dyDescent="0.3">
      <c r="Q533" s="19" t="s">
        <v>368</v>
      </c>
      <c r="R533" s="19"/>
      <c r="T533" s="80"/>
      <c r="U533">
        <f>$G$493*$E$531*$C$600*$A$555*$I$525*$K$536*$M$531*$O$536*Q534</f>
        <v>4.0748491267391822E-4</v>
      </c>
      <c r="V533">
        <v>1.3845436532160028E-3</v>
      </c>
      <c r="W533" s="42">
        <f>$K$537+$I$526+$G$494+$E$532+$C$601+$A$556+$M$532+$O$537+Q535</f>
        <v>342704.58085871371</v>
      </c>
      <c r="X533">
        <f>u_ChronicResp</f>
        <v>0.53465956747782661</v>
      </c>
      <c r="Z533" s="42">
        <f>U533*W533</f>
        <v>139.64694620416469</v>
      </c>
      <c r="AA533" s="6">
        <f>U533*X533</f>
        <v>2.1786570716397706E-4</v>
      </c>
      <c r="AW533" t="s">
        <v>368</v>
      </c>
      <c r="AZ533">
        <v>1.3845436532160024E-3</v>
      </c>
      <c r="BF533">
        <f t="shared" si="16"/>
        <v>0</v>
      </c>
      <c r="BG533">
        <f t="shared" si="17"/>
        <v>0</v>
      </c>
      <c r="BH533">
        <f t="shared" si="18"/>
        <v>0</v>
      </c>
      <c r="BI533">
        <f t="shared" si="19"/>
        <v>0</v>
      </c>
      <c r="BJ533">
        <f t="shared" si="20"/>
        <v>0</v>
      </c>
      <c r="BK533">
        <f t="shared" si="21"/>
        <v>0</v>
      </c>
      <c r="BL533">
        <f t="shared" si="22"/>
        <v>0</v>
      </c>
      <c r="BM533">
        <f t="shared" si="23"/>
        <v>0</v>
      </c>
      <c r="BN533">
        <f t="shared" si="24"/>
        <v>0</v>
      </c>
      <c r="BO533">
        <f t="shared" si="25"/>
        <v>0</v>
      </c>
      <c r="BP533">
        <f t="shared" si="26"/>
        <v>0</v>
      </c>
      <c r="BQ533">
        <f t="shared" si="27"/>
        <v>0</v>
      </c>
      <c r="BR533">
        <f t="shared" si="28"/>
        <v>0</v>
      </c>
      <c r="BS533">
        <f t="shared" si="29"/>
        <v>0</v>
      </c>
      <c r="BT533">
        <f t="shared" si="30"/>
        <v>0</v>
      </c>
      <c r="BU533">
        <f t="shared" si="31"/>
        <v>0</v>
      </c>
      <c r="BV533">
        <f t="shared" si="32"/>
        <v>0</v>
      </c>
      <c r="BW533">
        <f t="shared" si="33"/>
        <v>0</v>
      </c>
      <c r="BX533">
        <f t="shared" si="34"/>
        <v>0</v>
      </c>
      <c r="BY533">
        <f t="shared" si="35"/>
        <v>1</v>
      </c>
      <c r="BZ533">
        <f t="shared" si="36"/>
        <v>0</v>
      </c>
      <c r="CA533" t="e">
        <f>IF(#REF!=BB533,0,1)</f>
        <v>#REF!</v>
      </c>
      <c r="CB533">
        <f t="shared" si="37"/>
        <v>1</v>
      </c>
      <c r="CC533" t="e">
        <f>IF(#REF!=BD533,0,1)</f>
        <v>#REF!</v>
      </c>
      <c r="CD533" t="e">
        <f>IF(#REF!=BE533,0,1)</f>
        <v>#REF!</v>
      </c>
      <c r="CE533" t="e">
        <f>IF(#REF!=BF533,0,1)</f>
        <v>#REF!</v>
      </c>
      <c r="CF533">
        <f t="shared" si="38"/>
        <v>1</v>
      </c>
      <c r="CG533">
        <f t="shared" si="39"/>
        <v>1</v>
      </c>
      <c r="CH533">
        <f t="shared" si="40"/>
        <v>1</v>
      </c>
      <c r="CI533">
        <f t="shared" si="41"/>
        <v>0</v>
      </c>
      <c r="CJ533">
        <f t="shared" si="42"/>
        <v>0</v>
      </c>
      <c r="CK533">
        <f t="shared" si="43"/>
        <v>0</v>
      </c>
      <c r="CL533">
        <f t="shared" si="44"/>
        <v>0</v>
      </c>
    </row>
    <row r="534" spans="5:90" x14ac:dyDescent="0.3">
      <c r="Q534" s="47">
        <f>RDS2CLD_2-(RDS2CLD_2*noHypo2CI_2)</f>
        <v>0.34905610687022898</v>
      </c>
      <c r="R534" s="47"/>
      <c r="T534" s="80"/>
      <c r="Z534" s="42"/>
      <c r="AA534" s="6"/>
      <c r="AW534">
        <v>0.34905610687022898</v>
      </c>
      <c r="BF534">
        <f t="shared" si="16"/>
        <v>0</v>
      </c>
      <c r="BG534">
        <f t="shared" si="17"/>
        <v>0</v>
      </c>
      <c r="BH534">
        <f t="shared" si="18"/>
        <v>0</v>
      </c>
      <c r="BI534">
        <f t="shared" si="19"/>
        <v>0</v>
      </c>
      <c r="BJ534">
        <f t="shared" si="20"/>
        <v>0</v>
      </c>
      <c r="BK534">
        <f t="shared" si="21"/>
        <v>0</v>
      </c>
      <c r="BL534">
        <f t="shared" si="22"/>
        <v>0</v>
      </c>
      <c r="BM534">
        <f t="shared" si="23"/>
        <v>0</v>
      </c>
      <c r="BN534">
        <f t="shared" si="24"/>
        <v>0</v>
      </c>
      <c r="BO534">
        <f t="shared" si="25"/>
        <v>0</v>
      </c>
      <c r="BP534">
        <f t="shared" si="26"/>
        <v>0</v>
      </c>
      <c r="BQ534">
        <f t="shared" si="27"/>
        <v>0</v>
      </c>
      <c r="BR534">
        <f t="shared" si="28"/>
        <v>0</v>
      </c>
      <c r="BS534">
        <f t="shared" si="29"/>
        <v>0</v>
      </c>
      <c r="BT534">
        <f t="shared" si="30"/>
        <v>0</v>
      </c>
      <c r="BU534">
        <f t="shared" si="31"/>
        <v>0</v>
      </c>
      <c r="BV534">
        <f t="shared" si="32"/>
        <v>0</v>
      </c>
      <c r="BW534">
        <f t="shared" si="33"/>
        <v>0</v>
      </c>
      <c r="BX534">
        <f t="shared" si="34"/>
        <v>0</v>
      </c>
      <c r="BY534">
        <f t="shared" si="35"/>
        <v>0</v>
      </c>
      <c r="BZ534">
        <f t="shared" si="36"/>
        <v>0</v>
      </c>
      <c r="CA534" t="e">
        <f>IF(#REF!=BB534,0,1)</f>
        <v>#REF!</v>
      </c>
      <c r="CB534">
        <f t="shared" si="37"/>
        <v>0</v>
      </c>
      <c r="CC534" t="e">
        <f>IF(#REF!=BD534,0,1)</f>
        <v>#REF!</v>
      </c>
      <c r="CD534" t="e">
        <f>IF(#REF!=BE534,0,1)</f>
        <v>#REF!</v>
      </c>
      <c r="CE534" t="e">
        <f>IF(#REF!=BF534,0,1)</f>
        <v>#REF!</v>
      </c>
      <c r="CF534">
        <f t="shared" si="38"/>
        <v>0</v>
      </c>
      <c r="CG534">
        <f t="shared" si="39"/>
        <v>0</v>
      </c>
      <c r="CH534">
        <f t="shared" si="40"/>
        <v>0</v>
      </c>
      <c r="CI534">
        <f t="shared" si="41"/>
        <v>0</v>
      </c>
      <c r="CJ534">
        <f t="shared" si="42"/>
        <v>0</v>
      </c>
      <c r="CK534">
        <f t="shared" si="43"/>
        <v>0</v>
      </c>
      <c r="CL534">
        <f t="shared" si="44"/>
        <v>0</v>
      </c>
    </row>
    <row r="535" spans="5:90" x14ac:dyDescent="0.3">
      <c r="K535" s="19" t="s">
        <v>37</v>
      </c>
      <c r="M535" s="42"/>
      <c r="O535" s="19" t="s">
        <v>371</v>
      </c>
      <c r="Q535" s="48">
        <f>c_lung+c_hosp_fu+c_CSG</f>
        <v>54529.510902399998</v>
      </c>
      <c r="R535" s="48"/>
      <c r="T535" s="80"/>
      <c r="Z535" s="42"/>
      <c r="AA535" s="6"/>
      <c r="AQ535" t="s">
        <v>37</v>
      </c>
      <c r="AU535" t="s">
        <v>371</v>
      </c>
      <c r="AW535">
        <v>42323.200000000004</v>
      </c>
      <c r="BF535">
        <f t="shared" si="16"/>
        <v>0</v>
      </c>
      <c r="BG535">
        <f t="shared" si="17"/>
        <v>0</v>
      </c>
      <c r="BH535">
        <f t="shared" si="18"/>
        <v>0</v>
      </c>
      <c r="BI535">
        <f t="shared" si="19"/>
        <v>0</v>
      </c>
      <c r="BJ535">
        <f t="shared" si="20"/>
        <v>0</v>
      </c>
      <c r="BK535">
        <f t="shared" si="21"/>
        <v>0</v>
      </c>
      <c r="BL535">
        <f t="shared" si="22"/>
        <v>0</v>
      </c>
      <c r="BM535">
        <f t="shared" si="23"/>
        <v>0</v>
      </c>
      <c r="BN535">
        <f t="shared" si="24"/>
        <v>0</v>
      </c>
      <c r="BO535">
        <f t="shared" si="25"/>
        <v>0</v>
      </c>
      <c r="BP535">
        <f t="shared" si="26"/>
        <v>0</v>
      </c>
      <c r="BQ535">
        <f t="shared" si="27"/>
        <v>0</v>
      </c>
      <c r="BR535">
        <f t="shared" si="28"/>
        <v>0</v>
      </c>
      <c r="BS535">
        <f t="shared" si="29"/>
        <v>0</v>
      </c>
      <c r="BT535">
        <f t="shared" si="30"/>
        <v>0</v>
      </c>
      <c r="BU535">
        <f t="shared" si="31"/>
        <v>0</v>
      </c>
      <c r="BV535">
        <f t="shared" si="32"/>
        <v>1</v>
      </c>
      <c r="BW535">
        <f t="shared" si="33"/>
        <v>0</v>
      </c>
      <c r="BX535">
        <f t="shared" si="34"/>
        <v>0</v>
      </c>
      <c r="BY535">
        <f t="shared" si="35"/>
        <v>0</v>
      </c>
      <c r="BZ535">
        <f t="shared" si="36"/>
        <v>1</v>
      </c>
      <c r="CA535" t="e">
        <f>IF(#REF!=BB535,0,1)</f>
        <v>#REF!</v>
      </c>
      <c r="CB535">
        <f t="shared" si="37"/>
        <v>0</v>
      </c>
      <c r="CC535" t="e">
        <f>IF(#REF!=BD535,0,1)</f>
        <v>#REF!</v>
      </c>
      <c r="CD535" t="e">
        <f>IF(#REF!=BE535,0,1)</f>
        <v>#REF!</v>
      </c>
      <c r="CE535" t="e">
        <f>IF(#REF!=BF535,0,1)</f>
        <v>#REF!</v>
      </c>
      <c r="CF535">
        <f t="shared" si="38"/>
        <v>0</v>
      </c>
      <c r="CG535">
        <f t="shared" si="39"/>
        <v>0</v>
      </c>
      <c r="CH535">
        <f t="shared" si="40"/>
        <v>0</v>
      </c>
      <c r="CI535">
        <f t="shared" si="41"/>
        <v>0</v>
      </c>
      <c r="CJ535">
        <f t="shared" si="42"/>
        <v>0</v>
      </c>
      <c r="CK535">
        <f t="shared" si="43"/>
        <v>0</v>
      </c>
      <c r="CL535">
        <f t="shared" si="44"/>
        <v>0</v>
      </c>
    </row>
    <row r="536" spans="5:90" x14ac:dyDescent="0.3">
      <c r="K536" s="47">
        <f>AGA_prem_2s_2</f>
        <v>0.96809627499999995</v>
      </c>
      <c r="O536" s="47">
        <f>AGA_prem_2normoglycaemia_2</f>
        <v>0.85</v>
      </c>
      <c r="Q536" s="19" t="s">
        <v>226</v>
      </c>
      <c r="R536" s="19"/>
      <c r="T536" s="80"/>
      <c r="U536">
        <f>$G$493*$E$531*$C$600*$A$555*$I$525*$K$536*$M$531*$O$536*Q537</f>
        <v>2.4680608209728543E-5</v>
      </c>
      <c r="V536">
        <v>8.3859250714480804E-5</v>
      </c>
      <c r="W536" s="42">
        <f>$K$537+$I$526+$G$494+$E$532+$C$601+$A$556+$M$532+$O$537+Q538</f>
        <v>303941.0699563137</v>
      </c>
      <c r="X536">
        <f>u_CongnitiveImpairement</f>
        <v>17.270393127285455</v>
      </c>
      <c r="Z536" s="42">
        <f>U536*W536</f>
        <v>7.5014504664374737</v>
      </c>
      <c r="AA536" s="6">
        <f>U536*X536</f>
        <v>4.262438064025208E-4</v>
      </c>
      <c r="AQ536">
        <v>0.96482500000000004</v>
      </c>
      <c r="AU536">
        <v>0.85</v>
      </c>
      <c r="AW536" t="s">
        <v>226</v>
      </c>
      <c r="AZ536">
        <v>8.3859250714480777E-5</v>
      </c>
      <c r="BF536">
        <f t="shared" si="16"/>
        <v>0</v>
      </c>
      <c r="BG536">
        <f t="shared" si="17"/>
        <v>0</v>
      </c>
      <c r="BH536">
        <f t="shared" si="18"/>
        <v>0</v>
      </c>
      <c r="BI536">
        <f t="shared" si="19"/>
        <v>0</v>
      </c>
      <c r="BJ536">
        <f t="shared" si="20"/>
        <v>0</v>
      </c>
      <c r="BK536">
        <f t="shared" si="21"/>
        <v>0</v>
      </c>
      <c r="BL536">
        <f t="shared" si="22"/>
        <v>0</v>
      </c>
      <c r="BM536">
        <f t="shared" si="23"/>
        <v>0</v>
      </c>
      <c r="BN536">
        <f t="shared" si="24"/>
        <v>0</v>
      </c>
      <c r="BO536">
        <f t="shared" si="25"/>
        <v>0</v>
      </c>
      <c r="BP536">
        <f t="shared" si="26"/>
        <v>1</v>
      </c>
      <c r="BQ536">
        <f t="shared" si="27"/>
        <v>0</v>
      </c>
      <c r="BR536">
        <f t="shared" si="28"/>
        <v>0</v>
      </c>
      <c r="BS536">
        <f t="shared" si="29"/>
        <v>0</v>
      </c>
      <c r="BT536">
        <f t="shared" si="30"/>
        <v>0</v>
      </c>
      <c r="BU536">
        <f t="shared" si="31"/>
        <v>0</v>
      </c>
      <c r="BV536">
        <f t="shared" si="32"/>
        <v>0</v>
      </c>
      <c r="BW536">
        <f t="shared" si="33"/>
        <v>0</v>
      </c>
      <c r="BX536">
        <f t="shared" si="34"/>
        <v>0</v>
      </c>
      <c r="BY536">
        <f t="shared" si="35"/>
        <v>1</v>
      </c>
      <c r="BZ536">
        <f t="shared" si="36"/>
        <v>0</v>
      </c>
      <c r="CA536" t="e">
        <f>IF(#REF!=BB536,0,1)</f>
        <v>#REF!</v>
      </c>
      <c r="CB536">
        <f t="shared" si="37"/>
        <v>1</v>
      </c>
      <c r="CC536" t="e">
        <f>IF(#REF!=BD536,0,1)</f>
        <v>#REF!</v>
      </c>
      <c r="CD536" t="e">
        <f>IF(#REF!=BE536,0,1)</f>
        <v>#REF!</v>
      </c>
      <c r="CE536" t="e">
        <f>IF(#REF!=BF536,0,1)</f>
        <v>#REF!</v>
      </c>
      <c r="CF536">
        <f t="shared" si="38"/>
        <v>1</v>
      </c>
      <c r="CG536">
        <f t="shared" si="39"/>
        <v>1</v>
      </c>
      <c r="CH536">
        <f t="shared" si="40"/>
        <v>1</v>
      </c>
      <c r="CI536">
        <f t="shared" si="41"/>
        <v>0</v>
      </c>
      <c r="CJ536">
        <f t="shared" si="42"/>
        <v>0</v>
      </c>
      <c r="CK536">
        <f t="shared" si="43"/>
        <v>0</v>
      </c>
      <c r="CL536">
        <f t="shared" si="44"/>
        <v>0</v>
      </c>
    </row>
    <row r="537" spans="5:90" x14ac:dyDescent="0.3">
      <c r="K537" s="48"/>
      <c r="O537" s="48"/>
      <c r="Q537" s="47">
        <f>noHypo2CI_2-(RDS2CLD_2*noHypo2CI_2)</f>
        <v>2.1141683406990762E-2</v>
      </c>
      <c r="R537" s="47"/>
      <c r="T537" s="80"/>
      <c r="Z537" s="42"/>
      <c r="AA537" s="6"/>
      <c r="AW537">
        <v>2.1141683406990762E-2</v>
      </c>
      <c r="BF537">
        <f t="shared" si="16"/>
        <v>0</v>
      </c>
      <c r="BG537">
        <f t="shared" si="17"/>
        <v>0</v>
      </c>
      <c r="BH537">
        <f t="shared" si="18"/>
        <v>0</v>
      </c>
      <c r="BI537">
        <f t="shared" si="19"/>
        <v>0</v>
      </c>
      <c r="BJ537">
        <f t="shared" si="20"/>
        <v>0</v>
      </c>
      <c r="BK537">
        <f t="shared" si="21"/>
        <v>0</v>
      </c>
      <c r="BL537">
        <f t="shared" si="22"/>
        <v>0</v>
      </c>
      <c r="BM537">
        <f t="shared" si="23"/>
        <v>0</v>
      </c>
      <c r="BN537">
        <f t="shared" si="24"/>
        <v>0</v>
      </c>
      <c r="BO537">
        <f t="shared" si="25"/>
        <v>0</v>
      </c>
      <c r="BP537">
        <f t="shared" si="26"/>
        <v>0</v>
      </c>
      <c r="BQ537">
        <f t="shared" si="27"/>
        <v>0</v>
      </c>
      <c r="BR537">
        <f t="shared" si="28"/>
        <v>0</v>
      </c>
      <c r="BS537">
        <f t="shared" si="29"/>
        <v>0</v>
      </c>
      <c r="BT537">
        <f t="shared" si="30"/>
        <v>0</v>
      </c>
      <c r="BU537">
        <f t="shared" si="31"/>
        <v>0</v>
      </c>
      <c r="BV537">
        <f t="shared" si="32"/>
        <v>0</v>
      </c>
      <c r="BW537">
        <f t="shared" si="33"/>
        <v>0</v>
      </c>
      <c r="BX537">
        <f t="shared" si="34"/>
        <v>0</v>
      </c>
      <c r="BY537">
        <f t="shared" si="35"/>
        <v>0</v>
      </c>
      <c r="BZ537">
        <f t="shared" si="36"/>
        <v>0</v>
      </c>
      <c r="CA537" t="e">
        <f>IF(#REF!=BB537,0,1)</f>
        <v>#REF!</v>
      </c>
      <c r="CB537">
        <f t="shared" si="37"/>
        <v>0</v>
      </c>
      <c r="CC537" t="e">
        <f>IF(#REF!=BD537,0,1)</f>
        <v>#REF!</v>
      </c>
      <c r="CD537" t="e">
        <f>IF(#REF!=BE537,0,1)</f>
        <v>#REF!</v>
      </c>
      <c r="CE537" t="e">
        <f>IF(#REF!=BF537,0,1)</f>
        <v>#REF!</v>
      </c>
      <c r="CF537">
        <f t="shared" si="38"/>
        <v>0</v>
      </c>
      <c r="CG537">
        <f t="shared" si="39"/>
        <v>0</v>
      </c>
      <c r="CH537">
        <f t="shared" si="40"/>
        <v>0</v>
      </c>
      <c r="CI537">
        <f t="shared" si="41"/>
        <v>0</v>
      </c>
      <c r="CJ537">
        <f t="shared" si="42"/>
        <v>0</v>
      </c>
      <c r="CK537">
        <f t="shared" si="43"/>
        <v>0</v>
      </c>
      <c r="CL537">
        <f t="shared" si="44"/>
        <v>0</v>
      </c>
    </row>
    <row r="538" spans="5:90" x14ac:dyDescent="0.3">
      <c r="Q538" s="48">
        <f>c_cog+c_hosp_fu+c_CSG</f>
        <v>15766</v>
      </c>
      <c r="R538" s="48"/>
      <c r="T538" s="80"/>
      <c r="Z538" s="42"/>
      <c r="AA538" s="6"/>
      <c r="AW538">
        <v>4840</v>
      </c>
      <c r="BF538">
        <f t="shared" si="16"/>
        <v>0</v>
      </c>
      <c r="BG538">
        <f t="shared" si="17"/>
        <v>0</v>
      </c>
      <c r="BH538">
        <f t="shared" si="18"/>
        <v>0</v>
      </c>
      <c r="BI538">
        <f t="shared" si="19"/>
        <v>0</v>
      </c>
      <c r="BJ538">
        <f t="shared" si="20"/>
        <v>0</v>
      </c>
      <c r="BK538">
        <f t="shared" si="21"/>
        <v>0</v>
      </c>
      <c r="BL538">
        <f t="shared" si="22"/>
        <v>0</v>
      </c>
      <c r="BM538">
        <f t="shared" si="23"/>
        <v>0</v>
      </c>
      <c r="BN538">
        <f t="shared" si="24"/>
        <v>0</v>
      </c>
      <c r="BO538">
        <f t="shared" si="25"/>
        <v>0</v>
      </c>
      <c r="BP538">
        <f t="shared" si="26"/>
        <v>0</v>
      </c>
      <c r="BQ538">
        <f t="shared" si="27"/>
        <v>0</v>
      </c>
      <c r="BR538">
        <f t="shared" si="28"/>
        <v>0</v>
      </c>
      <c r="BS538">
        <f t="shared" si="29"/>
        <v>0</v>
      </c>
      <c r="BT538">
        <f t="shared" si="30"/>
        <v>0</v>
      </c>
      <c r="BU538">
        <f t="shared" si="31"/>
        <v>0</v>
      </c>
      <c r="BV538">
        <f t="shared" si="32"/>
        <v>1</v>
      </c>
      <c r="BW538">
        <f t="shared" si="33"/>
        <v>0</v>
      </c>
      <c r="BX538">
        <f t="shared" si="34"/>
        <v>0</v>
      </c>
      <c r="BY538">
        <f t="shared" si="35"/>
        <v>0</v>
      </c>
      <c r="BZ538">
        <f t="shared" si="36"/>
        <v>1</v>
      </c>
      <c r="CA538" t="e">
        <f>IF(#REF!=BB538,0,1)</f>
        <v>#REF!</v>
      </c>
      <c r="CB538">
        <f t="shared" si="37"/>
        <v>0</v>
      </c>
      <c r="CC538" t="e">
        <f>IF(#REF!=BD538,0,1)</f>
        <v>#REF!</v>
      </c>
      <c r="CD538" t="e">
        <f>IF(#REF!=BE538,0,1)</f>
        <v>#REF!</v>
      </c>
      <c r="CE538" t="e">
        <f>IF(#REF!=BF538,0,1)</f>
        <v>#REF!</v>
      </c>
      <c r="CF538">
        <f t="shared" si="38"/>
        <v>0</v>
      </c>
      <c r="CG538">
        <f t="shared" si="39"/>
        <v>0</v>
      </c>
      <c r="CH538">
        <f t="shared" si="40"/>
        <v>0</v>
      </c>
      <c r="CI538">
        <f t="shared" si="41"/>
        <v>0</v>
      </c>
      <c r="CJ538">
        <f t="shared" si="42"/>
        <v>0</v>
      </c>
      <c r="CK538">
        <f t="shared" si="43"/>
        <v>0</v>
      </c>
      <c r="CL538">
        <f t="shared" si="44"/>
        <v>0</v>
      </c>
    </row>
    <row r="539" spans="5:90" x14ac:dyDescent="0.3">
      <c r="Q539" s="19" t="s">
        <v>369</v>
      </c>
      <c r="R539" s="19"/>
      <c r="T539" s="80"/>
      <c r="U539">
        <f>$G$493*$E$531*$C$600*$A$555*$I$525*$K$536*$M$531*$O$536*Q540</f>
        <v>1.3943191805496091E-5</v>
      </c>
      <c r="V539">
        <v>4.7375883423986795E-5</v>
      </c>
      <c r="W539" s="42">
        <f>$K$537+$I$526+$G$494+$E$532+$C$601+$A$556+$M$532+$O$537+Q541</f>
        <v>346523.58085871371</v>
      </c>
      <c r="X539">
        <f>u_ChronicResp+u_CongnitiveImpairement</f>
        <v>17.805052694763283</v>
      </c>
      <c r="Z539" s="42">
        <f>U539*W539</f>
        <v>4.8316447530403792</v>
      </c>
      <c r="AA539" s="6">
        <f>U539*X539</f>
        <v>2.4825926483004951E-4</v>
      </c>
      <c r="AW539" t="s">
        <v>369</v>
      </c>
      <c r="AZ539">
        <v>4.7375883423986789E-5</v>
      </c>
      <c r="BF539">
        <f t="shared" si="16"/>
        <v>0</v>
      </c>
      <c r="BG539">
        <f t="shared" si="17"/>
        <v>0</v>
      </c>
      <c r="BH539">
        <f t="shared" si="18"/>
        <v>0</v>
      </c>
      <c r="BI539">
        <f t="shared" si="19"/>
        <v>0</v>
      </c>
      <c r="BJ539">
        <f t="shared" si="20"/>
        <v>0</v>
      </c>
      <c r="BK539">
        <f t="shared" si="21"/>
        <v>0</v>
      </c>
      <c r="BL539">
        <f t="shared" si="22"/>
        <v>0</v>
      </c>
      <c r="BM539">
        <f t="shared" si="23"/>
        <v>0</v>
      </c>
      <c r="BN539">
        <f t="shared" si="24"/>
        <v>0</v>
      </c>
      <c r="BO539">
        <f t="shared" si="25"/>
        <v>0</v>
      </c>
      <c r="BP539">
        <f t="shared" si="26"/>
        <v>0</v>
      </c>
      <c r="BQ539">
        <f t="shared" si="27"/>
        <v>0</v>
      </c>
      <c r="BR539">
        <f t="shared" si="28"/>
        <v>0</v>
      </c>
      <c r="BS539">
        <f t="shared" si="29"/>
        <v>0</v>
      </c>
      <c r="BT539">
        <f t="shared" si="30"/>
        <v>0</v>
      </c>
      <c r="BU539">
        <f t="shared" si="31"/>
        <v>0</v>
      </c>
      <c r="BV539">
        <f t="shared" si="32"/>
        <v>0</v>
      </c>
      <c r="BW539">
        <f t="shared" si="33"/>
        <v>0</v>
      </c>
      <c r="BX539">
        <f t="shared" si="34"/>
        <v>0</v>
      </c>
      <c r="BY539">
        <f t="shared" si="35"/>
        <v>1</v>
      </c>
      <c r="BZ539">
        <f t="shared" si="36"/>
        <v>0</v>
      </c>
      <c r="CA539" t="e">
        <f>IF(#REF!=BB539,0,1)</f>
        <v>#REF!</v>
      </c>
      <c r="CB539">
        <f t="shared" si="37"/>
        <v>1</v>
      </c>
      <c r="CC539" t="e">
        <f>IF(#REF!=BD539,0,1)</f>
        <v>#REF!</v>
      </c>
      <c r="CD539" t="e">
        <f>IF(#REF!=BE539,0,1)</f>
        <v>#REF!</v>
      </c>
      <c r="CE539" t="e">
        <f>IF(#REF!=BF539,0,1)</f>
        <v>#REF!</v>
      </c>
      <c r="CF539">
        <f t="shared" si="38"/>
        <v>1</v>
      </c>
      <c r="CG539">
        <f t="shared" si="39"/>
        <v>1</v>
      </c>
      <c r="CH539">
        <f t="shared" si="40"/>
        <v>1</v>
      </c>
      <c r="CI539">
        <f t="shared" si="41"/>
        <v>0</v>
      </c>
      <c r="CJ539">
        <f t="shared" si="42"/>
        <v>0</v>
      </c>
      <c r="CK539">
        <f t="shared" si="43"/>
        <v>0</v>
      </c>
      <c r="CL539">
        <f t="shared" si="44"/>
        <v>0</v>
      </c>
    </row>
    <row r="540" spans="5:90" x14ac:dyDescent="0.3">
      <c r="Q540" s="47">
        <f>RDS2CLD_2*noHypo2CI_2</f>
        <v>1.1943893129770991E-2</v>
      </c>
      <c r="R540" s="47"/>
      <c r="T540" s="80"/>
      <c r="Z540" s="42"/>
      <c r="AA540" s="6"/>
      <c r="AW540">
        <v>1.1943893129770991E-2</v>
      </c>
      <c r="BF540">
        <f t="shared" si="16"/>
        <v>0</v>
      </c>
      <c r="BG540">
        <f t="shared" si="17"/>
        <v>0</v>
      </c>
      <c r="BH540">
        <f t="shared" si="18"/>
        <v>0</v>
      </c>
      <c r="BI540">
        <f t="shared" si="19"/>
        <v>0</v>
      </c>
      <c r="BJ540">
        <f t="shared" si="20"/>
        <v>0</v>
      </c>
      <c r="BK540">
        <f t="shared" si="21"/>
        <v>0</v>
      </c>
      <c r="BL540">
        <f t="shared" si="22"/>
        <v>0</v>
      </c>
      <c r="BM540">
        <f t="shared" si="23"/>
        <v>0</v>
      </c>
      <c r="BN540">
        <f t="shared" si="24"/>
        <v>0</v>
      </c>
      <c r="BO540">
        <f t="shared" si="25"/>
        <v>0</v>
      </c>
      <c r="BP540">
        <f t="shared" si="26"/>
        <v>0</v>
      </c>
      <c r="BQ540">
        <f t="shared" si="27"/>
        <v>0</v>
      </c>
      <c r="BR540">
        <f t="shared" si="28"/>
        <v>0</v>
      </c>
      <c r="BS540">
        <f t="shared" si="29"/>
        <v>0</v>
      </c>
      <c r="BT540">
        <f t="shared" si="30"/>
        <v>0</v>
      </c>
      <c r="BU540">
        <f t="shared" si="31"/>
        <v>0</v>
      </c>
      <c r="BV540">
        <f t="shared" si="32"/>
        <v>0</v>
      </c>
      <c r="BW540">
        <f t="shared" si="33"/>
        <v>0</v>
      </c>
      <c r="BX540">
        <f t="shared" si="34"/>
        <v>0</v>
      </c>
      <c r="BY540">
        <f t="shared" si="35"/>
        <v>0</v>
      </c>
      <c r="BZ540">
        <f t="shared" si="36"/>
        <v>0</v>
      </c>
      <c r="CA540" t="e">
        <f>IF(#REF!=BB540,0,1)</f>
        <v>#REF!</v>
      </c>
      <c r="CB540">
        <f t="shared" si="37"/>
        <v>0</v>
      </c>
      <c r="CC540" t="e">
        <f>IF(#REF!=BD540,0,1)</f>
        <v>#REF!</v>
      </c>
      <c r="CD540" t="e">
        <f>IF(#REF!=BE540,0,1)</f>
        <v>#REF!</v>
      </c>
      <c r="CE540" t="e">
        <f>IF(#REF!=BF540,0,1)</f>
        <v>#REF!</v>
      </c>
      <c r="CF540">
        <f t="shared" si="38"/>
        <v>0</v>
      </c>
      <c r="CG540">
        <f t="shared" si="39"/>
        <v>0</v>
      </c>
      <c r="CH540">
        <f t="shared" si="40"/>
        <v>0</v>
      </c>
      <c r="CI540">
        <f t="shared" si="41"/>
        <v>0</v>
      </c>
      <c r="CJ540">
        <f t="shared" si="42"/>
        <v>0</v>
      </c>
      <c r="CK540">
        <f t="shared" si="43"/>
        <v>0</v>
      </c>
      <c r="CL540">
        <f t="shared" si="44"/>
        <v>0</v>
      </c>
    </row>
    <row r="541" spans="5:90" x14ac:dyDescent="0.3">
      <c r="Q541" s="48">
        <f>c_cog+c_lung+c_hosp_fu+c_CSG</f>
        <v>58348.510902399998</v>
      </c>
      <c r="R541" s="48"/>
      <c r="T541" s="80"/>
      <c r="Z541" s="42"/>
      <c r="AA541" s="6"/>
      <c r="AW541">
        <v>45990.200000000004</v>
      </c>
      <c r="BF541">
        <f t="shared" si="16"/>
        <v>0</v>
      </c>
      <c r="BG541">
        <f t="shared" si="17"/>
        <v>0</v>
      </c>
      <c r="BH541">
        <f t="shared" si="18"/>
        <v>0</v>
      </c>
      <c r="BI541">
        <f t="shared" si="19"/>
        <v>0</v>
      </c>
      <c r="BJ541">
        <f t="shared" si="20"/>
        <v>0</v>
      </c>
      <c r="BK541">
        <f t="shared" si="21"/>
        <v>0</v>
      </c>
      <c r="BL541">
        <f t="shared" si="22"/>
        <v>0</v>
      </c>
      <c r="BM541">
        <f t="shared" si="23"/>
        <v>0</v>
      </c>
      <c r="BN541">
        <f t="shared" si="24"/>
        <v>0</v>
      </c>
      <c r="BO541">
        <f t="shared" si="25"/>
        <v>0</v>
      </c>
      <c r="BP541">
        <f t="shared" si="26"/>
        <v>0</v>
      </c>
      <c r="BQ541">
        <f t="shared" si="27"/>
        <v>0</v>
      </c>
      <c r="BR541">
        <f t="shared" si="28"/>
        <v>0</v>
      </c>
      <c r="BS541">
        <f t="shared" si="29"/>
        <v>0</v>
      </c>
      <c r="BT541">
        <f t="shared" si="30"/>
        <v>0</v>
      </c>
      <c r="BU541">
        <f t="shared" si="31"/>
        <v>0</v>
      </c>
      <c r="BV541">
        <f t="shared" si="32"/>
        <v>1</v>
      </c>
      <c r="BW541">
        <f t="shared" si="33"/>
        <v>0</v>
      </c>
      <c r="BX541">
        <f t="shared" si="34"/>
        <v>0</v>
      </c>
      <c r="BY541">
        <f t="shared" si="35"/>
        <v>0</v>
      </c>
      <c r="BZ541">
        <f t="shared" si="36"/>
        <v>1</v>
      </c>
      <c r="CA541" t="e">
        <f>IF(#REF!=BB541,0,1)</f>
        <v>#REF!</v>
      </c>
      <c r="CB541">
        <f t="shared" si="37"/>
        <v>0</v>
      </c>
      <c r="CC541" t="e">
        <f>IF(#REF!=BD541,0,1)</f>
        <v>#REF!</v>
      </c>
      <c r="CD541" t="e">
        <f>IF(#REF!=BE541,0,1)</f>
        <v>#REF!</v>
      </c>
      <c r="CE541" t="e">
        <f>IF(#REF!=BF541,0,1)</f>
        <v>#REF!</v>
      </c>
      <c r="CF541">
        <f t="shared" si="38"/>
        <v>0</v>
      </c>
      <c r="CG541">
        <f t="shared" si="39"/>
        <v>0</v>
      </c>
      <c r="CH541">
        <f t="shared" si="40"/>
        <v>0</v>
      </c>
      <c r="CI541">
        <f t="shared" si="41"/>
        <v>0</v>
      </c>
      <c r="CJ541">
        <f t="shared" si="42"/>
        <v>0</v>
      </c>
      <c r="CK541">
        <f t="shared" si="43"/>
        <v>0</v>
      </c>
      <c r="CL541">
        <f t="shared" si="44"/>
        <v>0</v>
      </c>
    </row>
    <row r="542" spans="5:90" x14ac:dyDescent="0.3">
      <c r="Q542" s="19" t="s">
        <v>370</v>
      </c>
      <c r="R542" s="19"/>
      <c r="T542" s="80"/>
      <c r="U542">
        <f>$G$493*$E$531*$C$600*$A$555*$I$525*$K$536*$M$531*$O$536*Q543</f>
        <v>7.2128215844496912E-4</v>
      </c>
      <c r="V542">
        <v>2.4507573252216786E-3</v>
      </c>
      <c r="W542" s="42">
        <f>$K$537+$I$526+$G$494+$E$532+$C$601+$A$556+$M$532+$O$537+Q544</f>
        <v>302578.0699563137</v>
      </c>
      <c r="X542">
        <f>u_Healthy</f>
        <v>0</v>
      </c>
      <c r="Z542" s="42">
        <f>U542*W542</f>
        <v>218.24416339620282</v>
      </c>
      <c r="AA542" s="6">
        <f>U542*X542</f>
        <v>0</v>
      </c>
      <c r="AW542" t="s">
        <v>370</v>
      </c>
      <c r="AZ542">
        <v>2.4507573252216782E-3</v>
      </c>
      <c r="BF542">
        <f t="shared" si="16"/>
        <v>0</v>
      </c>
      <c r="BG542">
        <f t="shared" si="17"/>
        <v>0</v>
      </c>
      <c r="BH542">
        <f t="shared" si="18"/>
        <v>0</v>
      </c>
      <c r="BI542">
        <f t="shared" si="19"/>
        <v>0</v>
      </c>
      <c r="BJ542">
        <f t="shared" si="20"/>
        <v>0</v>
      </c>
      <c r="BK542">
        <f t="shared" si="21"/>
        <v>0</v>
      </c>
      <c r="BL542">
        <f t="shared" si="22"/>
        <v>0</v>
      </c>
      <c r="BM542">
        <f t="shared" si="23"/>
        <v>0</v>
      </c>
      <c r="BN542">
        <f t="shared" si="24"/>
        <v>0</v>
      </c>
      <c r="BO542">
        <f t="shared" si="25"/>
        <v>0</v>
      </c>
      <c r="BP542">
        <f t="shared" si="26"/>
        <v>0</v>
      </c>
      <c r="BQ542">
        <f t="shared" si="27"/>
        <v>0</v>
      </c>
      <c r="BR542">
        <f t="shared" si="28"/>
        <v>0</v>
      </c>
      <c r="BS542">
        <f t="shared" si="29"/>
        <v>0</v>
      </c>
      <c r="BT542">
        <f t="shared" si="30"/>
        <v>0</v>
      </c>
      <c r="BU542">
        <f t="shared" si="31"/>
        <v>0</v>
      </c>
      <c r="BV542">
        <f t="shared" si="32"/>
        <v>0</v>
      </c>
      <c r="BW542">
        <f t="shared" si="33"/>
        <v>0</v>
      </c>
      <c r="BX542">
        <f t="shared" si="34"/>
        <v>0</v>
      </c>
      <c r="BY542">
        <f t="shared" si="35"/>
        <v>1</v>
      </c>
      <c r="BZ542">
        <f t="shared" si="36"/>
        <v>0</v>
      </c>
      <c r="CA542" t="e">
        <f>IF(#REF!=BB542,0,1)</f>
        <v>#REF!</v>
      </c>
      <c r="CB542">
        <f t="shared" si="37"/>
        <v>1</v>
      </c>
      <c r="CC542" t="e">
        <f>IF(#REF!=BD542,0,1)</f>
        <v>#REF!</v>
      </c>
      <c r="CD542" t="e">
        <f>IF(#REF!=BE542,0,1)</f>
        <v>#REF!</v>
      </c>
      <c r="CE542" t="e">
        <f>IF(#REF!=BF542,0,1)</f>
        <v>#REF!</v>
      </c>
      <c r="CF542">
        <f t="shared" si="38"/>
        <v>0</v>
      </c>
      <c r="CG542">
        <f t="shared" si="39"/>
        <v>1</v>
      </c>
      <c r="CH542">
        <f t="shared" si="40"/>
        <v>0</v>
      </c>
      <c r="CI542">
        <f t="shared" si="41"/>
        <v>0</v>
      </c>
      <c r="CJ542">
        <f t="shared" si="42"/>
        <v>0</v>
      </c>
      <c r="CK542">
        <f t="shared" si="43"/>
        <v>0</v>
      </c>
      <c r="CL542">
        <f t="shared" si="44"/>
        <v>0</v>
      </c>
    </row>
    <row r="543" spans="5:90" x14ac:dyDescent="0.3">
      <c r="Q543" s="47">
        <f>1-Q540-Q537-Q534</f>
        <v>0.61785831659300938</v>
      </c>
      <c r="R543" s="47"/>
      <c r="T543" s="80"/>
      <c r="Z543" s="42"/>
      <c r="AA543" s="6"/>
      <c r="AW543">
        <v>0.61785831659300938</v>
      </c>
      <c r="BF543">
        <f t="shared" si="16"/>
        <v>0</v>
      </c>
      <c r="BG543">
        <f t="shared" si="17"/>
        <v>0</v>
      </c>
      <c r="BH543">
        <f t="shared" si="18"/>
        <v>0</v>
      </c>
      <c r="BI543">
        <f t="shared" si="19"/>
        <v>0</v>
      </c>
      <c r="BJ543">
        <f t="shared" si="20"/>
        <v>0</v>
      </c>
      <c r="BK543">
        <f t="shared" si="21"/>
        <v>0</v>
      </c>
      <c r="BL543">
        <f t="shared" si="22"/>
        <v>0</v>
      </c>
      <c r="BM543">
        <f t="shared" si="23"/>
        <v>0</v>
      </c>
      <c r="BN543">
        <f t="shared" si="24"/>
        <v>0</v>
      </c>
      <c r="BO543">
        <f t="shared" si="25"/>
        <v>0</v>
      </c>
      <c r="BP543">
        <f t="shared" si="26"/>
        <v>0</v>
      </c>
      <c r="BQ543">
        <f t="shared" si="27"/>
        <v>0</v>
      </c>
      <c r="BR543">
        <f t="shared" si="28"/>
        <v>0</v>
      </c>
      <c r="BS543">
        <f t="shared" si="29"/>
        <v>0</v>
      </c>
      <c r="BT543">
        <f t="shared" si="30"/>
        <v>0</v>
      </c>
      <c r="BU543">
        <f t="shared" si="31"/>
        <v>0</v>
      </c>
      <c r="BV543">
        <f t="shared" si="32"/>
        <v>0</v>
      </c>
      <c r="BW543">
        <f t="shared" si="33"/>
        <v>0</v>
      </c>
      <c r="BX543">
        <f t="shared" si="34"/>
        <v>0</v>
      </c>
      <c r="BY543">
        <f t="shared" si="35"/>
        <v>0</v>
      </c>
      <c r="BZ543">
        <f t="shared" si="36"/>
        <v>0</v>
      </c>
      <c r="CA543" t="e">
        <f>IF(#REF!=BB543,0,1)</f>
        <v>#REF!</v>
      </c>
      <c r="CB543">
        <f t="shared" si="37"/>
        <v>0</v>
      </c>
      <c r="CC543" t="e">
        <f>IF(#REF!=BD543,0,1)</f>
        <v>#REF!</v>
      </c>
      <c r="CD543" t="e">
        <f>IF(#REF!=BE543,0,1)</f>
        <v>#REF!</v>
      </c>
      <c r="CE543" t="e">
        <f>IF(#REF!=BF543,0,1)</f>
        <v>#REF!</v>
      </c>
      <c r="CF543">
        <f t="shared" si="38"/>
        <v>0</v>
      </c>
      <c r="CG543">
        <f t="shared" si="39"/>
        <v>0</v>
      </c>
      <c r="CH543">
        <f t="shared" si="40"/>
        <v>0</v>
      </c>
      <c r="CI543">
        <f t="shared" si="41"/>
        <v>0</v>
      </c>
      <c r="CJ543">
        <f t="shared" si="42"/>
        <v>0</v>
      </c>
      <c r="CK543">
        <f t="shared" si="43"/>
        <v>0</v>
      </c>
      <c r="CL543">
        <f t="shared" si="44"/>
        <v>0</v>
      </c>
    </row>
    <row r="544" spans="5:90" x14ac:dyDescent="0.3">
      <c r="Q544" s="48">
        <f>c_clinic_fu+c_CSG</f>
        <v>14403</v>
      </c>
      <c r="R544" s="48"/>
      <c r="T544" s="80"/>
      <c r="Z544" s="42"/>
      <c r="AA544" s="6"/>
      <c r="AW544">
        <v>3230</v>
      </c>
      <c r="BF544">
        <f t="shared" si="16"/>
        <v>0</v>
      </c>
      <c r="BG544">
        <f t="shared" si="17"/>
        <v>0</v>
      </c>
      <c r="BH544">
        <f t="shared" si="18"/>
        <v>0</v>
      </c>
      <c r="BI544">
        <f t="shared" si="19"/>
        <v>0</v>
      </c>
      <c r="BJ544">
        <f t="shared" si="20"/>
        <v>0</v>
      </c>
      <c r="BK544">
        <f t="shared" si="21"/>
        <v>0</v>
      </c>
      <c r="BL544">
        <f t="shared" si="22"/>
        <v>0</v>
      </c>
      <c r="BM544">
        <f t="shared" si="23"/>
        <v>0</v>
      </c>
      <c r="BN544">
        <f t="shared" si="24"/>
        <v>0</v>
      </c>
      <c r="BO544">
        <f t="shared" si="25"/>
        <v>0</v>
      </c>
      <c r="BP544">
        <f t="shared" si="26"/>
        <v>0</v>
      </c>
      <c r="BQ544">
        <f t="shared" si="27"/>
        <v>0</v>
      </c>
      <c r="BR544">
        <f t="shared" si="28"/>
        <v>0</v>
      </c>
      <c r="BS544">
        <f t="shared" si="29"/>
        <v>0</v>
      </c>
      <c r="BT544">
        <f t="shared" si="30"/>
        <v>0</v>
      </c>
      <c r="BU544">
        <f t="shared" si="31"/>
        <v>0</v>
      </c>
      <c r="BV544">
        <f t="shared" si="32"/>
        <v>1</v>
      </c>
      <c r="BW544">
        <f t="shared" si="33"/>
        <v>0</v>
      </c>
      <c r="BX544">
        <f t="shared" si="34"/>
        <v>0</v>
      </c>
      <c r="BY544">
        <f t="shared" si="35"/>
        <v>0</v>
      </c>
      <c r="BZ544">
        <f t="shared" si="36"/>
        <v>0</v>
      </c>
      <c r="CA544" t="e">
        <f>IF(#REF!=BB544,0,1)</f>
        <v>#REF!</v>
      </c>
      <c r="CB544">
        <f t="shared" si="37"/>
        <v>0</v>
      </c>
      <c r="CC544" t="e">
        <f>IF(#REF!=BD544,0,1)</f>
        <v>#REF!</v>
      </c>
      <c r="CD544" t="e">
        <f>IF(#REF!=BE544,0,1)</f>
        <v>#REF!</v>
      </c>
      <c r="CE544" t="e">
        <f>IF(#REF!=BF544,0,1)</f>
        <v>#REF!</v>
      </c>
      <c r="CF544">
        <f t="shared" si="38"/>
        <v>0</v>
      </c>
      <c r="CG544">
        <f t="shared" si="39"/>
        <v>0</v>
      </c>
      <c r="CH544">
        <f t="shared" si="40"/>
        <v>0</v>
      </c>
      <c r="CI544">
        <f t="shared" si="41"/>
        <v>0</v>
      </c>
      <c r="CJ544">
        <f t="shared" si="42"/>
        <v>0</v>
      </c>
      <c r="CK544">
        <f t="shared" si="43"/>
        <v>0</v>
      </c>
      <c r="CL544">
        <f t="shared" si="44"/>
        <v>0</v>
      </c>
    </row>
    <row r="545" spans="1:90" x14ac:dyDescent="0.3">
      <c r="Q545" s="42"/>
      <c r="R545" s="42"/>
      <c r="T545" s="80"/>
      <c r="Z545" s="42"/>
      <c r="AA545" s="6"/>
      <c r="BF545">
        <f t="shared" si="16"/>
        <v>0</v>
      </c>
      <c r="BG545">
        <f t="shared" si="17"/>
        <v>0</v>
      </c>
      <c r="BH545">
        <f t="shared" si="18"/>
        <v>0</v>
      </c>
      <c r="BI545">
        <f t="shared" si="19"/>
        <v>0</v>
      </c>
      <c r="BJ545">
        <f t="shared" si="20"/>
        <v>0</v>
      </c>
      <c r="BK545">
        <f t="shared" si="21"/>
        <v>0</v>
      </c>
      <c r="BL545">
        <f t="shared" si="22"/>
        <v>0</v>
      </c>
      <c r="BM545">
        <f t="shared" si="23"/>
        <v>0</v>
      </c>
      <c r="BN545">
        <f t="shared" si="24"/>
        <v>0</v>
      </c>
      <c r="BO545">
        <f t="shared" si="25"/>
        <v>0</v>
      </c>
      <c r="BP545">
        <f t="shared" si="26"/>
        <v>0</v>
      </c>
      <c r="BQ545">
        <f t="shared" si="27"/>
        <v>0</v>
      </c>
      <c r="BR545">
        <f t="shared" si="28"/>
        <v>0</v>
      </c>
      <c r="BS545">
        <f t="shared" si="29"/>
        <v>0</v>
      </c>
      <c r="BT545">
        <f t="shared" si="30"/>
        <v>0</v>
      </c>
      <c r="BU545">
        <f t="shared" si="31"/>
        <v>0</v>
      </c>
      <c r="BV545">
        <f t="shared" si="32"/>
        <v>0</v>
      </c>
      <c r="BW545">
        <f t="shared" si="33"/>
        <v>0</v>
      </c>
      <c r="BX545">
        <f t="shared" si="34"/>
        <v>0</v>
      </c>
      <c r="BY545">
        <f t="shared" si="35"/>
        <v>0</v>
      </c>
      <c r="BZ545">
        <f t="shared" si="36"/>
        <v>1</v>
      </c>
      <c r="CA545" t="e">
        <f>IF(#REF!=BB545,0,1)</f>
        <v>#REF!</v>
      </c>
      <c r="CB545">
        <f t="shared" si="37"/>
        <v>0</v>
      </c>
      <c r="CC545" t="e">
        <f>IF(#REF!=BD545,0,1)</f>
        <v>#REF!</v>
      </c>
      <c r="CD545" t="e">
        <f>IF(#REF!=BE545,0,1)</f>
        <v>#REF!</v>
      </c>
      <c r="CE545" t="e">
        <f>IF(#REF!=BF545,0,1)</f>
        <v>#REF!</v>
      </c>
      <c r="CF545">
        <f t="shared" si="38"/>
        <v>0</v>
      </c>
      <c r="CG545">
        <f t="shared" si="39"/>
        <v>0</v>
      </c>
      <c r="CH545">
        <f t="shared" si="40"/>
        <v>0</v>
      </c>
      <c r="CI545">
        <f t="shared" si="41"/>
        <v>0</v>
      </c>
      <c r="CJ545">
        <f t="shared" si="42"/>
        <v>0</v>
      </c>
      <c r="CK545">
        <f t="shared" si="43"/>
        <v>0</v>
      </c>
      <c r="CL545">
        <f t="shared" si="44"/>
        <v>0</v>
      </c>
    </row>
    <row r="546" spans="1:90" x14ac:dyDescent="0.3">
      <c r="Q546" s="19" t="s">
        <v>368</v>
      </c>
      <c r="R546" s="19"/>
      <c r="T546" s="80"/>
      <c r="U546">
        <f>$G$493*$E$531*$C$600*$A$555*$I$525*$K$536*$M$551*$O$549*Q547</f>
        <v>8.623024992701011E-5</v>
      </c>
      <c r="V546">
        <v>2.9299132688922564E-4</v>
      </c>
      <c r="W546" s="42">
        <f>$K$537+$I$526+$G$494+$E$532+$C$601+$A$556+$M$552+$O$550+Q548</f>
        <v>315045.23111050809</v>
      </c>
      <c r="X546">
        <f>u_ChronicResp</f>
        <v>0.53465956747782661</v>
      </c>
      <c r="Z546" s="42">
        <f>U546*W546</f>
        <v>27.166429016971772</v>
      </c>
      <c r="AA546" s="6">
        <f>U546*X546</f>
        <v>4.6103828129480113E-5</v>
      </c>
      <c r="AW546" t="s">
        <v>368</v>
      </c>
      <c r="AZ546">
        <v>2.9299132688922553E-4</v>
      </c>
      <c r="BF546">
        <f t="shared" si="16"/>
        <v>0</v>
      </c>
      <c r="BG546">
        <f t="shared" si="17"/>
        <v>0</v>
      </c>
      <c r="BH546">
        <f t="shared" si="18"/>
        <v>0</v>
      </c>
      <c r="BI546">
        <f t="shared" si="19"/>
        <v>0</v>
      </c>
      <c r="BJ546">
        <f t="shared" si="20"/>
        <v>0</v>
      </c>
      <c r="BK546">
        <f t="shared" si="21"/>
        <v>0</v>
      </c>
      <c r="BL546">
        <f t="shared" si="22"/>
        <v>0</v>
      </c>
      <c r="BM546">
        <f t="shared" si="23"/>
        <v>0</v>
      </c>
      <c r="BN546">
        <f t="shared" si="24"/>
        <v>0</v>
      </c>
      <c r="BO546">
        <f t="shared" si="25"/>
        <v>0</v>
      </c>
      <c r="BP546">
        <f t="shared" si="26"/>
        <v>0</v>
      </c>
      <c r="BQ546">
        <f t="shared" si="27"/>
        <v>0</v>
      </c>
      <c r="BR546">
        <f t="shared" si="28"/>
        <v>0</v>
      </c>
      <c r="BS546">
        <f t="shared" si="29"/>
        <v>0</v>
      </c>
      <c r="BT546">
        <f t="shared" si="30"/>
        <v>0</v>
      </c>
      <c r="BU546">
        <f t="shared" si="31"/>
        <v>0</v>
      </c>
      <c r="BV546">
        <f t="shared" si="32"/>
        <v>0</v>
      </c>
      <c r="BW546">
        <f t="shared" si="33"/>
        <v>0</v>
      </c>
      <c r="BX546">
        <f t="shared" si="34"/>
        <v>0</v>
      </c>
      <c r="BY546">
        <f t="shared" si="35"/>
        <v>1</v>
      </c>
      <c r="BZ546">
        <f t="shared" si="36"/>
        <v>0</v>
      </c>
      <c r="CA546" t="e">
        <f>IF(#REF!=BB546,0,1)</f>
        <v>#REF!</v>
      </c>
      <c r="CB546">
        <f t="shared" si="37"/>
        <v>1</v>
      </c>
      <c r="CC546" t="e">
        <f>IF(#REF!=BD546,0,1)</f>
        <v>#REF!</v>
      </c>
      <c r="CD546" t="e">
        <f>IF(#REF!=BE546,0,1)</f>
        <v>#REF!</v>
      </c>
      <c r="CE546" t="e">
        <f>IF(#REF!=BF546,0,1)</f>
        <v>#REF!</v>
      </c>
      <c r="CF546">
        <f t="shared" si="38"/>
        <v>1</v>
      </c>
      <c r="CG546">
        <f t="shared" si="39"/>
        <v>1</v>
      </c>
      <c r="CH546">
        <f t="shared" si="40"/>
        <v>1</v>
      </c>
      <c r="CI546">
        <f t="shared" si="41"/>
        <v>0</v>
      </c>
      <c r="CJ546">
        <f t="shared" si="42"/>
        <v>0</v>
      </c>
      <c r="CK546">
        <f t="shared" si="43"/>
        <v>0</v>
      </c>
      <c r="CL546">
        <f t="shared" si="44"/>
        <v>0</v>
      </c>
    </row>
    <row r="547" spans="1:90" x14ac:dyDescent="0.3">
      <c r="Q547" s="47">
        <f>RDS2CLD_2-(Hypo2CI_2*RDS2CLD_2)</f>
        <v>0.34246866666666664</v>
      </c>
      <c r="R547" s="47"/>
      <c r="T547" s="80"/>
      <c r="Z547" s="42"/>
      <c r="AA547" s="6"/>
      <c r="AW547">
        <v>0.34246866666666664</v>
      </c>
      <c r="BF547">
        <f t="shared" si="16"/>
        <v>0</v>
      </c>
      <c r="BG547">
        <f t="shared" si="17"/>
        <v>0</v>
      </c>
      <c r="BH547">
        <f t="shared" si="18"/>
        <v>0</v>
      </c>
      <c r="BI547">
        <f t="shared" si="19"/>
        <v>0</v>
      </c>
      <c r="BJ547">
        <f t="shared" si="20"/>
        <v>0</v>
      </c>
      <c r="BK547">
        <f t="shared" si="21"/>
        <v>0</v>
      </c>
      <c r="BL547">
        <f t="shared" si="22"/>
        <v>0</v>
      </c>
      <c r="BM547">
        <f t="shared" si="23"/>
        <v>0</v>
      </c>
      <c r="BN547">
        <f t="shared" si="24"/>
        <v>0</v>
      </c>
      <c r="BO547">
        <f t="shared" si="25"/>
        <v>0</v>
      </c>
      <c r="BP547">
        <f t="shared" si="26"/>
        <v>0</v>
      </c>
      <c r="BQ547">
        <f t="shared" si="27"/>
        <v>0</v>
      </c>
      <c r="BR547">
        <f t="shared" si="28"/>
        <v>0</v>
      </c>
      <c r="BS547">
        <f t="shared" si="29"/>
        <v>0</v>
      </c>
      <c r="BT547">
        <f t="shared" si="30"/>
        <v>0</v>
      </c>
      <c r="BU547">
        <f t="shared" si="31"/>
        <v>0</v>
      </c>
      <c r="BV547">
        <f t="shared" si="32"/>
        <v>0</v>
      </c>
      <c r="BW547">
        <f t="shared" si="33"/>
        <v>0</v>
      </c>
      <c r="BX547">
        <f t="shared" si="34"/>
        <v>0</v>
      </c>
      <c r="BY547">
        <f t="shared" si="35"/>
        <v>0</v>
      </c>
      <c r="BZ547">
        <f t="shared" si="36"/>
        <v>0</v>
      </c>
      <c r="CA547" t="e">
        <f>IF(#REF!=BB547,0,1)</f>
        <v>#REF!</v>
      </c>
      <c r="CB547">
        <f t="shared" si="37"/>
        <v>0</v>
      </c>
      <c r="CC547" t="e">
        <f>IF(#REF!=BD547,0,1)</f>
        <v>#REF!</v>
      </c>
      <c r="CD547" t="e">
        <f>IF(#REF!=BE547,0,1)</f>
        <v>#REF!</v>
      </c>
      <c r="CE547" t="e">
        <f>IF(#REF!=BF547,0,1)</f>
        <v>#REF!</v>
      </c>
      <c r="CF547">
        <f t="shared" si="38"/>
        <v>0</v>
      </c>
      <c r="CG547">
        <f t="shared" si="39"/>
        <v>0</v>
      </c>
      <c r="CH547">
        <f t="shared" si="40"/>
        <v>0</v>
      </c>
      <c r="CI547">
        <f t="shared" si="41"/>
        <v>0</v>
      </c>
      <c r="CJ547">
        <f t="shared" si="42"/>
        <v>0</v>
      </c>
      <c r="CK547">
        <f t="shared" si="43"/>
        <v>0</v>
      </c>
      <c r="CL547">
        <f t="shared" si="44"/>
        <v>0</v>
      </c>
    </row>
    <row r="548" spans="1:90" x14ac:dyDescent="0.3">
      <c r="O548" s="19" t="s">
        <v>161</v>
      </c>
      <c r="Q548" s="48">
        <f>c_lung+c_hosp_fu+c_CSG</f>
        <v>54529.510902399998</v>
      </c>
      <c r="R548" s="48"/>
      <c r="T548" s="80"/>
      <c r="Z548" s="42"/>
      <c r="AA548" s="6"/>
      <c r="AU548" t="s">
        <v>161</v>
      </c>
      <c r="AW548">
        <v>42323.200000000004</v>
      </c>
      <c r="BF548">
        <f t="shared" si="16"/>
        <v>0</v>
      </c>
      <c r="BG548">
        <f t="shared" si="17"/>
        <v>0</v>
      </c>
      <c r="BH548">
        <f t="shared" si="18"/>
        <v>0</v>
      </c>
      <c r="BI548">
        <f t="shared" si="19"/>
        <v>0</v>
      </c>
      <c r="BJ548">
        <f t="shared" si="20"/>
        <v>0</v>
      </c>
      <c r="BK548">
        <f t="shared" si="21"/>
        <v>0</v>
      </c>
      <c r="BL548">
        <f t="shared" si="22"/>
        <v>0</v>
      </c>
      <c r="BM548">
        <f t="shared" si="23"/>
        <v>0</v>
      </c>
      <c r="BN548">
        <f t="shared" si="24"/>
        <v>0</v>
      </c>
      <c r="BO548">
        <f t="shared" si="25"/>
        <v>0</v>
      </c>
      <c r="BP548">
        <f t="shared" si="26"/>
        <v>0</v>
      </c>
      <c r="BQ548">
        <f t="shared" si="27"/>
        <v>0</v>
      </c>
      <c r="BR548">
        <f t="shared" si="28"/>
        <v>0</v>
      </c>
      <c r="BS548">
        <f t="shared" si="29"/>
        <v>0</v>
      </c>
      <c r="BT548">
        <f t="shared" si="30"/>
        <v>0</v>
      </c>
      <c r="BU548">
        <f t="shared" si="31"/>
        <v>0</v>
      </c>
      <c r="BV548">
        <f t="shared" si="32"/>
        <v>1</v>
      </c>
      <c r="BW548">
        <f t="shared" si="33"/>
        <v>0</v>
      </c>
      <c r="BX548">
        <f t="shared" si="34"/>
        <v>0</v>
      </c>
      <c r="BY548">
        <f t="shared" si="35"/>
        <v>0</v>
      </c>
      <c r="BZ548">
        <f t="shared" si="36"/>
        <v>1</v>
      </c>
      <c r="CA548" t="e">
        <f>IF(#REF!=BB548,0,1)</f>
        <v>#REF!</v>
      </c>
      <c r="CB548">
        <f t="shared" si="37"/>
        <v>0</v>
      </c>
      <c r="CC548" t="e">
        <f>IF(#REF!=BD548,0,1)</f>
        <v>#REF!</v>
      </c>
      <c r="CD548" t="e">
        <f>IF(#REF!=BE548,0,1)</f>
        <v>#REF!</v>
      </c>
      <c r="CE548" t="e">
        <f>IF(#REF!=BF548,0,1)</f>
        <v>#REF!</v>
      </c>
      <c r="CF548">
        <f t="shared" si="38"/>
        <v>0</v>
      </c>
      <c r="CG548">
        <f t="shared" si="39"/>
        <v>0</v>
      </c>
      <c r="CH548">
        <f t="shared" si="40"/>
        <v>0</v>
      </c>
      <c r="CI548">
        <f t="shared" si="41"/>
        <v>0</v>
      </c>
      <c r="CJ548">
        <f t="shared" si="42"/>
        <v>0</v>
      </c>
      <c r="CK548">
        <f t="shared" si="43"/>
        <v>0</v>
      </c>
      <c r="CL548">
        <f t="shared" si="44"/>
        <v>0</v>
      </c>
    </row>
    <row r="549" spans="1:90" x14ac:dyDescent="0.3">
      <c r="O549" s="47">
        <f>AGA_prem_2hypoglycaemia_2</f>
        <v>0.15</v>
      </c>
      <c r="Q549" s="19" t="s">
        <v>226</v>
      </c>
      <c r="R549" s="19"/>
      <c r="T549" s="80"/>
      <c r="U549">
        <f>$G$493*$E$531*$C$600*$A$555*$I$525*$K$536*$M$551*$O$549*Q550</f>
        <v>8.259221743222598E-6</v>
      </c>
      <c r="V549">
        <v>2.8063009670822573E-5</v>
      </c>
      <c r="W549" s="42">
        <f>$K$537+$I$526+$G$494+$E$532+$C$601+$A$556+$M$552+$O$550+Q551</f>
        <v>276281.72020810808</v>
      </c>
      <c r="X549">
        <f>u_CongnitiveImpairement</f>
        <v>17.270393127285455</v>
      </c>
      <c r="Z549" s="42">
        <f>U549*W549</f>
        <v>2.2818719907977485</v>
      </c>
      <c r="AA549" s="6">
        <f>U549*X549</f>
        <v>1.4264000643087816E-4</v>
      </c>
      <c r="AU549">
        <v>0.15</v>
      </c>
      <c r="AW549" t="s">
        <v>226</v>
      </c>
      <c r="AZ549">
        <v>2.8063009670822566E-5</v>
      </c>
      <c r="BF549">
        <f t="shared" si="16"/>
        <v>0</v>
      </c>
      <c r="BG549">
        <f t="shared" si="17"/>
        <v>0</v>
      </c>
      <c r="BH549">
        <f t="shared" si="18"/>
        <v>0</v>
      </c>
      <c r="BI549">
        <f t="shared" si="19"/>
        <v>0</v>
      </c>
      <c r="BJ549">
        <f t="shared" si="20"/>
        <v>0</v>
      </c>
      <c r="BK549">
        <f t="shared" si="21"/>
        <v>0</v>
      </c>
      <c r="BL549">
        <f t="shared" si="22"/>
        <v>0</v>
      </c>
      <c r="BM549">
        <f t="shared" si="23"/>
        <v>0</v>
      </c>
      <c r="BN549">
        <f t="shared" si="24"/>
        <v>0</v>
      </c>
      <c r="BO549">
        <f t="shared" si="25"/>
        <v>0</v>
      </c>
      <c r="BP549">
        <f t="shared" si="26"/>
        <v>0</v>
      </c>
      <c r="BQ549">
        <f t="shared" si="27"/>
        <v>0</v>
      </c>
      <c r="BR549">
        <f t="shared" si="28"/>
        <v>0</v>
      </c>
      <c r="BS549">
        <f t="shared" si="29"/>
        <v>0</v>
      </c>
      <c r="BT549">
        <f t="shared" si="30"/>
        <v>0</v>
      </c>
      <c r="BU549">
        <f t="shared" si="31"/>
        <v>0</v>
      </c>
      <c r="BV549">
        <f t="shared" si="32"/>
        <v>0</v>
      </c>
      <c r="BW549">
        <f t="shared" si="33"/>
        <v>0</v>
      </c>
      <c r="BX549">
        <f t="shared" si="34"/>
        <v>0</v>
      </c>
      <c r="BY549">
        <f t="shared" si="35"/>
        <v>1</v>
      </c>
      <c r="BZ549">
        <f t="shared" si="36"/>
        <v>0</v>
      </c>
      <c r="CA549" t="e">
        <f>IF(#REF!=BB549,0,1)</f>
        <v>#REF!</v>
      </c>
      <c r="CB549">
        <f t="shared" si="37"/>
        <v>1</v>
      </c>
      <c r="CC549" t="e">
        <f>IF(#REF!=BD549,0,1)</f>
        <v>#REF!</v>
      </c>
      <c r="CD549" t="e">
        <f>IF(#REF!=BE549,0,1)</f>
        <v>#REF!</v>
      </c>
      <c r="CE549" t="e">
        <f>IF(#REF!=BF549,0,1)</f>
        <v>#REF!</v>
      </c>
      <c r="CF549">
        <f t="shared" si="38"/>
        <v>1</v>
      </c>
      <c r="CG549">
        <f t="shared" si="39"/>
        <v>1</v>
      </c>
      <c r="CH549">
        <f t="shared" si="40"/>
        <v>1</v>
      </c>
      <c r="CI549">
        <f t="shared" si="41"/>
        <v>0</v>
      </c>
      <c r="CJ549">
        <f t="shared" si="42"/>
        <v>0</v>
      </c>
      <c r="CK549">
        <f t="shared" si="43"/>
        <v>0</v>
      </c>
      <c r="CL549">
        <f t="shared" si="44"/>
        <v>0</v>
      </c>
    </row>
    <row r="550" spans="1:90" x14ac:dyDescent="0.3">
      <c r="M550" s="19" t="s">
        <v>203</v>
      </c>
      <c r="O550" s="48">
        <f>c_hypo</f>
        <v>2936.2604000000001</v>
      </c>
      <c r="Q550" s="47">
        <f>Hypo2CI_2-(Hypo2CI_2*RDS2CLD_2)</f>
        <v>3.2801999999999998E-2</v>
      </c>
      <c r="R550" s="47"/>
      <c r="T550" s="80"/>
      <c r="Z550" s="42"/>
      <c r="AA550" s="6"/>
      <c r="AS550" t="s">
        <v>203</v>
      </c>
      <c r="AU550">
        <v>2728.1</v>
      </c>
      <c r="AW550">
        <v>3.2801999999999998E-2</v>
      </c>
      <c r="BF550">
        <f t="shared" si="16"/>
        <v>0</v>
      </c>
      <c r="BG550">
        <f t="shared" si="17"/>
        <v>0</v>
      </c>
      <c r="BH550">
        <f t="shared" si="18"/>
        <v>0</v>
      </c>
      <c r="BI550">
        <f t="shared" si="19"/>
        <v>0</v>
      </c>
      <c r="BJ550">
        <f t="shared" si="20"/>
        <v>0</v>
      </c>
      <c r="BK550">
        <f t="shared" si="21"/>
        <v>0</v>
      </c>
      <c r="BL550">
        <f t="shared" si="22"/>
        <v>0</v>
      </c>
      <c r="BM550">
        <f t="shared" si="23"/>
        <v>0</v>
      </c>
      <c r="BN550">
        <f t="shared" si="24"/>
        <v>0</v>
      </c>
      <c r="BO550">
        <f t="shared" si="25"/>
        <v>0</v>
      </c>
      <c r="BP550">
        <f t="shared" si="26"/>
        <v>0</v>
      </c>
      <c r="BQ550">
        <f t="shared" si="27"/>
        <v>0</v>
      </c>
      <c r="BR550">
        <f t="shared" si="28"/>
        <v>0</v>
      </c>
      <c r="BS550">
        <f t="shared" si="29"/>
        <v>0</v>
      </c>
      <c r="BT550">
        <f t="shared" si="30"/>
        <v>1</v>
      </c>
      <c r="BU550">
        <f t="shared" si="31"/>
        <v>0</v>
      </c>
      <c r="BV550">
        <f t="shared" si="32"/>
        <v>0</v>
      </c>
      <c r="BW550">
        <f t="shared" si="33"/>
        <v>0</v>
      </c>
      <c r="BX550">
        <f t="shared" si="34"/>
        <v>0</v>
      </c>
      <c r="BY550">
        <f t="shared" si="35"/>
        <v>0</v>
      </c>
      <c r="BZ550">
        <f t="shared" si="36"/>
        <v>0</v>
      </c>
      <c r="CA550" t="e">
        <f>IF(#REF!=BB550,0,1)</f>
        <v>#REF!</v>
      </c>
      <c r="CB550">
        <f t="shared" si="37"/>
        <v>0</v>
      </c>
      <c r="CC550" t="e">
        <f>IF(#REF!=BD550,0,1)</f>
        <v>#REF!</v>
      </c>
      <c r="CD550" t="e">
        <f>IF(#REF!=BE550,0,1)</f>
        <v>#REF!</v>
      </c>
      <c r="CE550" t="e">
        <f>IF(#REF!=BF550,0,1)</f>
        <v>#REF!</v>
      </c>
      <c r="CF550">
        <f t="shared" si="38"/>
        <v>0</v>
      </c>
      <c r="CG550">
        <f t="shared" si="39"/>
        <v>0</v>
      </c>
      <c r="CH550">
        <f t="shared" si="40"/>
        <v>0</v>
      </c>
      <c r="CI550">
        <f t="shared" si="41"/>
        <v>0</v>
      </c>
      <c r="CJ550">
        <f t="shared" si="42"/>
        <v>0</v>
      </c>
      <c r="CK550">
        <f t="shared" si="43"/>
        <v>0</v>
      </c>
      <c r="CL550">
        <f t="shared" si="44"/>
        <v>0</v>
      </c>
    </row>
    <row r="551" spans="1:90" x14ac:dyDescent="0.3">
      <c r="M551" s="47">
        <f>S_prem_2noRDS_2</f>
        <v>0.55000000000000004</v>
      </c>
      <c r="Q551" s="48">
        <f>c_cog+c_hosp_fu+c_CSG</f>
        <v>15766</v>
      </c>
      <c r="R551" s="48"/>
      <c r="T551" s="80"/>
      <c r="Z551" s="42"/>
      <c r="AA551" s="6"/>
      <c r="AS551">
        <v>0.55000000000000004</v>
      </c>
      <c r="AW551">
        <v>4840</v>
      </c>
      <c r="BF551">
        <f t="shared" si="16"/>
        <v>0</v>
      </c>
      <c r="BG551">
        <f t="shared" si="17"/>
        <v>0</v>
      </c>
      <c r="BH551">
        <f t="shared" si="18"/>
        <v>0</v>
      </c>
      <c r="BI551">
        <f t="shared" si="19"/>
        <v>0</v>
      </c>
      <c r="BJ551">
        <f t="shared" si="20"/>
        <v>0</v>
      </c>
      <c r="BK551">
        <f t="shared" si="21"/>
        <v>0</v>
      </c>
      <c r="BL551">
        <f t="shared" si="22"/>
        <v>0</v>
      </c>
      <c r="BM551">
        <f t="shared" si="23"/>
        <v>0</v>
      </c>
      <c r="BN551">
        <f t="shared" si="24"/>
        <v>0</v>
      </c>
      <c r="BO551">
        <f t="shared" si="25"/>
        <v>0</v>
      </c>
      <c r="BP551">
        <f t="shared" si="26"/>
        <v>0</v>
      </c>
      <c r="BQ551">
        <f t="shared" si="27"/>
        <v>0</v>
      </c>
      <c r="BR551">
        <f t="shared" si="28"/>
        <v>0</v>
      </c>
      <c r="BS551">
        <f t="shared" si="29"/>
        <v>0</v>
      </c>
      <c r="BT551">
        <f t="shared" si="30"/>
        <v>0</v>
      </c>
      <c r="BU551">
        <f t="shared" si="31"/>
        <v>0</v>
      </c>
      <c r="BV551">
        <f t="shared" si="32"/>
        <v>1</v>
      </c>
      <c r="BW551">
        <f t="shared" si="33"/>
        <v>0</v>
      </c>
      <c r="BX551">
        <f t="shared" si="34"/>
        <v>0</v>
      </c>
      <c r="BY551">
        <f t="shared" si="35"/>
        <v>0</v>
      </c>
      <c r="BZ551">
        <f t="shared" si="36"/>
        <v>1</v>
      </c>
      <c r="CA551" t="e">
        <f>IF(#REF!=BB551,0,1)</f>
        <v>#REF!</v>
      </c>
      <c r="CB551">
        <f t="shared" si="37"/>
        <v>0</v>
      </c>
      <c r="CC551" t="e">
        <f>IF(#REF!=BD551,0,1)</f>
        <v>#REF!</v>
      </c>
      <c r="CD551" t="e">
        <f>IF(#REF!=BE551,0,1)</f>
        <v>#REF!</v>
      </c>
      <c r="CE551" t="e">
        <f>IF(#REF!=BF551,0,1)</f>
        <v>#REF!</v>
      </c>
      <c r="CF551">
        <f t="shared" si="38"/>
        <v>0</v>
      </c>
      <c r="CG551">
        <f t="shared" si="39"/>
        <v>0</v>
      </c>
      <c r="CH551">
        <f t="shared" si="40"/>
        <v>0</v>
      </c>
      <c r="CI551">
        <f t="shared" si="41"/>
        <v>0</v>
      </c>
      <c r="CJ551">
        <f t="shared" si="42"/>
        <v>0</v>
      </c>
      <c r="CK551">
        <f t="shared" si="43"/>
        <v>0</v>
      </c>
      <c r="CL551">
        <f t="shared" si="44"/>
        <v>0</v>
      </c>
    </row>
    <row r="552" spans="1:90" x14ac:dyDescent="0.3">
      <c r="M552" s="48"/>
      <c r="O552" s="42"/>
      <c r="Q552" s="19" t="s">
        <v>369</v>
      </c>
      <c r="R552" s="19"/>
      <c r="T552" s="80"/>
      <c r="U552" s="99">
        <f>G493*E531*C600*A555*I525*K536*M551*O549*Q553</f>
        <v>4.666007901883189E-6</v>
      </c>
      <c r="V552">
        <v>1.585406336645845E-5</v>
      </c>
      <c r="W552" s="42">
        <f>$K$537+$I$526+$G$494+$E$532+$C$601+$A$556+$M$552+$O$550+Q554</f>
        <v>318864.23111050809</v>
      </c>
      <c r="X552">
        <f>u_ChronicResp+u_CongnitiveImpairement</f>
        <v>17.805052694763283</v>
      </c>
      <c r="Z552" s="42">
        <f>U552*W552</f>
        <v>1.4878230219895381</v>
      </c>
      <c r="AA552" s="6">
        <f>U552*X552</f>
        <v>8.3078516567212054E-5</v>
      </c>
      <c r="AW552" t="s">
        <v>369</v>
      </c>
      <c r="AZ552">
        <v>1.5854063366458447E-5</v>
      </c>
      <c r="BF552">
        <f t="shared" si="16"/>
        <v>0</v>
      </c>
      <c r="BG552">
        <f t="shared" si="17"/>
        <v>0</v>
      </c>
      <c r="BH552">
        <f t="shared" si="18"/>
        <v>0</v>
      </c>
      <c r="BI552">
        <f t="shared" si="19"/>
        <v>0</v>
      </c>
      <c r="BJ552">
        <f t="shared" si="20"/>
        <v>0</v>
      </c>
      <c r="BK552">
        <f t="shared" si="21"/>
        <v>0</v>
      </c>
      <c r="BL552">
        <f t="shared" si="22"/>
        <v>0</v>
      </c>
      <c r="BM552">
        <f t="shared" si="23"/>
        <v>0</v>
      </c>
      <c r="BN552">
        <f t="shared" si="24"/>
        <v>0</v>
      </c>
      <c r="BO552">
        <f t="shared" si="25"/>
        <v>0</v>
      </c>
      <c r="BP552">
        <f t="shared" si="26"/>
        <v>0</v>
      </c>
      <c r="BQ552">
        <f t="shared" si="27"/>
        <v>0</v>
      </c>
      <c r="BR552">
        <f t="shared" si="28"/>
        <v>0</v>
      </c>
      <c r="BS552">
        <f t="shared" si="29"/>
        <v>0</v>
      </c>
      <c r="BT552">
        <f t="shared" si="30"/>
        <v>0</v>
      </c>
      <c r="BU552">
        <f t="shared" si="31"/>
        <v>0</v>
      </c>
      <c r="BV552">
        <f t="shared" si="32"/>
        <v>0</v>
      </c>
      <c r="BW552">
        <f t="shared" si="33"/>
        <v>0</v>
      </c>
      <c r="BX552">
        <f t="shared" si="34"/>
        <v>0</v>
      </c>
      <c r="BY552">
        <f t="shared" si="35"/>
        <v>1</v>
      </c>
      <c r="BZ552">
        <f t="shared" si="36"/>
        <v>0</v>
      </c>
      <c r="CA552" t="e">
        <f>IF(#REF!=BB552,0,1)</f>
        <v>#REF!</v>
      </c>
      <c r="CB552">
        <f t="shared" si="37"/>
        <v>1</v>
      </c>
      <c r="CC552" t="e">
        <f>IF(#REF!=BD552,0,1)</f>
        <v>#REF!</v>
      </c>
      <c r="CD552" t="e">
        <f>IF(#REF!=BE552,0,1)</f>
        <v>#REF!</v>
      </c>
      <c r="CE552" t="e">
        <f>IF(#REF!=BF552,0,1)</f>
        <v>#REF!</v>
      </c>
      <c r="CF552">
        <f t="shared" si="38"/>
        <v>1</v>
      </c>
      <c r="CG552">
        <f t="shared" si="39"/>
        <v>1</v>
      </c>
      <c r="CH552">
        <f t="shared" si="40"/>
        <v>1</v>
      </c>
      <c r="CI552">
        <f t="shared" si="41"/>
        <v>0</v>
      </c>
      <c r="CJ552">
        <f t="shared" si="42"/>
        <v>0</v>
      </c>
      <c r="CK552">
        <f t="shared" si="43"/>
        <v>0</v>
      </c>
      <c r="CL552">
        <f t="shared" si="44"/>
        <v>0</v>
      </c>
    </row>
    <row r="553" spans="1:90" x14ac:dyDescent="0.3">
      <c r="A553" t="s">
        <v>295</v>
      </c>
      <c r="M553" s="42"/>
      <c r="Q553" s="47">
        <f>Hypo2CI_2*RDS2CLD_2</f>
        <v>1.8531333333333334E-2</v>
      </c>
      <c r="R553" s="47"/>
      <c r="T553" s="80"/>
      <c r="Z553" s="42"/>
      <c r="AA553" s="6"/>
      <c r="AG553" t="s">
        <v>300</v>
      </c>
      <c r="AW553">
        <v>1.8531333333333334E-2</v>
      </c>
      <c r="BF553">
        <f t="shared" si="16"/>
        <v>1</v>
      </c>
      <c r="BG553">
        <f t="shared" si="17"/>
        <v>0</v>
      </c>
      <c r="BH553">
        <f t="shared" si="18"/>
        <v>0</v>
      </c>
      <c r="BI553">
        <f t="shared" si="19"/>
        <v>0</v>
      </c>
      <c r="BJ553">
        <f t="shared" si="20"/>
        <v>0</v>
      </c>
      <c r="BK553">
        <f t="shared" si="21"/>
        <v>0</v>
      </c>
      <c r="BL553">
        <f t="shared" si="22"/>
        <v>0</v>
      </c>
      <c r="BM553">
        <f t="shared" si="23"/>
        <v>0</v>
      </c>
      <c r="BN553">
        <f t="shared" si="24"/>
        <v>0</v>
      </c>
      <c r="BO553">
        <f t="shared" si="25"/>
        <v>0</v>
      </c>
      <c r="BP553">
        <f t="shared" si="26"/>
        <v>0</v>
      </c>
      <c r="BQ553">
        <f t="shared" si="27"/>
        <v>0</v>
      </c>
      <c r="BR553">
        <f t="shared" si="28"/>
        <v>0</v>
      </c>
      <c r="BS553">
        <f t="shared" si="29"/>
        <v>0</v>
      </c>
      <c r="BT553">
        <f t="shared" si="30"/>
        <v>0</v>
      </c>
      <c r="BU553">
        <f t="shared" si="31"/>
        <v>0</v>
      </c>
      <c r="BV553">
        <f t="shared" si="32"/>
        <v>0</v>
      </c>
      <c r="BW553">
        <f t="shared" si="33"/>
        <v>0</v>
      </c>
      <c r="BX553">
        <f t="shared" si="34"/>
        <v>0</v>
      </c>
      <c r="BY553">
        <f t="shared" si="35"/>
        <v>0</v>
      </c>
      <c r="BZ553">
        <f t="shared" si="36"/>
        <v>0</v>
      </c>
      <c r="CA553" t="e">
        <f>IF(#REF!=BB553,0,1)</f>
        <v>#REF!</v>
      </c>
      <c r="CB553">
        <f t="shared" si="37"/>
        <v>0</v>
      </c>
      <c r="CC553" t="e">
        <f>IF(#REF!=BD553,0,1)</f>
        <v>#REF!</v>
      </c>
      <c r="CD553" t="e">
        <f>IF(#REF!=BE553,0,1)</f>
        <v>#REF!</v>
      </c>
      <c r="CE553" t="e">
        <f>IF(#REF!=BF553,0,1)</f>
        <v>#REF!</v>
      </c>
      <c r="CF553">
        <f t="shared" si="38"/>
        <v>0</v>
      </c>
      <c r="CG553">
        <f t="shared" si="39"/>
        <v>0</v>
      </c>
      <c r="CH553">
        <f t="shared" si="40"/>
        <v>0</v>
      </c>
      <c r="CI553">
        <f t="shared" si="41"/>
        <v>0</v>
      </c>
      <c r="CJ553">
        <f t="shared" si="42"/>
        <v>0</v>
      </c>
      <c r="CK553">
        <f t="shared" si="43"/>
        <v>0</v>
      </c>
      <c r="CL553">
        <f t="shared" si="44"/>
        <v>0</v>
      </c>
    </row>
    <row r="554" spans="1:90" x14ac:dyDescent="0.3">
      <c r="A554" s="19" t="s">
        <v>23</v>
      </c>
      <c r="M554" s="42"/>
      <c r="Q554" s="48">
        <f>c_lung+c_cog+c_hosp_fu+c_CSG</f>
        <v>58348.510902399998</v>
      </c>
      <c r="R554" s="48"/>
      <c r="T554" s="80"/>
      <c r="Z554" s="42"/>
      <c r="AA554" s="6"/>
      <c r="AG554" t="s">
        <v>23</v>
      </c>
      <c r="AW554">
        <v>45990.200000000004</v>
      </c>
      <c r="BF554">
        <f t="shared" si="16"/>
        <v>0</v>
      </c>
      <c r="BG554">
        <f t="shared" si="17"/>
        <v>0</v>
      </c>
      <c r="BH554">
        <f t="shared" si="18"/>
        <v>0</v>
      </c>
      <c r="BI554">
        <f t="shared" si="19"/>
        <v>0</v>
      </c>
      <c r="BJ554">
        <f t="shared" si="20"/>
        <v>0</v>
      </c>
      <c r="BK554">
        <f t="shared" si="21"/>
        <v>0</v>
      </c>
      <c r="BL554">
        <f t="shared" si="22"/>
        <v>0</v>
      </c>
      <c r="BM554">
        <f t="shared" si="23"/>
        <v>0</v>
      </c>
      <c r="BN554">
        <f t="shared" si="24"/>
        <v>0</v>
      </c>
      <c r="BO554">
        <f t="shared" si="25"/>
        <v>0</v>
      </c>
      <c r="BP554">
        <f t="shared" si="26"/>
        <v>0</v>
      </c>
      <c r="BQ554">
        <f t="shared" si="27"/>
        <v>0</v>
      </c>
      <c r="BR554">
        <f t="shared" si="28"/>
        <v>0</v>
      </c>
      <c r="BS554">
        <f t="shared" si="29"/>
        <v>0</v>
      </c>
      <c r="BT554">
        <f t="shared" si="30"/>
        <v>0</v>
      </c>
      <c r="BU554">
        <f t="shared" si="31"/>
        <v>0</v>
      </c>
      <c r="BV554">
        <f t="shared" si="32"/>
        <v>1</v>
      </c>
      <c r="BW554">
        <f t="shared" si="33"/>
        <v>0</v>
      </c>
      <c r="BX554">
        <f t="shared" si="34"/>
        <v>0</v>
      </c>
      <c r="BY554">
        <f t="shared" si="35"/>
        <v>0</v>
      </c>
      <c r="BZ554">
        <f t="shared" si="36"/>
        <v>1</v>
      </c>
      <c r="CA554" t="e">
        <f>IF(#REF!=BB554,0,1)</f>
        <v>#REF!</v>
      </c>
      <c r="CB554">
        <f t="shared" si="37"/>
        <v>0</v>
      </c>
      <c r="CC554" t="e">
        <f>IF(#REF!=BD554,0,1)</f>
        <v>#REF!</v>
      </c>
      <c r="CD554" t="e">
        <f>IF(#REF!=BE554,0,1)</f>
        <v>#REF!</v>
      </c>
      <c r="CE554" t="e">
        <f>IF(#REF!=BF554,0,1)</f>
        <v>#REF!</v>
      </c>
      <c r="CF554">
        <f t="shared" si="38"/>
        <v>0</v>
      </c>
      <c r="CG554">
        <f t="shared" si="39"/>
        <v>0</v>
      </c>
      <c r="CH554">
        <f t="shared" si="40"/>
        <v>0</v>
      </c>
      <c r="CI554">
        <f t="shared" si="41"/>
        <v>0</v>
      </c>
      <c r="CJ554">
        <f t="shared" si="42"/>
        <v>0</v>
      </c>
      <c r="CK554">
        <f t="shared" si="43"/>
        <v>0</v>
      </c>
      <c r="CL554">
        <f t="shared" si="44"/>
        <v>0</v>
      </c>
    </row>
    <row r="555" spans="1:90" x14ac:dyDescent="0.3">
      <c r="A555" s="47">
        <f>G2noANC</f>
        <v>8.5069000000000061E-2</v>
      </c>
      <c r="M555" s="42"/>
      <c r="Q555" s="19" t="s">
        <v>370</v>
      </c>
      <c r="R555" s="19"/>
      <c r="T555" s="80"/>
      <c r="U555">
        <f>$G$493*$E$531*$C$600*$A$555*$I$525*$K$536*$M$551*$O$549*Q556</f>
        <v>1.5263470831955529E-4</v>
      </c>
      <c r="V555">
        <v>5.1861899690364317E-4</v>
      </c>
      <c r="W555" s="42">
        <f>$K$537+$I$526+$G$494+$E$532+$C$601+$A$556+$M$552+$O$550+Q557</f>
        <v>274918.72020810808</v>
      </c>
      <c r="X555">
        <f>u_Healthy</f>
        <v>0</v>
      </c>
      <c r="Z555" s="42">
        <f>U555*W555</f>
        <v>41.962138670550004</v>
      </c>
      <c r="AA555" s="6">
        <f>U555*X555</f>
        <v>0</v>
      </c>
      <c r="AG555">
        <v>0.16900000000000004</v>
      </c>
      <c r="AW555" t="s">
        <v>370</v>
      </c>
      <c r="AZ555">
        <v>5.1861899690364306E-4</v>
      </c>
      <c r="BF555">
        <f t="shared" si="16"/>
        <v>1</v>
      </c>
      <c r="BG555">
        <f t="shared" si="17"/>
        <v>0</v>
      </c>
      <c r="BH555">
        <f t="shared" si="18"/>
        <v>0</v>
      </c>
      <c r="BI555">
        <f t="shared" si="19"/>
        <v>0</v>
      </c>
      <c r="BJ555">
        <f t="shared" si="20"/>
        <v>0</v>
      </c>
      <c r="BK555">
        <f t="shared" si="21"/>
        <v>0</v>
      </c>
      <c r="BL555">
        <f t="shared" si="22"/>
        <v>0</v>
      </c>
      <c r="BM555">
        <f t="shared" si="23"/>
        <v>0</v>
      </c>
      <c r="BN555">
        <f t="shared" si="24"/>
        <v>0</v>
      </c>
      <c r="BO555">
        <f t="shared" si="25"/>
        <v>0</v>
      </c>
      <c r="BP555">
        <f t="shared" si="26"/>
        <v>0</v>
      </c>
      <c r="BQ555">
        <f t="shared" si="27"/>
        <v>0</v>
      </c>
      <c r="BR555">
        <f t="shared" si="28"/>
        <v>0</v>
      </c>
      <c r="BS555">
        <f t="shared" si="29"/>
        <v>0</v>
      </c>
      <c r="BT555">
        <f t="shared" si="30"/>
        <v>0</v>
      </c>
      <c r="BU555">
        <f t="shared" si="31"/>
        <v>0</v>
      </c>
      <c r="BV555">
        <f t="shared" si="32"/>
        <v>0</v>
      </c>
      <c r="BW555">
        <f t="shared" si="33"/>
        <v>0</v>
      </c>
      <c r="BX555">
        <f t="shared" si="34"/>
        <v>0</v>
      </c>
      <c r="BY555">
        <f t="shared" si="35"/>
        <v>1</v>
      </c>
      <c r="BZ555">
        <f t="shared" si="36"/>
        <v>0</v>
      </c>
      <c r="CA555" t="e">
        <f>IF(#REF!=BB555,0,1)</f>
        <v>#REF!</v>
      </c>
      <c r="CB555">
        <f t="shared" si="37"/>
        <v>1</v>
      </c>
      <c r="CC555" t="e">
        <f>IF(#REF!=BD555,0,1)</f>
        <v>#REF!</v>
      </c>
      <c r="CD555" t="e">
        <f>IF(#REF!=BE555,0,1)</f>
        <v>#REF!</v>
      </c>
      <c r="CE555" t="e">
        <f>IF(#REF!=BF555,0,1)</f>
        <v>#REF!</v>
      </c>
      <c r="CF555">
        <f t="shared" si="38"/>
        <v>0</v>
      </c>
      <c r="CG555">
        <f t="shared" si="39"/>
        <v>1</v>
      </c>
      <c r="CH555">
        <f t="shared" si="40"/>
        <v>0</v>
      </c>
      <c r="CI555">
        <f t="shared" si="41"/>
        <v>0</v>
      </c>
      <c r="CJ555">
        <f t="shared" si="42"/>
        <v>0</v>
      </c>
      <c r="CK555">
        <f t="shared" si="43"/>
        <v>0</v>
      </c>
      <c r="CL555">
        <f t="shared" si="44"/>
        <v>0</v>
      </c>
    </row>
    <row r="556" spans="1:90" x14ac:dyDescent="0.3">
      <c r="A556" s="48">
        <f>c_grant</f>
        <v>2300</v>
      </c>
      <c r="M556" s="42"/>
      <c r="O556" s="42"/>
      <c r="Q556" s="47">
        <f>1-Q547-Q550-Q553</f>
        <v>0.60619800000000001</v>
      </c>
      <c r="R556" s="47"/>
      <c r="T556" s="80"/>
      <c r="Z556" s="42"/>
      <c r="AA556" s="6"/>
      <c r="AW556">
        <v>0.60619800000000001</v>
      </c>
      <c r="BF556">
        <f t="shared" si="16"/>
        <v>1</v>
      </c>
      <c r="BG556">
        <f t="shared" si="17"/>
        <v>0</v>
      </c>
      <c r="BH556">
        <f t="shared" si="18"/>
        <v>0</v>
      </c>
      <c r="BI556">
        <f t="shared" si="19"/>
        <v>0</v>
      </c>
      <c r="BJ556">
        <f t="shared" si="20"/>
        <v>0</v>
      </c>
      <c r="BK556">
        <f t="shared" si="21"/>
        <v>0</v>
      </c>
      <c r="BL556">
        <f t="shared" si="22"/>
        <v>0</v>
      </c>
      <c r="BM556">
        <f t="shared" si="23"/>
        <v>0</v>
      </c>
      <c r="BN556">
        <f t="shared" si="24"/>
        <v>0</v>
      </c>
      <c r="BO556">
        <f t="shared" si="25"/>
        <v>0</v>
      </c>
      <c r="BP556">
        <f t="shared" si="26"/>
        <v>0</v>
      </c>
      <c r="BQ556">
        <f t="shared" si="27"/>
        <v>0</v>
      </c>
      <c r="BR556">
        <f t="shared" si="28"/>
        <v>0</v>
      </c>
      <c r="BS556">
        <f t="shared" si="29"/>
        <v>0</v>
      </c>
      <c r="BT556">
        <f t="shared" si="30"/>
        <v>0</v>
      </c>
      <c r="BU556">
        <f t="shared" si="31"/>
        <v>0</v>
      </c>
      <c r="BV556">
        <f t="shared" si="32"/>
        <v>0</v>
      </c>
      <c r="BW556">
        <f t="shared" si="33"/>
        <v>0</v>
      </c>
      <c r="BX556">
        <f t="shared" si="34"/>
        <v>0</v>
      </c>
      <c r="BY556">
        <f t="shared" si="35"/>
        <v>0</v>
      </c>
      <c r="BZ556">
        <f t="shared" si="36"/>
        <v>0</v>
      </c>
      <c r="CA556" t="e">
        <f>IF(#REF!=BB556,0,1)</f>
        <v>#REF!</v>
      </c>
      <c r="CB556">
        <f t="shared" si="37"/>
        <v>0</v>
      </c>
      <c r="CC556" t="e">
        <f>IF(#REF!=BD556,0,1)</f>
        <v>#REF!</v>
      </c>
      <c r="CD556" t="e">
        <f>IF(#REF!=BE556,0,1)</f>
        <v>#REF!</v>
      </c>
      <c r="CE556" t="e">
        <f>IF(#REF!=BF556,0,1)</f>
        <v>#REF!</v>
      </c>
      <c r="CF556">
        <f t="shared" si="38"/>
        <v>0</v>
      </c>
      <c r="CG556">
        <f t="shared" si="39"/>
        <v>0</v>
      </c>
      <c r="CH556">
        <f t="shared" si="40"/>
        <v>0</v>
      </c>
      <c r="CI556">
        <f t="shared" si="41"/>
        <v>0</v>
      </c>
      <c r="CJ556">
        <f t="shared" si="42"/>
        <v>0</v>
      </c>
      <c r="CK556">
        <f t="shared" si="43"/>
        <v>0</v>
      </c>
      <c r="CL556">
        <f t="shared" si="44"/>
        <v>0</v>
      </c>
    </row>
    <row r="557" spans="1:90" x14ac:dyDescent="0.3">
      <c r="M557" s="42"/>
      <c r="Q557" s="48">
        <f>c_clinic_fu+c_CSG</f>
        <v>14403</v>
      </c>
      <c r="R557" s="48"/>
      <c r="T557" s="80"/>
      <c r="Z557" s="42"/>
      <c r="AA557" s="6"/>
      <c r="AW557">
        <v>3230</v>
      </c>
      <c r="BF557">
        <f t="shared" si="16"/>
        <v>0</v>
      </c>
      <c r="BG557">
        <f t="shared" si="17"/>
        <v>0</v>
      </c>
      <c r="BH557">
        <f t="shared" si="18"/>
        <v>0</v>
      </c>
      <c r="BI557">
        <f t="shared" si="19"/>
        <v>0</v>
      </c>
      <c r="BJ557">
        <f t="shared" si="20"/>
        <v>0</v>
      </c>
      <c r="BK557">
        <f t="shared" si="21"/>
        <v>0</v>
      </c>
      <c r="BL557">
        <f t="shared" si="22"/>
        <v>0</v>
      </c>
      <c r="BM557">
        <f t="shared" si="23"/>
        <v>0</v>
      </c>
      <c r="BN557">
        <f t="shared" si="24"/>
        <v>0</v>
      </c>
      <c r="BO557">
        <f t="shared" si="25"/>
        <v>0</v>
      </c>
      <c r="BP557">
        <f t="shared" si="26"/>
        <v>0</v>
      </c>
      <c r="BQ557">
        <f t="shared" si="27"/>
        <v>0</v>
      </c>
      <c r="BR557">
        <f t="shared" si="28"/>
        <v>0</v>
      </c>
      <c r="BS557">
        <f t="shared" si="29"/>
        <v>0</v>
      </c>
      <c r="BT557">
        <f t="shared" si="30"/>
        <v>0</v>
      </c>
      <c r="BU557">
        <f t="shared" si="31"/>
        <v>0</v>
      </c>
      <c r="BV557">
        <f t="shared" si="32"/>
        <v>1</v>
      </c>
      <c r="BW557">
        <f t="shared" si="33"/>
        <v>0</v>
      </c>
      <c r="BX557">
        <f t="shared" si="34"/>
        <v>0</v>
      </c>
      <c r="BY557">
        <f t="shared" si="35"/>
        <v>0</v>
      </c>
      <c r="BZ557">
        <f t="shared" si="36"/>
        <v>0</v>
      </c>
      <c r="CA557" t="e">
        <f>IF(#REF!=BB557,0,1)</f>
        <v>#REF!</v>
      </c>
      <c r="CB557">
        <f t="shared" si="37"/>
        <v>0</v>
      </c>
      <c r="CC557" t="e">
        <f>IF(#REF!=BD557,0,1)</f>
        <v>#REF!</v>
      </c>
      <c r="CD557" t="e">
        <f>IF(#REF!=BE557,0,1)</f>
        <v>#REF!</v>
      </c>
      <c r="CE557" t="e">
        <f>IF(#REF!=BF557,0,1)</f>
        <v>#REF!</v>
      </c>
      <c r="CF557">
        <f t="shared" si="38"/>
        <v>0</v>
      </c>
      <c r="CG557">
        <f t="shared" si="39"/>
        <v>0</v>
      </c>
      <c r="CH557">
        <f t="shared" si="40"/>
        <v>0</v>
      </c>
      <c r="CI557">
        <f t="shared" si="41"/>
        <v>0</v>
      </c>
      <c r="CJ557">
        <f t="shared" si="42"/>
        <v>0</v>
      </c>
      <c r="CK557">
        <f t="shared" si="43"/>
        <v>0</v>
      </c>
      <c r="CL557">
        <f t="shared" si="44"/>
        <v>0</v>
      </c>
    </row>
    <row r="558" spans="1:90" x14ac:dyDescent="0.3">
      <c r="M558" s="42"/>
      <c r="Q558" s="42"/>
      <c r="R558" s="42"/>
      <c r="S558" s="96"/>
      <c r="T558" s="80"/>
      <c r="Z558" s="42"/>
      <c r="AA558" s="6"/>
      <c r="BF558">
        <f t="shared" si="16"/>
        <v>0</v>
      </c>
      <c r="BG558">
        <f t="shared" si="17"/>
        <v>0</v>
      </c>
      <c r="BH558">
        <f t="shared" si="18"/>
        <v>0</v>
      </c>
      <c r="BI558">
        <f t="shared" si="19"/>
        <v>0</v>
      </c>
      <c r="BJ558">
        <f t="shared" si="20"/>
        <v>0</v>
      </c>
      <c r="BK558">
        <f t="shared" si="21"/>
        <v>0</v>
      </c>
      <c r="BL558">
        <f t="shared" si="22"/>
        <v>0</v>
      </c>
      <c r="BM558">
        <f t="shared" si="23"/>
        <v>0</v>
      </c>
      <c r="BN558">
        <f t="shared" si="24"/>
        <v>0</v>
      </c>
      <c r="BO558">
        <f t="shared" si="25"/>
        <v>0</v>
      </c>
      <c r="BP558">
        <f t="shared" si="26"/>
        <v>0</v>
      </c>
      <c r="BQ558">
        <f t="shared" si="27"/>
        <v>0</v>
      </c>
      <c r="BR558">
        <f t="shared" si="28"/>
        <v>0</v>
      </c>
      <c r="BS558">
        <f t="shared" si="29"/>
        <v>0</v>
      </c>
      <c r="BT558">
        <f t="shared" si="30"/>
        <v>0</v>
      </c>
      <c r="BU558">
        <f t="shared" si="31"/>
        <v>0</v>
      </c>
      <c r="BV558">
        <f t="shared" si="32"/>
        <v>0</v>
      </c>
      <c r="BW558">
        <f t="shared" si="33"/>
        <v>0</v>
      </c>
      <c r="BX558">
        <f t="shared" si="34"/>
        <v>0</v>
      </c>
      <c r="BY558">
        <f t="shared" si="35"/>
        <v>0</v>
      </c>
      <c r="BZ558">
        <f t="shared" si="36"/>
        <v>1</v>
      </c>
      <c r="CA558" t="e">
        <f>IF(#REF!=BB558,0,1)</f>
        <v>#REF!</v>
      </c>
      <c r="CB558">
        <f t="shared" si="37"/>
        <v>0</v>
      </c>
      <c r="CC558" t="e">
        <f>IF(#REF!=BD558,0,1)</f>
        <v>#REF!</v>
      </c>
      <c r="CD558" t="e">
        <f>IF(#REF!=BE558,0,1)</f>
        <v>#REF!</v>
      </c>
      <c r="CE558" t="e">
        <f>IF(#REF!=BF558,0,1)</f>
        <v>#REF!</v>
      </c>
      <c r="CF558">
        <f t="shared" si="38"/>
        <v>0</v>
      </c>
      <c r="CG558">
        <f t="shared" si="39"/>
        <v>0</v>
      </c>
      <c r="CH558">
        <f t="shared" si="40"/>
        <v>0</v>
      </c>
      <c r="CI558">
        <f t="shared" si="41"/>
        <v>0</v>
      </c>
      <c r="CJ558">
        <f t="shared" si="42"/>
        <v>0</v>
      </c>
      <c r="CK558">
        <f t="shared" si="43"/>
        <v>0</v>
      </c>
      <c r="CL558">
        <f t="shared" si="44"/>
        <v>0</v>
      </c>
    </row>
    <row r="559" spans="1:90" x14ac:dyDescent="0.3">
      <c r="M559" s="42"/>
      <c r="Q559" s="19" t="s">
        <v>368</v>
      </c>
      <c r="R559" s="19"/>
      <c r="T559" s="80"/>
      <c r="U559">
        <f>$G$493*$E$531*$C$600*$A$555*$I$525*$K$536*$M$551*$O$563*Q560</f>
        <v>4.980371154903445E-4</v>
      </c>
      <c r="V559">
        <v>1.6922200205973369E-3</v>
      </c>
      <c r="W559" s="42">
        <f>$K$537+$I$526+$G$494+$E$532+$C$601+$A$556+$M$552+$O$564+Q561</f>
        <v>312108.97071050806</v>
      </c>
      <c r="X559">
        <f>u_ChronicResp</f>
        <v>0.53465956747782661</v>
      </c>
      <c r="Z559" s="42">
        <f>U559*W559</f>
        <v>155.44185149132184</v>
      </c>
      <c r="AA559" s="6">
        <f>U559*X559</f>
        <v>2.6628030875597199E-4</v>
      </c>
      <c r="AW559" t="s">
        <v>368</v>
      </c>
      <c r="AZ559">
        <v>1.6922200205973365E-3</v>
      </c>
      <c r="BF559">
        <f t="shared" si="16"/>
        <v>0</v>
      </c>
      <c r="BG559">
        <f t="shared" si="17"/>
        <v>0</v>
      </c>
      <c r="BH559">
        <f t="shared" si="18"/>
        <v>0</v>
      </c>
      <c r="BI559">
        <f t="shared" si="19"/>
        <v>0</v>
      </c>
      <c r="BJ559">
        <f t="shared" si="20"/>
        <v>0</v>
      </c>
      <c r="BK559">
        <f t="shared" si="21"/>
        <v>0</v>
      </c>
      <c r="BL559">
        <f t="shared" si="22"/>
        <v>0</v>
      </c>
      <c r="BM559">
        <f t="shared" si="23"/>
        <v>0</v>
      </c>
      <c r="BN559">
        <f t="shared" si="24"/>
        <v>0</v>
      </c>
      <c r="BO559">
        <f t="shared" si="25"/>
        <v>0</v>
      </c>
      <c r="BP559">
        <f t="shared" si="26"/>
        <v>0</v>
      </c>
      <c r="BQ559">
        <f t="shared" si="27"/>
        <v>0</v>
      </c>
      <c r="BR559">
        <f t="shared" si="28"/>
        <v>0</v>
      </c>
      <c r="BS559">
        <f t="shared" si="29"/>
        <v>0</v>
      </c>
      <c r="BT559">
        <f t="shared" si="30"/>
        <v>0</v>
      </c>
      <c r="BU559">
        <f t="shared" si="31"/>
        <v>0</v>
      </c>
      <c r="BV559">
        <f t="shared" si="32"/>
        <v>0</v>
      </c>
      <c r="BW559">
        <f t="shared" si="33"/>
        <v>0</v>
      </c>
      <c r="BX559">
        <f t="shared" si="34"/>
        <v>0</v>
      </c>
      <c r="BY559">
        <f t="shared" si="35"/>
        <v>1</v>
      </c>
      <c r="BZ559">
        <f t="shared" si="36"/>
        <v>0</v>
      </c>
      <c r="CA559" t="e">
        <f>IF(#REF!=BB559,0,1)</f>
        <v>#REF!</v>
      </c>
      <c r="CB559">
        <f t="shared" si="37"/>
        <v>1</v>
      </c>
      <c r="CC559" t="e">
        <f>IF(#REF!=BD559,0,1)</f>
        <v>#REF!</v>
      </c>
      <c r="CD559" t="e">
        <f>IF(#REF!=BE559,0,1)</f>
        <v>#REF!</v>
      </c>
      <c r="CE559" t="e">
        <f>IF(#REF!=BF559,0,1)</f>
        <v>#REF!</v>
      </c>
      <c r="CF559">
        <f t="shared" si="38"/>
        <v>1</v>
      </c>
      <c r="CG559">
        <f t="shared" si="39"/>
        <v>1</v>
      </c>
      <c r="CH559">
        <f t="shared" si="40"/>
        <v>1</v>
      </c>
      <c r="CI559">
        <f t="shared" si="41"/>
        <v>0</v>
      </c>
      <c r="CJ559">
        <f t="shared" si="42"/>
        <v>0</v>
      </c>
      <c r="CK559">
        <f t="shared" si="43"/>
        <v>0</v>
      </c>
      <c r="CL559">
        <f t="shared" si="44"/>
        <v>0</v>
      </c>
    </row>
    <row r="560" spans="1:90" x14ac:dyDescent="0.3">
      <c r="M560" s="42"/>
      <c r="Q560" s="47">
        <f>RDS2CLD_2-(RDS2CLD_2*noHypo2CI_2)</f>
        <v>0.34905610687022898</v>
      </c>
      <c r="R560" s="47"/>
      <c r="T560" s="80"/>
      <c r="Z560" s="42"/>
      <c r="AA560" s="6"/>
      <c r="AW560">
        <v>0.34905610687022898</v>
      </c>
      <c r="BF560">
        <f t="shared" si="16"/>
        <v>0</v>
      </c>
      <c r="BG560">
        <f t="shared" si="17"/>
        <v>0</v>
      </c>
      <c r="BH560">
        <f t="shared" si="18"/>
        <v>0</v>
      </c>
      <c r="BI560">
        <f t="shared" si="19"/>
        <v>0</v>
      </c>
      <c r="BJ560">
        <f t="shared" si="20"/>
        <v>0</v>
      </c>
      <c r="BK560">
        <f t="shared" si="21"/>
        <v>0</v>
      </c>
      <c r="BL560">
        <f t="shared" si="22"/>
        <v>0</v>
      </c>
      <c r="BM560">
        <f t="shared" si="23"/>
        <v>0</v>
      </c>
      <c r="BN560">
        <f t="shared" si="24"/>
        <v>0</v>
      </c>
      <c r="BO560">
        <f t="shared" si="25"/>
        <v>0</v>
      </c>
      <c r="BP560">
        <f t="shared" si="26"/>
        <v>0</v>
      </c>
      <c r="BQ560">
        <f t="shared" si="27"/>
        <v>0</v>
      </c>
      <c r="BR560">
        <f t="shared" si="28"/>
        <v>0</v>
      </c>
      <c r="BS560">
        <f t="shared" si="29"/>
        <v>0</v>
      </c>
      <c r="BT560">
        <f t="shared" si="30"/>
        <v>0</v>
      </c>
      <c r="BU560">
        <f t="shared" si="31"/>
        <v>0</v>
      </c>
      <c r="BV560">
        <f t="shared" si="32"/>
        <v>0</v>
      </c>
      <c r="BW560">
        <f t="shared" si="33"/>
        <v>0</v>
      </c>
      <c r="BX560">
        <f t="shared" si="34"/>
        <v>0</v>
      </c>
      <c r="BY560">
        <f t="shared" si="35"/>
        <v>0</v>
      </c>
      <c r="BZ560">
        <f t="shared" si="36"/>
        <v>0</v>
      </c>
      <c r="CA560" t="e">
        <f>IF(#REF!=BB560,0,1)</f>
        <v>#REF!</v>
      </c>
      <c r="CB560">
        <f t="shared" si="37"/>
        <v>0</v>
      </c>
      <c r="CC560" t="e">
        <f>IF(#REF!=BD560,0,1)</f>
        <v>#REF!</v>
      </c>
      <c r="CD560" t="e">
        <f>IF(#REF!=BE560,0,1)</f>
        <v>#REF!</v>
      </c>
      <c r="CE560" t="e">
        <f>IF(#REF!=BF560,0,1)</f>
        <v>#REF!</v>
      </c>
      <c r="CF560">
        <f t="shared" si="38"/>
        <v>0</v>
      </c>
      <c r="CG560">
        <f t="shared" si="39"/>
        <v>0</v>
      </c>
      <c r="CH560">
        <f t="shared" si="40"/>
        <v>0</v>
      </c>
      <c r="CI560">
        <f t="shared" si="41"/>
        <v>0</v>
      </c>
      <c r="CJ560">
        <f t="shared" si="42"/>
        <v>0</v>
      </c>
      <c r="CK560">
        <f t="shared" si="43"/>
        <v>0</v>
      </c>
      <c r="CL560">
        <f t="shared" si="44"/>
        <v>0</v>
      </c>
    </row>
    <row r="561" spans="11:90" x14ac:dyDescent="0.3">
      <c r="M561" s="42"/>
      <c r="Q561" s="48">
        <f>c_lung+c_hosp_fu+c_CSG</f>
        <v>54529.510902399998</v>
      </c>
      <c r="R561" s="48"/>
      <c r="T561" s="80"/>
      <c r="Z561" s="42"/>
      <c r="AA561" s="6"/>
      <c r="AW561">
        <v>42323.200000000004</v>
      </c>
      <c r="BF561">
        <f t="shared" si="16"/>
        <v>0</v>
      </c>
      <c r="BG561">
        <f t="shared" si="17"/>
        <v>0</v>
      </c>
      <c r="BH561">
        <f t="shared" si="18"/>
        <v>0</v>
      </c>
      <c r="BI561">
        <f t="shared" si="19"/>
        <v>0</v>
      </c>
      <c r="BJ561">
        <f t="shared" si="20"/>
        <v>0</v>
      </c>
      <c r="BK561">
        <f t="shared" si="21"/>
        <v>0</v>
      </c>
      <c r="BL561">
        <f t="shared" si="22"/>
        <v>0</v>
      </c>
      <c r="BM561">
        <f t="shared" si="23"/>
        <v>0</v>
      </c>
      <c r="BN561">
        <f t="shared" si="24"/>
        <v>0</v>
      </c>
      <c r="BO561">
        <f t="shared" si="25"/>
        <v>0</v>
      </c>
      <c r="BP561">
        <f t="shared" si="26"/>
        <v>0</v>
      </c>
      <c r="BQ561">
        <f t="shared" si="27"/>
        <v>0</v>
      </c>
      <c r="BR561">
        <f t="shared" si="28"/>
        <v>0</v>
      </c>
      <c r="BS561">
        <f t="shared" si="29"/>
        <v>0</v>
      </c>
      <c r="BT561">
        <f t="shared" si="30"/>
        <v>0</v>
      </c>
      <c r="BU561">
        <f t="shared" si="31"/>
        <v>0</v>
      </c>
      <c r="BV561">
        <f t="shared" si="32"/>
        <v>1</v>
      </c>
      <c r="BW561">
        <f t="shared" si="33"/>
        <v>0</v>
      </c>
      <c r="BX561">
        <f t="shared" si="34"/>
        <v>0</v>
      </c>
      <c r="BY561">
        <f t="shared" si="35"/>
        <v>0</v>
      </c>
      <c r="BZ561">
        <f t="shared" si="36"/>
        <v>1</v>
      </c>
      <c r="CA561" t="e">
        <f>IF(#REF!=BB561,0,1)</f>
        <v>#REF!</v>
      </c>
      <c r="CB561">
        <f t="shared" si="37"/>
        <v>0</v>
      </c>
      <c r="CC561" t="e">
        <f>IF(#REF!=BD561,0,1)</f>
        <v>#REF!</v>
      </c>
      <c r="CD561" t="e">
        <f>IF(#REF!=BE561,0,1)</f>
        <v>#REF!</v>
      </c>
      <c r="CE561" t="e">
        <f>IF(#REF!=BF561,0,1)</f>
        <v>#REF!</v>
      </c>
      <c r="CF561">
        <f t="shared" si="38"/>
        <v>0</v>
      </c>
      <c r="CG561">
        <f t="shared" si="39"/>
        <v>0</v>
      </c>
      <c r="CH561">
        <f t="shared" si="40"/>
        <v>0</v>
      </c>
      <c r="CI561">
        <f t="shared" si="41"/>
        <v>0</v>
      </c>
      <c r="CJ561">
        <f t="shared" si="42"/>
        <v>0</v>
      </c>
      <c r="CK561">
        <f t="shared" si="43"/>
        <v>0</v>
      </c>
      <c r="CL561">
        <f t="shared" si="44"/>
        <v>0</v>
      </c>
    </row>
    <row r="562" spans="11:90" x14ac:dyDescent="0.3">
      <c r="M562" s="42"/>
      <c r="O562" s="19" t="s">
        <v>371</v>
      </c>
      <c r="Q562" s="19" t="s">
        <v>226</v>
      </c>
      <c r="R562" s="19"/>
      <c r="T562" s="80"/>
      <c r="U562">
        <f>$G$493*$E$531*$C$600*$A$555*$I$525*$K$536*$M$551*$O$563*Q563</f>
        <v>3.0165187811890443E-5</v>
      </c>
      <c r="V562">
        <v>1.0249463976214322E-4</v>
      </c>
      <c r="W562" s="42">
        <f>$K$537+$I$526+$G$494+$E$532+$C$601+$A$556+$M$552+$O$564+Q564</f>
        <v>273345.45980810805</v>
      </c>
      <c r="X562">
        <f>u_CongnitiveImpairement</f>
        <v>17.270393127285455</v>
      </c>
      <c r="Z562" s="42">
        <f>U562*W562</f>
        <v>8.2455171326391294</v>
      </c>
      <c r="AA562" s="6">
        <f>U562*X562</f>
        <v>5.2096465226974772E-4</v>
      </c>
      <c r="AU562" t="s">
        <v>371</v>
      </c>
      <c r="AW562" t="s">
        <v>226</v>
      </c>
      <c r="AZ562">
        <v>1.0249463976214319E-4</v>
      </c>
      <c r="BF562">
        <f t="shared" ref="BF562:BF593" si="45">IF(A562=AG562,0,1)</f>
        <v>0</v>
      </c>
      <c r="BG562">
        <f t="shared" ref="BG562:BG593" si="46">IF(B562=AH562,0,1)</f>
        <v>0</v>
      </c>
      <c r="BH562">
        <f t="shared" ref="BH562:BH593" si="47">IF(C562=AI562,0,1)</f>
        <v>0</v>
      </c>
      <c r="BI562">
        <f t="shared" ref="BI562:BI593" si="48">IF(D562=AJ562,0,1)</f>
        <v>0</v>
      </c>
      <c r="BJ562">
        <f t="shared" ref="BJ562:BJ593" si="49">IF(E562=AK562,0,1)</f>
        <v>0</v>
      </c>
      <c r="BK562">
        <f t="shared" ref="BK562:BK593" si="50">IF(F562=AL562,0,1)</f>
        <v>0</v>
      </c>
      <c r="BL562">
        <f t="shared" ref="BL562:BL593" si="51">IF(G562=AM562,0,1)</f>
        <v>0</v>
      </c>
      <c r="BM562">
        <f t="shared" ref="BM562:BM593" si="52">IF(H562=AN562,0,1)</f>
        <v>0</v>
      </c>
      <c r="BN562">
        <f t="shared" ref="BN562:BN593" si="53">IF(I562=AO562,0,1)</f>
        <v>0</v>
      </c>
      <c r="BO562">
        <f t="shared" ref="BO562:BO593" si="54">IF(J562=AP562,0,1)</f>
        <v>0</v>
      </c>
      <c r="BP562">
        <f t="shared" ref="BP562:BP593" si="55">IF(K562=AQ562,0,1)</f>
        <v>0</v>
      </c>
      <c r="BQ562">
        <f t="shared" ref="BQ562:BQ593" si="56">IF(L562=AR562,0,1)</f>
        <v>0</v>
      </c>
      <c r="BR562">
        <f t="shared" ref="BR562:BR593" si="57">IF(M562=AS562,0,1)</f>
        <v>0</v>
      </c>
      <c r="BS562">
        <f t="shared" ref="BS562:BS593" si="58">IF(N562=AT562,0,1)</f>
        <v>0</v>
      </c>
      <c r="BT562">
        <f t="shared" ref="BT562:BT593" si="59">IF(O562=AU562,0,1)</f>
        <v>0</v>
      </c>
      <c r="BU562">
        <f t="shared" ref="BU562:BU593" si="60">IF(P562=AV562,0,1)</f>
        <v>0</v>
      </c>
      <c r="BV562">
        <f t="shared" ref="BV562:BV593" si="61">IF(Q562=AW562,0,1)</f>
        <v>0</v>
      </c>
      <c r="BW562">
        <f t="shared" ref="BW562:BW593" si="62">IF(S562=AX562,0,1)</f>
        <v>0</v>
      </c>
      <c r="BX562">
        <f t="shared" ref="BX562:BX593" si="63">IF(T562=AY562,0,1)</f>
        <v>0</v>
      </c>
      <c r="BY562">
        <f t="shared" ref="BY562:BY593" si="64">IF(U562=AZ562,0,1)</f>
        <v>1</v>
      </c>
      <c r="BZ562">
        <f t="shared" ref="BZ562:BZ593" si="65">IF(V563=BA562,0,1)</f>
        <v>0</v>
      </c>
      <c r="CA562" t="e">
        <f>IF(#REF!=BB562,0,1)</f>
        <v>#REF!</v>
      </c>
      <c r="CB562">
        <f t="shared" ref="CB562:CB593" si="66">IF(W562=BC562,0,1)</f>
        <v>1</v>
      </c>
      <c r="CC562" t="e">
        <f>IF(#REF!=BD562,0,1)</f>
        <v>#REF!</v>
      </c>
      <c r="CD562" t="e">
        <f>IF(#REF!=BE562,0,1)</f>
        <v>#REF!</v>
      </c>
      <c r="CE562" t="e">
        <f>IF(#REF!=BF562,0,1)</f>
        <v>#REF!</v>
      </c>
      <c r="CF562">
        <f t="shared" ref="CF562:CF593" si="67">IF(X562=BG562,0,1)</f>
        <v>1</v>
      </c>
      <c r="CG562">
        <f t="shared" ref="CG562:CG593" si="68">IF(Z562=BH562,0,1)</f>
        <v>1</v>
      </c>
      <c r="CH562">
        <f t="shared" ref="CH562:CH593" si="69">IF(AA562=BI562,0,1)</f>
        <v>1</v>
      </c>
      <c r="CI562">
        <f t="shared" ref="CI562:CI593" si="70">IF(AB562=BJ562,0,1)</f>
        <v>0</v>
      </c>
      <c r="CJ562">
        <f t="shared" ref="CJ562:CJ593" si="71">IF(AC562=BK562,0,1)</f>
        <v>0</v>
      </c>
      <c r="CK562">
        <f t="shared" ref="CK562:CK593" si="72">IF(AD562=BL562,0,1)</f>
        <v>0</v>
      </c>
      <c r="CL562">
        <f t="shared" ref="CL562:CL593" si="73">IF(AE562=BM562,0,1)</f>
        <v>0</v>
      </c>
    </row>
    <row r="563" spans="11:90" x14ac:dyDescent="0.3">
      <c r="M563" s="42"/>
      <c r="O563" s="47">
        <f>AGA_prem_2normoglycaemia_2</f>
        <v>0.85</v>
      </c>
      <c r="Q563" s="47">
        <f>noHypo2CI_2-(RDS2CLD_2*noHypo2CI_2)</f>
        <v>2.1141683406990762E-2</v>
      </c>
      <c r="R563" s="47"/>
      <c r="T563" s="80"/>
      <c r="Z563" s="42"/>
      <c r="AA563" s="6"/>
      <c r="AU563">
        <v>0.85</v>
      </c>
      <c r="AW563">
        <v>2.1141683406990762E-2</v>
      </c>
      <c r="BF563">
        <f t="shared" si="45"/>
        <v>0</v>
      </c>
      <c r="BG563">
        <f t="shared" si="46"/>
        <v>0</v>
      </c>
      <c r="BH563">
        <f t="shared" si="47"/>
        <v>0</v>
      </c>
      <c r="BI563">
        <f t="shared" si="48"/>
        <v>0</v>
      </c>
      <c r="BJ563">
        <f t="shared" si="49"/>
        <v>0</v>
      </c>
      <c r="BK563">
        <f t="shared" si="50"/>
        <v>0</v>
      </c>
      <c r="BL563">
        <f t="shared" si="51"/>
        <v>0</v>
      </c>
      <c r="BM563">
        <f t="shared" si="52"/>
        <v>0</v>
      </c>
      <c r="BN563">
        <f t="shared" si="53"/>
        <v>0</v>
      </c>
      <c r="BO563">
        <f t="shared" si="54"/>
        <v>0</v>
      </c>
      <c r="BP563">
        <f t="shared" si="55"/>
        <v>0</v>
      </c>
      <c r="BQ563">
        <f t="shared" si="56"/>
        <v>0</v>
      </c>
      <c r="BR563">
        <f t="shared" si="57"/>
        <v>0</v>
      </c>
      <c r="BS563">
        <f t="shared" si="58"/>
        <v>0</v>
      </c>
      <c r="BT563">
        <f t="shared" si="59"/>
        <v>0</v>
      </c>
      <c r="BU563">
        <f t="shared" si="60"/>
        <v>0</v>
      </c>
      <c r="BV563">
        <f t="shared" si="61"/>
        <v>0</v>
      </c>
      <c r="BW563">
        <f t="shared" si="62"/>
        <v>0</v>
      </c>
      <c r="BX563">
        <f t="shared" si="63"/>
        <v>0</v>
      </c>
      <c r="BY563">
        <f t="shared" si="64"/>
        <v>0</v>
      </c>
      <c r="BZ563">
        <f t="shared" si="65"/>
        <v>0</v>
      </c>
      <c r="CA563" t="e">
        <f>IF(#REF!=BB563,0,1)</f>
        <v>#REF!</v>
      </c>
      <c r="CB563">
        <f t="shared" si="66"/>
        <v>0</v>
      </c>
      <c r="CC563" t="e">
        <f>IF(#REF!=BD563,0,1)</f>
        <v>#REF!</v>
      </c>
      <c r="CD563" t="e">
        <f>IF(#REF!=BE563,0,1)</f>
        <v>#REF!</v>
      </c>
      <c r="CE563" t="e">
        <f>IF(#REF!=BF563,0,1)</f>
        <v>#REF!</v>
      </c>
      <c r="CF563">
        <f t="shared" si="67"/>
        <v>0</v>
      </c>
      <c r="CG563">
        <f t="shared" si="68"/>
        <v>0</v>
      </c>
      <c r="CH563">
        <f t="shared" si="69"/>
        <v>0</v>
      </c>
      <c r="CI563">
        <f t="shared" si="70"/>
        <v>0</v>
      </c>
      <c r="CJ563">
        <f t="shared" si="71"/>
        <v>0</v>
      </c>
      <c r="CK563">
        <f t="shared" si="72"/>
        <v>0</v>
      </c>
      <c r="CL563">
        <f t="shared" si="73"/>
        <v>0</v>
      </c>
    </row>
    <row r="564" spans="11:90" x14ac:dyDescent="0.3">
      <c r="M564" s="42"/>
      <c r="O564" s="48"/>
      <c r="Q564" s="48">
        <f>c_cog+c_hosp_fu+c_CSG</f>
        <v>15766</v>
      </c>
      <c r="R564" s="48"/>
      <c r="T564" s="80"/>
      <c r="Z564" s="42"/>
      <c r="AA564" s="6"/>
      <c r="AW564">
        <v>4840</v>
      </c>
      <c r="BF564">
        <f t="shared" si="45"/>
        <v>0</v>
      </c>
      <c r="BG564">
        <f t="shared" si="46"/>
        <v>0</v>
      </c>
      <c r="BH564">
        <f t="shared" si="47"/>
        <v>0</v>
      </c>
      <c r="BI564">
        <f t="shared" si="48"/>
        <v>0</v>
      </c>
      <c r="BJ564">
        <f t="shared" si="49"/>
        <v>0</v>
      </c>
      <c r="BK564">
        <f t="shared" si="50"/>
        <v>0</v>
      </c>
      <c r="BL564">
        <f t="shared" si="51"/>
        <v>0</v>
      </c>
      <c r="BM564">
        <f t="shared" si="52"/>
        <v>0</v>
      </c>
      <c r="BN564">
        <f t="shared" si="53"/>
        <v>0</v>
      </c>
      <c r="BO564">
        <f t="shared" si="54"/>
        <v>0</v>
      </c>
      <c r="BP564">
        <f t="shared" si="55"/>
        <v>0</v>
      </c>
      <c r="BQ564">
        <f t="shared" si="56"/>
        <v>0</v>
      </c>
      <c r="BR564">
        <f t="shared" si="57"/>
        <v>0</v>
      </c>
      <c r="BS564">
        <f t="shared" si="58"/>
        <v>0</v>
      </c>
      <c r="BT564">
        <f t="shared" si="59"/>
        <v>0</v>
      </c>
      <c r="BU564">
        <f t="shared" si="60"/>
        <v>0</v>
      </c>
      <c r="BV564">
        <f t="shared" si="61"/>
        <v>1</v>
      </c>
      <c r="BW564">
        <f t="shared" si="62"/>
        <v>0</v>
      </c>
      <c r="BX564">
        <f t="shared" si="63"/>
        <v>0</v>
      </c>
      <c r="BY564">
        <f t="shared" si="64"/>
        <v>0</v>
      </c>
      <c r="BZ564">
        <f t="shared" si="65"/>
        <v>1</v>
      </c>
      <c r="CA564" t="e">
        <f>IF(#REF!=BB564,0,1)</f>
        <v>#REF!</v>
      </c>
      <c r="CB564">
        <f t="shared" si="66"/>
        <v>0</v>
      </c>
      <c r="CC564" t="e">
        <f>IF(#REF!=BD564,0,1)</f>
        <v>#REF!</v>
      </c>
      <c r="CD564" t="e">
        <f>IF(#REF!=BE564,0,1)</f>
        <v>#REF!</v>
      </c>
      <c r="CE564" t="e">
        <f>IF(#REF!=BF564,0,1)</f>
        <v>#REF!</v>
      </c>
      <c r="CF564">
        <f t="shared" si="67"/>
        <v>0</v>
      </c>
      <c r="CG564">
        <f t="shared" si="68"/>
        <v>0</v>
      </c>
      <c r="CH564">
        <f t="shared" si="69"/>
        <v>0</v>
      </c>
      <c r="CI564">
        <f t="shared" si="70"/>
        <v>0</v>
      </c>
      <c r="CJ564">
        <f t="shared" si="71"/>
        <v>0</v>
      </c>
      <c r="CK564">
        <f t="shared" si="72"/>
        <v>0</v>
      </c>
      <c r="CL564">
        <f t="shared" si="73"/>
        <v>0</v>
      </c>
    </row>
    <row r="565" spans="11:90" x14ac:dyDescent="0.3">
      <c r="M565" s="42"/>
      <c r="Q565" s="19" t="s">
        <v>369</v>
      </c>
      <c r="R565" s="19"/>
      <c r="T565" s="80"/>
      <c r="U565">
        <f>$G$493*$E$531*$C$600*$A$555*$I$525*$K$536*$M$551*$O$563*Q566</f>
        <v>1.7041678873384111E-5</v>
      </c>
      <c r="V565">
        <v>5.7903857518206092E-5</v>
      </c>
      <c r="W565" s="42">
        <f>$K$537+$I$526+$G$494+$E$532+$C$601+$A$556+$M$552+$O$564+Q567</f>
        <v>315927.97071050806</v>
      </c>
      <c r="X565">
        <f>u_ChronicResp+u_CongnitiveImpairement</f>
        <v>17.805052694763283</v>
      </c>
      <c r="Z565" s="42">
        <f>U565*W565</f>
        <v>5.3839430239683796</v>
      </c>
      <c r="AA565" s="6">
        <f>U565*X565</f>
        <v>3.0342799034783829E-4</v>
      </c>
      <c r="AW565" t="s">
        <v>369</v>
      </c>
      <c r="AZ565">
        <v>5.7903857518206079E-5</v>
      </c>
      <c r="BF565">
        <f t="shared" si="45"/>
        <v>0</v>
      </c>
      <c r="BG565">
        <f t="shared" si="46"/>
        <v>0</v>
      </c>
      <c r="BH565">
        <f t="shared" si="47"/>
        <v>0</v>
      </c>
      <c r="BI565">
        <f t="shared" si="48"/>
        <v>0</v>
      </c>
      <c r="BJ565">
        <f t="shared" si="49"/>
        <v>0</v>
      </c>
      <c r="BK565">
        <f t="shared" si="50"/>
        <v>0</v>
      </c>
      <c r="BL565">
        <f t="shared" si="51"/>
        <v>0</v>
      </c>
      <c r="BM565">
        <f t="shared" si="52"/>
        <v>0</v>
      </c>
      <c r="BN565">
        <f t="shared" si="53"/>
        <v>0</v>
      </c>
      <c r="BO565">
        <f t="shared" si="54"/>
        <v>0</v>
      </c>
      <c r="BP565">
        <f t="shared" si="55"/>
        <v>0</v>
      </c>
      <c r="BQ565">
        <f t="shared" si="56"/>
        <v>0</v>
      </c>
      <c r="BR565">
        <f t="shared" si="57"/>
        <v>0</v>
      </c>
      <c r="BS565">
        <f t="shared" si="58"/>
        <v>0</v>
      </c>
      <c r="BT565">
        <f t="shared" si="59"/>
        <v>0</v>
      </c>
      <c r="BU565">
        <f t="shared" si="60"/>
        <v>0</v>
      </c>
      <c r="BV565">
        <f t="shared" si="61"/>
        <v>0</v>
      </c>
      <c r="BW565">
        <f t="shared" si="62"/>
        <v>0</v>
      </c>
      <c r="BX565">
        <f t="shared" si="63"/>
        <v>0</v>
      </c>
      <c r="BY565">
        <f t="shared" si="64"/>
        <v>1</v>
      </c>
      <c r="BZ565">
        <f t="shared" si="65"/>
        <v>0</v>
      </c>
      <c r="CA565" t="e">
        <f>IF(#REF!=BB565,0,1)</f>
        <v>#REF!</v>
      </c>
      <c r="CB565">
        <f t="shared" si="66"/>
        <v>1</v>
      </c>
      <c r="CC565" t="e">
        <f>IF(#REF!=BD565,0,1)</f>
        <v>#REF!</v>
      </c>
      <c r="CD565" t="e">
        <f>IF(#REF!=BE565,0,1)</f>
        <v>#REF!</v>
      </c>
      <c r="CE565" t="e">
        <f>IF(#REF!=BF565,0,1)</f>
        <v>#REF!</v>
      </c>
      <c r="CF565">
        <f t="shared" si="67"/>
        <v>1</v>
      </c>
      <c r="CG565">
        <f t="shared" si="68"/>
        <v>1</v>
      </c>
      <c r="CH565">
        <f t="shared" si="69"/>
        <v>1</v>
      </c>
      <c r="CI565">
        <f t="shared" si="70"/>
        <v>0</v>
      </c>
      <c r="CJ565">
        <f t="shared" si="71"/>
        <v>0</v>
      </c>
      <c r="CK565">
        <f t="shared" si="72"/>
        <v>0</v>
      </c>
      <c r="CL565">
        <f t="shared" si="73"/>
        <v>0</v>
      </c>
    </row>
    <row r="566" spans="11:90" x14ac:dyDescent="0.3">
      <c r="Q566" s="47">
        <f>RDS2CLD_2*noHypo2CI_2</f>
        <v>1.1943893129770991E-2</v>
      </c>
      <c r="R566" s="47"/>
      <c r="T566" s="80"/>
      <c r="Z566" s="42"/>
      <c r="AA566" s="6"/>
      <c r="AW566">
        <v>1.1943893129770991E-2</v>
      </c>
      <c r="BF566">
        <f t="shared" si="45"/>
        <v>0</v>
      </c>
      <c r="BG566">
        <f t="shared" si="46"/>
        <v>0</v>
      </c>
      <c r="BH566">
        <f t="shared" si="47"/>
        <v>0</v>
      </c>
      <c r="BI566">
        <f t="shared" si="48"/>
        <v>0</v>
      </c>
      <c r="BJ566">
        <f t="shared" si="49"/>
        <v>0</v>
      </c>
      <c r="BK566">
        <f t="shared" si="50"/>
        <v>0</v>
      </c>
      <c r="BL566">
        <f t="shared" si="51"/>
        <v>0</v>
      </c>
      <c r="BM566">
        <f t="shared" si="52"/>
        <v>0</v>
      </c>
      <c r="BN566">
        <f t="shared" si="53"/>
        <v>0</v>
      </c>
      <c r="BO566">
        <f t="shared" si="54"/>
        <v>0</v>
      </c>
      <c r="BP566">
        <f t="shared" si="55"/>
        <v>0</v>
      </c>
      <c r="BQ566">
        <f t="shared" si="56"/>
        <v>0</v>
      </c>
      <c r="BR566">
        <f t="shared" si="57"/>
        <v>0</v>
      </c>
      <c r="BS566">
        <f t="shared" si="58"/>
        <v>0</v>
      </c>
      <c r="BT566">
        <f t="shared" si="59"/>
        <v>0</v>
      </c>
      <c r="BU566">
        <f t="shared" si="60"/>
        <v>0</v>
      </c>
      <c r="BV566">
        <f t="shared" si="61"/>
        <v>0</v>
      </c>
      <c r="BW566">
        <f t="shared" si="62"/>
        <v>0</v>
      </c>
      <c r="BX566">
        <f t="shared" si="63"/>
        <v>0</v>
      </c>
      <c r="BY566">
        <f t="shared" si="64"/>
        <v>0</v>
      </c>
      <c r="BZ566">
        <f t="shared" si="65"/>
        <v>0</v>
      </c>
      <c r="CA566" t="e">
        <f>IF(#REF!=BB566,0,1)</f>
        <v>#REF!</v>
      </c>
      <c r="CB566">
        <f t="shared" si="66"/>
        <v>0</v>
      </c>
      <c r="CC566" t="e">
        <f>IF(#REF!=BD566,0,1)</f>
        <v>#REF!</v>
      </c>
      <c r="CD566" t="e">
        <f>IF(#REF!=BE566,0,1)</f>
        <v>#REF!</v>
      </c>
      <c r="CE566" t="e">
        <f>IF(#REF!=BF566,0,1)</f>
        <v>#REF!</v>
      </c>
      <c r="CF566">
        <f t="shared" si="67"/>
        <v>0</v>
      </c>
      <c r="CG566">
        <f t="shared" si="68"/>
        <v>0</v>
      </c>
      <c r="CH566">
        <f t="shared" si="69"/>
        <v>0</v>
      </c>
      <c r="CI566">
        <f t="shared" si="70"/>
        <v>0</v>
      </c>
      <c r="CJ566">
        <f t="shared" si="71"/>
        <v>0</v>
      </c>
      <c r="CK566">
        <f t="shared" si="72"/>
        <v>0</v>
      </c>
      <c r="CL566">
        <f t="shared" si="73"/>
        <v>0</v>
      </c>
    </row>
    <row r="567" spans="11:90" x14ac:dyDescent="0.3">
      <c r="Q567" s="48">
        <f>c_cog+c_lung+c_hosp_fu+c_CSG</f>
        <v>58348.510902399998</v>
      </c>
      <c r="R567" s="48"/>
      <c r="T567" s="80"/>
      <c r="Z567" s="42"/>
      <c r="AA567" s="6"/>
      <c r="AW567">
        <v>45990.200000000004</v>
      </c>
      <c r="BF567">
        <f t="shared" si="45"/>
        <v>0</v>
      </c>
      <c r="BG567">
        <f t="shared" si="46"/>
        <v>0</v>
      </c>
      <c r="BH567">
        <f t="shared" si="47"/>
        <v>0</v>
      </c>
      <c r="BI567">
        <f t="shared" si="48"/>
        <v>0</v>
      </c>
      <c r="BJ567">
        <f t="shared" si="49"/>
        <v>0</v>
      </c>
      <c r="BK567">
        <f t="shared" si="50"/>
        <v>0</v>
      </c>
      <c r="BL567">
        <f t="shared" si="51"/>
        <v>0</v>
      </c>
      <c r="BM567">
        <f t="shared" si="52"/>
        <v>0</v>
      </c>
      <c r="BN567">
        <f t="shared" si="53"/>
        <v>0</v>
      </c>
      <c r="BO567">
        <f t="shared" si="54"/>
        <v>0</v>
      </c>
      <c r="BP567">
        <f t="shared" si="55"/>
        <v>0</v>
      </c>
      <c r="BQ567">
        <f t="shared" si="56"/>
        <v>0</v>
      </c>
      <c r="BR567">
        <f t="shared" si="57"/>
        <v>0</v>
      </c>
      <c r="BS567">
        <f t="shared" si="58"/>
        <v>0</v>
      </c>
      <c r="BT567">
        <f t="shared" si="59"/>
        <v>0</v>
      </c>
      <c r="BU567">
        <f t="shared" si="60"/>
        <v>0</v>
      </c>
      <c r="BV567">
        <f t="shared" si="61"/>
        <v>1</v>
      </c>
      <c r="BW567">
        <f t="shared" si="62"/>
        <v>0</v>
      </c>
      <c r="BX567">
        <f t="shared" si="63"/>
        <v>0</v>
      </c>
      <c r="BY567">
        <f t="shared" si="64"/>
        <v>0</v>
      </c>
      <c r="BZ567">
        <f t="shared" si="65"/>
        <v>1</v>
      </c>
      <c r="CA567" t="e">
        <f>IF(#REF!=BB567,0,1)</f>
        <v>#REF!</v>
      </c>
      <c r="CB567">
        <f t="shared" si="66"/>
        <v>0</v>
      </c>
      <c r="CC567" t="e">
        <f>IF(#REF!=BD567,0,1)</f>
        <v>#REF!</v>
      </c>
      <c r="CD567" t="e">
        <f>IF(#REF!=BE567,0,1)</f>
        <v>#REF!</v>
      </c>
      <c r="CE567" t="e">
        <f>IF(#REF!=BF567,0,1)</f>
        <v>#REF!</v>
      </c>
      <c r="CF567">
        <f t="shared" si="67"/>
        <v>0</v>
      </c>
      <c r="CG567">
        <f t="shared" si="68"/>
        <v>0</v>
      </c>
      <c r="CH567">
        <f t="shared" si="69"/>
        <v>0</v>
      </c>
      <c r="CI567">
        <f t="shared" si="70"/>
        <v>0</v>
      </c>
      <c r="CJ567">
        <f t="shared" si="71"/>
        <v>0</v>
      </c>
      <c r="CK567">
        <f t="shared" si="72"/>
        <v>0</v>
      </c>
      <c r="CL567">
        <f t="shared" si="73"/>
        <v>0</v>
      </c>
    </row>
    <row r="568" spans="11:90" x14ac:dyDescent="0.3">
      <c r="M568" s="42"/>
      <c r="Q568" s="19" t="s">
        <v>370</v>
      </c>
      <c r="R568" s="19"/>
      <c r="T568" s="80"/>
      <c r="U568">
        <f>$G$493*$E$531*$C$600*$A$555*$I$525*$K$536*$M$551*$O$563*Q569</f>
        <v>8.8156708254385119E-4</v>
      </c>
      <c r="V568">
        <v>2.99537006415983E-3</v>
      </c>
      <c r="W568" s="42">
        <f>$K$537+$I$526+$G$494+$E$532+$C$601+$A$556+$M$552+$O$564+Q570</f>
        <v>271982.45980810805</v>
      </c>
      <c r="X568">
        <f>u_Healthy</f>
        <v>0</v>
      </c>
      <c r="Z568" s="42">
        <f>U568*W568</f>
        <v>239.77078359613407</v>
      </c>
      <c r="AA568" s="6">
        <f>U568*X568</f>
        <v>0</v>
      </c>
      <c r="AW568" t="s">
        <v>370</v>
      </c>
      <c r="AZ568">
        <v>2.9953700641598292E-3</v>
      </c>
      <c r="BF568">
        <f t="shared" si="45"/>
        <v>0</v>
      </c>
      <c r="BG568">
        <f t="shared" si="46"/>
        <v>0</v>
      </c>
      <c r="BH568">
        <f t="shared" si="47"/>
        <v>0</v>
      </c>
      <c r="BI568">
        <f t="shared" si="48"/>
        <v>0</v>
      </c>
      <c r="BJ568">
        <f t="shared" si="49"/>
        <v>0</v>
      </c>
      <c r="BK568">
        <f t="shared" si="50"/>
        <v>0</v>
      </c>
      <c r="BL568">
        <f t="shared" si="51"/>
        <v>0</v>
      </c>
      <c r="BM568">
        <f t="shared" si="52"/>
        <v>0</v>
      </c>
      <c r="BN568">
        <f t="shared" si="53"/>
        <v>0</v>
      </c>
      <c r="BO568">
        <f t="shared" si="54"/>
        <v>0</v>
      </c>
      <c r="BP568">
        <f t="shared" si="55"/>
        <v>0</v>
      </c>
      <c r="BQ568">
        <f t="shared" si="56"/>
        <v>0</v>
      </c>
      <c r="BR568">
        <f t="shared" si="57"/>
        <v>0</v>
      </c>
      <c r="BS568">
        <f t="shared" si="58"/>
        <v>0</v>
      </c>
      <c r="BT568">
        <f t="shared" si="59"/>
        <v>0</v>
      </c>
      <c r="BU568">
        <f t="shared" si="60"/>
        <v>0</v>
      </c>
      <c r="BV568">
        <f t="shared" si="61"/>
        <v>0</v>
      </c>
      <c r="BW568">
        <f t="shared" si="62"/>
        <v>0</v>
      </c>
      <c r="BX568">
        <f t="shared" si="63"/>
        <v>0</v>
      </c>
      <c r="BY568">
        <f t="shared" si="64"/>
        <v>1</v>
      </c>
      <c r="BZ568">
        <f t="shared" si="65"/>
        <v>0</v>
      </c>
      <c r="CA568" t="e">
        <f>IF(#REF!=BB568,0,1)</f>
        <v>#REF!</v>
      </c>
      <c r="CB568">
        <f t="shared" si="66"/>
        <v>1</v>
      </c>
      <c r="CC568" t="e">
        <f>IF(#REF!=BD568,0,1)</f>
        <v>#REF!</v>
      </c>
      <c r="CD568" t="e">
        <f>IF(#REF!=BE568,0,1)</f>
        <v>#REF!</v>
      </c>
      <c r="CE568" t="e">
        <f>IF(#REF!=BF568,0,1)</f>
        <v>#REF!</v>
      </c>
      <c r="CF568">
        <f t="shared" si="67"/>
        <v>0</v>
      </c>
      <c r="CG568">
        <f t="shared" si="68"/>
        <v>1</v>
      </c>
      <c r="CH568">
        <f t="shared" si="69"/>
        <v>0</v>
      </c>
      <c r="CI568">
        <f t="shared" si="70"/>
        <v>0</v>
      </c>
      <c r="CJ568">
        <f t="shared" si="71"/>
        <v>0</v>
      </c>
      <c r="CK568">
        <f t="shared" si="72"/>
        <v>0</v>
      </c>
      <c r="CL568">
        <f t="shared" si="73"/>
        <v>0</v>
      </c>
    </row>
    <row r="569" spans="11:90" x14ac:dyDescent="0.3">
      <c r="M569" s="42"/>
      <c r="Q569" s="47">
        <f>1-Q566-Q563-Q560</f>
        <v>0.61785831659300938</v>
      </c>
      <c r="R569" s="47"/>
      <c r="T569" s="80"/>
      <c r="Z569" s="42"/>
      <c r="AA569" s="6"/>
      <c r="AW569">
        <v>0.61785831659300938</v>
      </c>
      <c r="BF569">
        <f t="shared" si="45"/>
        <v>0</v>
      </c>
      <c r="BG569">
        <f t="shared" si="46"/>
        <v>0</v>
      </c>
      <c r="BH569">
        <f t="shared" si="47"/>
        <v>0</v>
      </c>
      <c r="BI569">
        <f t="shared" si="48"/>
        <v>0</v>
      </c>
      <c r="BJ569">
        <f t="shared" si="49"/>
        <v>0</v>
      </c>
      <c r="BK569">
        <f t="shared" si="50"/>
        <v>0</v>
      </c>
      <c r="BL569">
        <f t="shared" si="51"/>
        <v>0</v>
      </c>
      <c r="BM569">
        <f t="shared" si="52"/>
        <v>0</v>
      </c>
      <c r="BN569">
        <f t="shared" si="53"/>
        <v>0</v>
      </c>
      <c r="BO569">
        <f t="shared" si="54"/>
        <v>0</v>
      </c>
      <c r="BP569">
        <f t="shared" si="55"/>
        <v>0</v>
      </c>
      <c r="BQ569">
        <f t="shared" si="56"/>
        <v>0</v>
      </c>
      <c r="BR569">
        <f t="shared" si="57"/>
        <v>0</v>
      </c>
      <c r="BS569">
        <f t="shared" si="58"/>
        <v>0</v>
      </c>
      <c r="BT569">
        <f t="shared" si="59"/>
        <v>0</v>
      </c>
      <c r="BU569">
        <f t="shared" si="60"/>
        <v>0</v>
      </c>
      <c r="BV569">
        <f t="shared" si="61"/>
        <v>0</v>
      </c>
      <c r="BW569">
        <f t="shared" si="62"/>
        <v>0</v>
      </c>
      <c r="BX569">
        <f t="shared" si="63"/>
        <v>0</v>
      </c>
      <c r="BY569">
        <f t="shared" si="64"/>
        <v>0</v>
      </c>
      <c r="BZ569">
        <f t="shared" si="65"/>
        <v>0</v>
      </c>
      <c r="CA569" t="e">
        <f>IF(#REF!=BB569,0,1)</f>
        <v>#REF!</v>
      </c>
      <c r="CB569">
        <f t="shared" si="66"/>
        <v>0</v>
      </c>
      <c r="CC569" t="e">
        <f>IF(#REF!=BD569,0,1)</f>
        <v>#REF!</v>
      </c>
      <c r="CD569" t="e">
        <f>IF(#REF!=BE569,0,1)</f>
        <v>#REF!</v>
      </c>
      <c r="CE569" t="e">
        <f>IF(#REF!=BF569,0,1)</f>
        <v>#REF!</v>
      </c>
      <c r="CF569">
        <f t="shared" si="67"/>
        <v>0</v>
      </c>
      <c r="CG569">
        <f t="shared" si="68"/>
        <v>0</v>
      </c>
      <c r="CH569">
        <f t="shared" si="69"/>
        <v>0</v>
      </c>
      <c r="CI569">
        <f t="shared" si="70"/>
        <v>0</v>
      </c>
      <c r="CJ569">
        <f t="shared" si="71"/>
        <v>0</v>
      </c>
      <c r="CK569">
        <f t="shared" si="72"/>
        <v>0</v>
      </c>
      <c r="CL569">
        <f t="shared" si="73"/>
        <v>0</v>
      </c>
    </row>
    <row r="570" spans="11:90" x14ac:dyDescent="0.3">
      <c r="M570" s="42"/>
      <c r="Q570" s="48">
        <f>c_clinic_fu+c_CSG</f>
        <v>14403</v>
      </c>
      <c r="R570" s="48"/>
      <c r="T570" s="80"/>
      <c r="Z570" s="42"/>
      <c r="AA570" s="6"/>
      <c r="AW570">
        <v>3230</v>
      </c>
      <c r="BF570">
        <f t="shared" si="45"/>
        <v>0</v>
      </c>
      <c r="BG570">
        <f t="shared" si="46"/>
        <v>0</v>
      </c>
      <c r="BH570">
        <f t="shared" si="47"/>
        <v>0</v>
      </c>
      <c r="BI570">
        <f t="shared" si="48"/>
        <v>0</v>
      </c>
      <c r="BJ570">
        <f t="shared" si="49"/>
        <v>0</v>
      </c>
      <c r="BK570">
        <f t="shared" si="50"/>
        <v>0</v>
      </c>
      <c r="BL570">
        <f t="shared" si="51"/>
        <v>0</v>
      </c>
      <c r="BM570">
        <f t="shared" si="52"/>
        <v>0</v>
      </c>
      <c r="BN570">
        <f t="shared" si="53"/>
        <v>0</v>
      </c>
      <c r="BO570">
        <f t="shared" si="54"/>
        <v>0</v>
      </c>
      <c r="BP570">
        <f t="shared" si="55"/>
        <v>0</v>
      </c>
      <c r="BQ570">
        <f t="shared" si="56"/>
        <v>0</v>
      </c>
      <c r="BR570">
        <f t="shared" si="57"/>
        <v>0</v>
      </c>
      <c r="BS570">
        <f t="shared" si="58"/>
        <v>0</v>
      </c>
      <c r="BT570">
        <f t="shared" si="59"/>
        <v>0</v>
      </c>
      <c r="BU570">
        <f t="shared" si="60"/>
        <v>0</v>
      </c>
      <c r="BV570">
        <f t="shared" si="61"/>
        <v>1</v>
      </c>
      <c r="BW570">
        <f t="shared" si="62"/>
        <v>0</v>
      </c>
      <c r="BX570">
        <f t="shared" si="63"/>
        <v>0</v>
      </c>
      <c r="BY570">
        <f t="shared" si="64"/>
        <v>0</v>
      </c>
      <c r="BZ570">
        <f t="shared" si="65"/>
        <v>0</v>
      </c>
      <c r="CA570" t="e">
        <f>IF(#REF!=BB570,0,1)</f>
        <v>#REF!</v>
      </c>
      <c r="CB570">
        <f t="shared" si="66"/>
        <v>0</v>
      </c>
      <c r="CC570" t="e">
        <f>IF(#REF!=BD570,0,1)</f>
        <v>#REF!</v>
      </c>
      <c r="CD570" t="e">
        <f>IF(#REF!=BE570,0,1)</f>
        <v>#REF!</v>
      </c>
      <c r="CE570" t="e">
        <f>IF(#REF!=BF570,0,1)</f>
        <v>#REF!</v>
      </c>
      <c r="CF570">
        <f t="shared" si="67"/>
        <v>0</v>
      </c>
      <c r="CG570">
        <f t="shared" si="68"/>
        <v>0</v>
      </c>
      <c r="CH570">
        <f t="shared" si="69"/>
        <v>0</v>
      </c>
      <c r="CI570">
        <f t="shared" si="70"/>
        <v>0</v>
      </c>
      <c r="CJ570">
        <f t="shared" si="71"/>
        <v>0</v>
      </c>
      <c r="CK570">
        <f t="shared" si="72"/>
        <v>0</v>
      </c>
      <c r="CL570">
        <f t="shared" si="73"/>
        <v>0</v>
      </c>
    </row>
    <row r="571" spans="11:90" x14ac:dyDescent="0.3">
      <c r="M571" s="42"/>
      <c r="Q571" s="42"/>
      <c r="R571" s="42"/>
      <c r="T571" s="80"/>
      <c r="Z571" s="42"/>
      <c r="AA571" s="6"/>
      <c r="BF571">
        <f t="shared" si="45"/>
        <v>0</v>
      </c>
      <c r="BG571">
        <f t="shared" si="46"/>
        <v>0</v>
      </c>
      <c r="BH571">
        <f t="shared" si="47"/>
        <v>0</v>
      </c>
      <c r="BI571">
        <f t="shared" si="48"/>
        <v>0</v>
      </c>
      <c r="BJ571">
        <f t="shared" si="49"/>
        <v>0</v>
      </c>
      <c r="BK571">
        <f t="shared" si="50"/>
        <v>0</v>
      </c>
      <c r="BL571">
        <f t="shared" si="51"/>
        <v>0</v>
      </c>
      <c r="BM571">
        <f t="shared" si="52"/>
        <v>0</v>
      </c>
      <c r="BN571">
        <f t="shared" si="53"/>
        <v>0</v>
      </c>
      <c r="BO571">
        <f t="shared" si="54"/>
        <v>0</v>
      </c>
      <c r="BP571">
        <f t="shared" si="55"/>
        <v>0</v>
      </c>
      <c r="BQ571">
        <f t="shared" si="56"/>
        <v>0</v>
      </c>
      <c r="BR571">
        <f t="shared" si="57"/>
        <v>0</v>
      </c>
      <c r="BS571">
        <f t="shared" si="58"/>
        <v>0</v>
      </c>
      <c r="BT571">
        <f t="shared" si="59"/>
        <v>0</v>
      </c>
      <c r="BU571">
        <f t="shared" si="60"/>
        <v>0</v>
      </c>
      <c r="BV571">
        <f t="shared" si="61"/>
        <v>0</v>
      </c>
      <c r="BW571">
        <f t="shared" si="62"/>
        <v>0</v>
      </c>
      <c r="BX571">
        <f t="shared" si="63"/>
        <v>0</v>
      </c>
      <c r="BY571">
        <f t="shared" si="64"/>
        <v>0</v>
      </c>
      <c r="BZ571">
        <f t="shared" si="65"/>
        <v>0</v>
      </c>
      <c r="CA571" t="e">
        <f>IF(#REF!=BB571,0,1)</f>
        <v>#REF!</v>
      </c>
      <c r="CB571">
        <f t="shared" si="66"/>
        <v>0</v>
      </c>
      <c r="CC571" t="e">
        <f>IF(#REF!=BD571,0,1)</f>
        <v>#REF!</v>
      </c>
      <c r="CD571" t="e">
        <f>IF(#REF!=BE571,0,1)</f>
        <v>#REF!</v>
      </c>
      <c r="CE571" t="e">
        <f>IF(#REF!=BF571,0,1)</f>
        <v>#REF!</v>
      </c>
      <c r="CF571">
        <f t="shared" si="67"/>
        <v>0</v>
      </c>
      <c r="CG571">
        <f t="shared" si="68"/>
        <v>0</v>
      </c>
      <c r="CH571">
        <f t="shared" si="69"/>
        <v>0</v>
      </c>
      <c r="CI571">
        <f t="shared" si="70"/>
        <v>0</v>
      </c>
      <c r="CJ571">
        <f t="shared" si="71"/>
        <v>0</v>
      </c>
      <c r="CK571">
        <f t="shared" si="72"/>
        <v>0</v>
      </c>
      <c r="CL571">
        <f t="shared" si="73"/>
        <v>0</v>
      </c>
    </row>
    <row r="572" spans="11:90" x14ac:dyDescent="0.3">
      <c r="K572" s="19" t="s">
        <v>165</v>
      </c>
      <c r="L572" s="19"/>
      <c r="M572" s="19"/>
      <c r="N572" s="19"/>
      <c r="O572" s="19"/>
      <c r="P572" s="19"/>
      <c r="Q572" s="19"/>
      <c r="R572" s="19"/>
      <c r="T572" s="80"/>
      <c r="U572">
        <f>$K$573*$I$581*$G$602*$E$531*$C$600*$A$555</f>
        <v>0</v>
      </c>
      <c r="W572" s="42">
        <f>$K$574+$I$582+$G$603+$E$532+$C$601+$A$556</f>
        <v>5925.1017081081081</v>
      </c>
      <c r="X572">
        <f>u_Death</f>
        <v>19.181538114427529</v>
      </c>
      <c r="Z572" s="42">
        <f>U572*W572</f>
        <v>0</v>
      </c>
      <c r="AA572" s="6">
        <f>U572*X572</f>
        <v>0</v>
      </c>
      <c r="AQ572" t="s">
        <v>165</v>
      </c>
      <c r="AZ572">
        <v>0</v>
      </c>
      <c r="BF572">
        <f t="shared" si="45"/>
        <v>0</v>
      </c>
      <c r="BG572">
        <f t="shared" si="46"/>
        <v>0</v>
      </c>
      <c r="BH572">
        <f t="shared" si="47"/>
        <v>0</v>
      </c>
      <c r="BI572">
        <f t="shared" si="48"/>
        <v>0</v>
      </c>
      <c r="BJ572">
        <f t="shared" si="49"/>
        <v>0</v>
      </c>
      <c r="BK572">
        <f t="shared" si="50"/>
        <v>0</v>
      </c>
      <c r="BL572">
        <f t="shared" si="51"/>
        <v>0</v>
      </c>
      <c r="BM572">
        <f t="shared" si="52"/>
        <v>0</v>
      </c>
      <c r="BN572">
        <f t="shared" si="53"/>
        <v>0</v>
      </c>
      <c r="BO572">
        <f t="shared" si="54"/>
        <v>0</v>
      </c>
      <c r="BP572">
        <f t="shared" si="55"/>
        <v>0</v>
      </c>
      <c r="BQ572">
        <f t="shared" si="56"/>
        <v>0</v>
      </c>
      <c r="BR572">
        <f t="shared" si="57"/>
        <v>0</v>
      </c>
      <c r="BS572">
        <f t="shared" si="58"/>
        <v>0</v>
      </c>
      <c r="BT572">
        <f t="shared" si="59"/>
        <v>0</v>
      </c>
      <c r="BU572">
        <f t="shared" si="60"/>
        <v>0</v>
      </c>
      <c r="BV572">
        <f t="shared" si="61"/>
        <v>0</v>
      </c>
      <c r="BW572">
        <f t="shared" si="62"/>
        <v>0</v>
      </c>
      <c r="BX572">
        <f t="shared" si="63"/>
        <v>0</v>
      </c>
      <c r="BY572">
        <f t="shared" si="64"/>
        <v>0</v>
      </c>
      <c r="BZ572">
        <f t="shared" si="65"/>
        <v>0</v>
      </c>
      <c r="CA572" t="e">
        <f>IF(#REF!=BB572,0,1)</f>
        <v>#REF!</v>
      </c>
      <c r="CB572">
        <f t="shared" si="66"/>
        <v>1</v>
      </c>
      <c r="CC572" t="e">
        <f>IF(#REF!=BD572,0,1)</f>
        <v>#REF!</v>
      </c>
      <c r="CD572" t="e">
        <f>IF(#REF!=BE572,0,1)</f>
        <v>#REF!</v>
      </c>
      <c r="CE572" t="e">
        <f>IF(#REF!=BF572,0,1)</f>
        <v>#REF!</v>
      </c>
      <c r="CF572">
        <f t="shared" si="67"/>
        <v>1</v>
      </c>
      <c r="CG572">
        <f t="shared" si="68"/>
        <v>0</v>
      </c>
      <c r="CH572">
        <f t="shared" si="69"/>
        <v>0</v>
      </c>
      <c r="CI572">
        <f t="shared" si="70"/>
        <v>0</v>
      </c>
      <c r="CJ572">
        <f t="shared" si="71"/>
        <v>0</v>
      </c>
      <c r="CK572">
        <f t="shared" si="72"/>
        <v>0</v>
      </c>
      <c r="CL572">
        <f t="shared" si="73"/>
        <v>0</v>
      </c>
    </row>
    <row r="573" spans="11:90" x14ac:dyDescent="0.3">
      <c r="K573" s="47">
        <f>SGA_prem_2d_1</f>
        <v>7.6248466666666667E-2</v>
      </c>
      <c r="T573" s="80"/>
      <c r="V573">
        <v>0</v>
      </c>
      <c r="Z573" s="42"/>
      <c r="AA573" s="6"/>
      <c r="AQ573">
        <v>8.4066666666666665E-2</v>
      </c>
      <c r="BF573">
        <f t="shared" si="45"/>
        <v>0</v>
      </c>
      <c r="BG573">
        <f t="shared" si="46"/>
        <v>0</v>
      </c>
      <c r="BH573">
        <f t="shared" si="47"/>
        <v>0</v>
      </c>
      <c r="BI573">
        <f t="shared" si="48"/>
        <v>0</v>
      </c>
      <c r="BJ573">
        <f t="shared" si="49"/>
        <v>0</v>
      </c>
      <c r="BK573">
        <f t="shared" si="50"/>
        <v>0</v>
      </c>
      <c r="BL573">
        <f t="shared" si="51"/>
        <v>0</v>
      </c>
      <c r="BM573">
        <f t="shared" si="52"/>
        <v>0</v>
      </c>
      <c r="BN573">
        <f t="shared" si="53"/>
        <v>0</v>
      </c>
      <c r="BO573">
        <f t="shared" si="54"/>
        <v>0</v>
      </c>
      <c r="BP573">
        <f t="shared" si="55"/>
        <v>1</v>
      </c>
      <c r="BQ573">
        <f t="shared" si="56"/>
        <v>0</v>
      </c>
      <c r="BR573">
        <f t="shared" si="57"/>
        <v>0</v>
      </c>
      <c r="BS573">
        <f t="shared" si="58"/>
        <v>0</v>
      </c>
      <c r="BT573">
        <f t="shared" si="59"/>
        <v>0</v>
      </c>
      <c r="BU573">
        <f t="shared" si="60"/>
        <v>0</v>
      </c>
      <c r="BV573">
        <f t="shared" si="61"/>
        <v>0</v>
      </c>
      <c r="BW573">
        <f t="shared" si="62"/>
        <v>0</v>
      </c>
      <c r="BX573">
        <f t="shared" si="63"/>
        <v>0</v>
      </c>
      <c r="BY573">
        <f t="shared" si="64"/>
        <v>0</v>
      </c>
      <c r="BZ573">
        <f t="shared" si="65"/>
        <v>0</v>
      </c>
      <c r="CA573" t="e">
        <f>IF(#REF!=BB573,0,1)</f>
        <v>#REF!</v>
      </c>
      <c r="CB573">
        <f t="shared" si="66"/>
        <v>0</v>
      </c>
      <c r="CC573" t="e">
        <f>IF(#REF!=BD573,0,1)</f>
        <v>#REF!</v>
      </c>
      <c r="CD573" t="e">
        <f>IF(#REF!=BE573,0,1)</f>
        <v>#REF!</v>
      </c>
      <c r="CE573" t="e">
        <f>IF(#REF!=BF573,0,1)</f>
        <v>#REF!</v>
      </c>
      <c r="CF573">
        <f t="shared" si="67"/>
        <v>0</v>
      </c>
      <c r="CG573">
        <f t="shared" si="68"/>
        <v>0</v>
      </c>
      <c r="CH573">
        <f t="shared" si="69"/>
        <v>0</v>
      </c>
      <c r="CI573">
        <f t="shared" si="70"/>
        <v>0</v>
      </c>
      <c r="CJ573">
        <f t="shared" si="71"/>
        <v>0</v>
      </c>
      <c r="CK573">
        <f t="shared" si="72"/>
        <v>0</v>
      </c>
      <c r="CL573">
        <f t="shared" si="73"/>
        <v>0</v>
      </c>
    </row>
    <row r="574" spans="11:90" x14ac:dyDescent="0.3">
      <c r="K574" s="48">
        <f>c_SB</f>
        <v>1792</v>
      </c>
      <c r="T574" s="80"/>
      <c r="Z574" s="42"/>
      <c r="AA574" s="6"/>
      <c r="AQ574">
        <v>1720</v>
      </c>
      <c r="BF574">
        <f t="shared" si="45"/>
        <v>0</v>
      </c>
      <c r="BG574">
        <f t="shared" si="46"/>
        <v>0</v>
      </c>
      <c r="BH574">
        <f t="shared" si="47"/>
        <v>0</v>
      </c>
      <c r="BI574">
        <f t="shared" si="48"/>
        <v>0</v>
      </c>
      <c r="BJ574">
        <f t="shared" si="49"/>
        <v>0</v>
      </c>
      <c r="BK574">
        <f t="shared" si="50"/>
        <v>0</v>
      </c>
      <c r="BL574">
        <f t="shared" si="51"/>
        <v>0</v>
      </c>
      <c r="BM574">
        <f t="shared" si="52"/>
        <v>0</v>
      </c>
      <c r="BN574">
        <f t="shared" si="53"/>
        <v>0</v>
      </c>
      <c r="BO574">
        <f t="shared" si="54"/>
        <v>0</v>
      </c>
      <c r="BP574">
        <f t="shared" si="55"/>
        <v>1</v>
      </c>
      <c r="BQ574">
        <f t="shared" si="56"/>
        <v>0</v>
      </c>
      <c r="BR574">
        <f t="shared" si="57"/>
        <v>0</v>
      </c>
      <c r="BS574">
        <f t="shared" si="58"/>
        <v>0</v>
      </c>
      <c r="BT574">
        <f t="shared" si="59"/>
        <v>0</v>
      </c>
      <c r="BU574">
        <f t="shared" si="60"/>
        <v>0</v>
      </c>
      <c r="BV574">
        <f t="shared" si="61"/>
        <v>0</v>
      </c>
      <c r="BW574">
        <f t="shared" si="62"/>
        <v>0</v>
      </c>
      <c r="BX574">
        <f t="shared" si="63"/>
        <v>0</v>
      </c>
      <c r="BY574">
        <f t="shared" si="64"/>
        <v>0</v>
      </c>
      <c r="BZ574">
        <f t="shared" si="65"/>
        <v>0</v>
      </c>
      <c r="CA574" t="e">
        <f>IF(#REF!=BB574,0,1)</f>
        <v>#REF!</v>
      </c>
      <c r="CB574">
        <f t="shared" si="66"/>
        <v>0</v>
      </c>
      <c r="CC574" t="e">
        <f>IF(#REF!=BD574,0,1)</f>
        <v>#REF!</v>
      </c>
      <c r="CD574" t="e">
        <f>IF(#REF!=BE574,0,1)</f>
        <v>#REF!</v>
      </c>
      <c r="CE574" t="e">
        <f>IF(#REF!=BF574,0,1)</f>
        <v>#REF!</v>
      </c>
      <c r="CF574">
        <f t="shared" si="67"/>
        <v>0</v>
      </c>
      <c r="CG574">
        <f t="shared" si="68"/>
        <v>0</v>
      </c>
      <c r="CH574">
        <f t="shared" si="69"/>
        <v>0</v>
      </c>
      <c r="CI574">
        <f t="shared" si="70"/>
        <v>0</v>
      </c>
      <c r="CJ574">
        <f t="shared" si="71"/>
        <v>0</v>
      </c>
      <c r="CK574">
        <f t="shared" si="72"/>
        <v>0</v>
      </c>
      <c r="CL574">
        <f t="shared" si="73"/>
        <v>0</v>
      </c>
    </row>
    <row r="575" spans="11:90" x14ac:dyDescent="0.3">
      <c r="T575" s="80"/>
      <c r="Z575" s="42"/>
      <c r="AA575" s="6"/>
      <c r="BF575">
        <f t="shared" si="45"/>
        <v>0</v>
      </c>
      <c r="BG575">
        <f t="shared" si="46"/>
        <v>0</v>
      </c>
      <c r="BH575">
        <f t="shared" si="47"/>
        <v>0</v>
      </c>
      <c r="BI575">
        <f t="shared" si="48"/>
        <v>0</v>
      </c>
      <c r="BJ575">
        <f t="shared" si="49"/>
        <v>0</v>
      </c>
      <c r="BK575">
        <f t="shared" si="50"/>
        <v>0</v>
      </c>
      <c r="BL575">
        <f t="shared" si="51"/>
        <v>0</v>
      </c>
      <c r="BM575">
        <f t="shared" si="52"/>
        <v>0</v>
      </c>
      <c r="BN575">
        <f t="shared" si="53"/>
        <v>0</v>
      </c>
      <c r="BO575">
        <f t="shared" si="54"/>
        <v>0</v>
      </c>
      <c r="BP575">
        <f t="shared" si="55"/>
        <v>0</v>
      </c>
      <c r="BQ575">
        <f t="shared" si="56"/>
        <v>0</v>
      </c>
      <c r="BR575">
        <f t="shared" si="57"/>
        <v>0</v>
      </c>
      <c r="BS575">
        <f t="shared" si="58"/>
        <v>0</v>
      </c>
      <c r="BT575">
        <f t="shared" si="59"/>
        <v>0</v>
      </c>
      <c r="BU575">
        <f t="shared" si="60"/>
        <v>0</v>
      </c>
      <c r="BV575">
        <f t="shared" si="61"/>
        <v>0</v>
      </c>
      <c r="BW575">
        <f t="shared" si="62"/>
        <v>0</v>
      </c>
      <c r="BX575">
        <f t="shared" si="63"/>
        <v>0</v>
      </c>
      <c r="BY575">
        <f t="shared" si="64"/>
        <v>0</v>
      </c>
      <c r="BZ575">
        <f t="shared" si="65"/>
        <v>0</v>
      </c>
      <c r="CA575" t="e">
        <f>IF(#REF!=BB575,0,1)</f>
        <v>#REF!</v>
      </c>
      <c r="CB575">
        <f t="shared" si="66"/>
        <v>0</v>
      </c>
      <c r="CC575" t="e">
        <f>IF(#REF!=BD575,0,1)</f>
        <v>#REF!</v>
      </c>
      <c r="CD575" t="e">
        <f>IF(#REF!=BE575,0,1)</f>
        <v>#REF!</v>
      </c>
      <c r="CE575" t="e">
        <f>IF(#REF!=BF575,0,1)</f>
        <v>#REF!</v>
      </c>
      <c r="CF575">
        <f t="shared" si="67"/>
        <v>0</v>
      </c>
      <c r="CG575">
        <f t="shared" si="68"/>
        <v>0</v>
      </c>
      <c r="CH575">
        <f t="shared" si="69"/>
        <v>0</v>
      </c>
      <c r="CI575">
        <f t="shared" si="70"/>
        <v>0</v>
      </c>
      <c r="CJ575">
        <f t="shared" si="71"/>
        <v>0</v>
      </c>
      <c r="CK575">
        <f t="shared" si="72"/>
        <v>0</v>
      </c>
      <c r="CL575">
        <f t="shared" si="73"/>
        <v>0</v>
      </c>
    </row>
    <row r="576" spans="11:90" x14ac:dyDescent="0.3">
      <c r="Q576" s="19" t="s">
        <v>368</v>
      </c>
      <c r="R576" s="19"/>
      <c r="T576" s="80"/>
      <c r="U576">
        <f>$K$592*$I$581*$G$602*$E$531*$C$600*$A$555*$M$587*$O$582*Q577</f>
        <v>0</v>
      </c>
      <c r="W576" s="42">
        <f>$K$593+$I$582+$G$603+$E$532+$C$601+$A$556+$M$588+$O$583+Q578</f>
        <v>92194.483158713745</v>
      </c>
      <c r="X576">
        <f>u_ChronicResp</f>
        <v>0.53465956747782661</v>
      </c>
      <c r="Z576" s="42">
        <f>U576*W576</f>
        <v>0</v>
      </c>
      <c r="AA576" s="6">
        <f>U576*X576</f>
        <v>0</v>
      </c>
      <c r="AW576" t="s">
        <v>368</v>
      </c>
      <c r="AZ576">
        <v>0</v>
      </c>
      <c r="BF576">
        <f t="shared" si="45"/>
        <v>0</v>
      </c>
      <c r="BG576">
        <f t="shared" si="46"/>
        <v>0</v>
      </c>
      <c r="BH576">
        <f t="shared" si="47"/>
        <v>0</v>
      </c>
      <c r="BI576">
        <f t="shared" si="48"/>
        <v>0</v>
      </c>
      <c r="BJ576">
        <f t="shared" si="49"/>
        <v>0</v>
      </c>
      <c r="BK576">
        <f t="shared" si="50"/>
        <v>0</v>
      </c>
      <c r="BL576">
        <f t="shared" si="51"/>
        <v>0</v>
      </c>
      <c r="BM576">
        <f t="shared" si="52"/>
        <v>0</v>
      </c>
      <c r="BN576">
        <f t="shared" si="53"/>
        <v>0</v>
      </c>
      <c r="BO576">
        <f t="shared" si="54"/>
        <v>0</v>
      </c>
      <c r="BP576">
        <f t="shared" si="55"/>
        <v>0</v>
      </c>
      <c r="BQ576">
        <f t="shared" si="56"/>
        <v>0</v>
      </c>
      <c r="BR576">
        <f t="shared" si="57"/>
        <v>0</v>
      </c>
      <c r="BS576">
        <f t="shared" si="58"/>
        <v>0</v>
      </c>
      <c r="BT576">
        <f t="shared" si="59"/>
        <v>0</v>
      </c>
      <c r="BU576">
        <f t="shared" si="60"/>
        <v>0</v>
      </c>
      <c r="BV576">
        <f t="shared" si="61"/>
        <v>0</v>
      </c>
      <c r="BW576">
        <f t="shared" si="62"/>
        <v>0</v>
      </c>
      <c r="BX576">
        <f t="shared" si="63"/>
        <v>0</v>
      </c>
      <c r="BY576">
        <f t="shared" si="64"/>
        <v>0</v>
      </c>
      <c r="BZ576">
        <f t="shared" si="65"/>
        <v>0</v>
      </c>
      <c r="CA576" t="e">
        <f>IF(#REF!=BB576,0,1)</f>
        <v>#REF!</v>
      </c>
      <c r="CB576">
        <f t="shared" si="66"/>
        <v>1</v>
      </c>
      <c r="CC576" t="e">
        <f>IF(#REF!=BD576,0,1)</f>
        <v>#REF!</v>
      </c>
      <c r="CD576" t="e">
        <f>IF(#REF!=BE576,0,1)</f>
        <v>#REF!</v>
      </c>
      <c r="CE576" t="e">
        <f>IF(#REF!=BF576,0,1)</f>
        <v>#REF!</v>
      </c>
      <c r="CF576">
        <f t="shared" si="67"/>
        <v>1</v>
      </c>
      <c r="CG576">
        <f t="shared" si="68"/>
        <v>0</v>
      </c>
      <c r="CH576">
        <f t="shared" si="69"/>
        <v>0</v>
      </c>
      <c r="CI576">
        <f t="shared" si="70"/>
        <v>0</v>
      </c>
      <c r="CJ576">
        <f t="shared" si="71"/>
        <v>0</v>
      </c>
      <c r="CK576">
        <f t="shared" si="72"/>
        <v>0</v>
      </c>
      <c r="CL576">
        <f t="shared" si="73"/>
        <v>0</v>
      </c>
    </row>
    <row r="577" spans="9:90" x14ac:dyDescent="0.3">
      <c r="Q577" s="47">
        <f>RDS2CLD_2-(Hypo2CI_2*RDS2CLD_2)</f>
        <v>0.34246866666666664</v>
      </c>
      <c r="R577" s="47"/>
      <c r="T577" s="80"/>
      <c r="V577">
        <v>0</v>
      </c>
      <c r="Z577" s="42"/>
      <c r="AA577" s="6"/>
      <c r="AW577">
        <v>0.34246866666666664</v>
      </c>
      <c r="BF577">
        <f t="shared" si="45"/>
        <v>0</v>
      </c>
      <c r="BG577">
        <f t="shared" si="46"/>
        <v>0</v>
      </c>
      <c r="BH577">
        <f t="shared" si="47"/>
        <v>0</v>
      </c>
      <c r="BI577">
        <f t="shared" si="48"/>
        <v>0</v>
      </c>
      <c r="BJ577">
        <f t="shared" si="49"/>
        <v>0</v>
      </c>
      <c r="BK577">
        <f t="shared" si="50"/>
        <v>0</v>
      </c>
      <c r="BL577">
        <f t="shared" si="51"/>
        <v>0</v>
      </c>
      <c r="BM577">
        <f t="shared" si="52"/>
        <v>0</v>
      </c>
      <c r="BN577">
        <f t="shared" si="53"/>
        <v>0</v>
      </c>
      <c r="BO577">
        <f t="shared" si="54"/>
        <v>0</v>
      </c>
      <c r="BP577">
        <f t="shared" si="55"/>
        <v>0</v>
      </c>
      <c r="BQ577">
        <f t="shared" si="56"/>
        <v>0</v>
      </c>
      <c r="BR577">
        <f t="shared" si="57"/>
        <v>0</v>
      </c>
      <c r="BS577">
        <f t="shared" si="58"/>
        <v>0</v>
      </c>
      <c r="BT577">
        <f t="shared" si="59"/>
        <v>0</v>
      </c>
      <c r="BU577">
        <f t="shared" si="60"/>
        <v>0</v>
      </c>
      <c r="BV577">
        <f t="shared" si="61"/>
        <v>0</v>
      </c>
      <c r="BW577">
        <f t="shared" si="62"/>
        <v>0</v>
      </c>
      <c r="BX577">
        <f t="shared" si="63"/>
        <v>0</v>
      </c>
      <c r="BY577">
        <f t="shared" si="64"/>
        <v>0</v>
      </c>
      <c r="BZ577">
        <f t="shared" si="65"/>
        <v>0</v>
      </c>
      <c r="CA577" t="e">
        <f>IF(#REF!=BB577,0,1)</f>
        <v>#REF!</v>
      </c>
      <c r="CB577">
        <f t="shared" si="66"/>
        <v>0</v>
      </c>
      <c r="CC577" t="e">
        <f>IF(#REF!=BD577,0,1)</f>
        <v>#REF!</v>
      </c>
      <c r="CD577" t="e">
        <f>IF(#REF!=BE577,0,1)</f>
        <v>#REF!</v>
      </c>
      <c r="CE577" t="e">
        <f>IF(#REF!=BF577,0,1)</f>
        <v>#REF!</v>
      </c>
      <c r="CF577">
        <f t="shared" si="67"/>
        <v>0</v>
      </c>
      <c r="CG577">
        <f t="shared" si="68"/>
        <v>0</v>
      </c>
      <c r="CH577">
        <f t="shared" si="69"/>
        <v>0</v>
      </c>
      <c r="CI577">
        <f t="shared" si="70"/>
        <v>0</v>
      </c>
      <c r="CJ577">
        <f t="shared" si="71"/>
        <v>0</v>
      </c>
      <c r="CK577">
        <f t="shared" si="72"/>
        <v>0</v>
      </c>
      <c r="CL577">
        <f t="shared" si="73"/>
        <v>0</v>
      </c>
    </row>
    <row r="578" spans="9:90" x14ac:dyDescent="0.3">
      <c r="Q578" s="48">
        <f>c_lung+c_hosp_fu+c_CSG</f>
        <v>54529.510902399998</v>
      </c>
      <c r="R578" s="48"/>
      <c r="T578" s="80"/>
      <c r="Z578" s="42"/>
      <c r="AA578" s="6"/>
      <c r="AW578">
        <v>42323.200000000004</v>
      </c>
      <c r="BF578">
        <f t="shared" si="45"/>
        <v>0</v>
      </c>
      <c r="BG578">
        <f t="shared" si="46"/>
        <v>0</v>
      </c>
      <c r="BH578">
        <f t="shared" si="47"/>
        <v>0</v>
      </c>
      <c r="BI578">
        <f t="shared" si="48"/>
        <v>0</v>
      </c>
      <c r="BJ578">
        <f t="shared" si="49"/>
        <v>0</v>
      </c>
      <c r="BK578">
        <f t="shared" si="50"/>
        <v>0</v>
      </c>
      <c r="BL578">
        <f t="shared" si="51"/>
        <v>0</v>
      </c>
      <c r="BM578">
        <f t="shared" si="52"/>
        <v>0</v>
      </c>
      <c r="BN578">
        <f t="shared" si="53"/>
        <v>0</v>
      </c>
      <c r="BO578">
        <f t="shared" si="54"/>
        <v>0</v>
      </c>
      <c r="BP578">
        <f t="shared" si="55"/>
        <v>0</v>
      </c>
      <c r="BQ578">
        <f t="shared" si="56"/>
        <v>0</v>
      </c>
      <c r="BR578">
        <f t="shared" si="57"/>
        <v>0</v>
      </c>
      <c r="BS578">
        <f t="shared" si="58"/>
        <v>0</v>
      </c>
      <c r="BT578">
        <f t="shared" si="59"/>
        <v>0</v>
      </c>
      <c r="BU578">
        <f t="shared" si="60"/>
        <v>0</v>
      </c>
      <c r="BV578">
        <f t="shared" si="61"/>
        <v>1</v>
      </c>
      <c r="BW578">
        <f t="shared" si="62"/>
        <v>0</v>
      </c>
      <c r="BX578">
        <f t="shared" si="63"/>
        <v>0</v>
      </c>
      <c r="BY578">
        <f t="shared" si="64"/>
        <v>0</v>
      </c>
      <c r="BZ578">
        <f t="shared" si="65"/>
        <v>0</v>
      </c>
      <c r="CA578" t="e">
        <f>IF(#REF!=BB578,0,1)</f>
        <v>#REF!</v>
      </c>
      <c r="CB578">
        <f t="shared" si="66"/>
        <v>0</v>
      </c>
      <c r="CC578" t="e">
        <f>IF(#REF!=BD578,0,1)</f>
        <v>#REF!</v>
      </c>
      <c r="CD578" t="e">
        <f>IF(#REF!=BE578,0,1)</f>
        <v>#REF!</v>
      </c>
      <c r="CE578" t="e">
        <f>IF(#REF!=BF578,0,1)</f>
        <v>#REF!</v>
      </c>
      <c r="CF578">
        <f t="shared" si="67"/>
        <v>0</v>
      </c>
      <c r="CG578">
        <f t="shared" si="68"/>
        <v>0</v>
      </c>
      <c r="CH578">
        <f t="shared" si="69"/>
        <v>0</v>
      </c>
      <c r="CI578">
        <f t="shared" si="70"/>
        <v>0</v>
      </c>
      <c r="CJ578">
        <f t="shared" si="71"/>
        <v>0</v>
      </c>
      <c r="CK578">
        <f t="shared" si="72"/>
        <v>0</v>
      </c>
      <c r="CL578">
        <f t="shared" si="73"/>
        <v>0</v>
      </c>
    </row>
    <row r="579" spans="9:90" x14ac:dyDescent="0.3">
      <c r="Q579" s="19" t="s">
        <v>226</v>
      </c>
      <c r="R579" s="19"/>
      <c r="T579" s="80"/>
      <c r="U579">
        <f>$K$592*$I$581*$G$602*$E$531*$C$600*$A$555*$M$587*$O$582*Q580</f>
        <v>0</v>
      </c>
      <c r="W579" s="42">
        <f>$K$593+$I$582+$G$603+$E$532+$C$601+$A$556+$M$588+$O$583+Q581</f>
        <v>53430.972256313747</v>
      </c>
      <c r="X579">
        <f>u_CongnitiveImpairement</f>
        <v>17.270393127285455</v>
      </c>
      <c r="Z579" s="42">
        <f>U579*W579</f>
        <v>0</v>
      </c>
      <c r="AA579" s="6">
        <f>U579*X579</f>
        <v>0</v>
      </c>
      <c r="AW579" t="s">
        <v>226</v>
      </c>
      <c r="AZ579">
        <v>0</v>
      </c>
      <c r="BF579">
        <f t="shared" si="45"/>
        <v>0</v>
      </c>
      <c r="BG579">
        <f t="shared" si="46"/>
        <v>0</v>
      </c>
      <c r="BH579">
        <f t="shared" si="47"/>
        <v>0</v>
      </c>
      <c r="BI579">
        <f t="shared" si="48"/>
        <v>0</v>
      </c>
      <c r="BJ579">
        <f t="shared" si="49"/>
        <v>0</v>
      </c>
      <c r="BK579">
        <f t="shared" si="50"/>
        <v>0</v>
      </c>
      <c r="BL579">
        <f t="shared" si="51"/>
        <v>0</v>
      </c>
      <c r="BM579">
        <f t="shared" si="52"/>
        <v>0</v>
      </c>
      <c r="BN579">
        <f t="shared" si="53"/>
        <v>0</v>
      </c>
      <c r="BO579">
        <f t="shared" si="54"/>
        <v>0</v>
      </c>
      <c r="BP579">
        <f t="shared" si="55"/>
        <v>0</v>
      </c>
      <c r="BQ579">
        <f t="shared" si="56"/>
        <v>0</v>
      </c>
      <c r="BR579">
        <f t="shared" si="57"/>
        <v>0</v>
      </c>
      <c r="BS579">
        <f t="shared" si="58"/>
        <v>0</v>
      </c>
      <c r="BT579">
        <f t="shared" si="59"/>
        <v>0</v>
      </c>
      <c r="BU579">
        <f t="shared" si="60"/>
        <v>0</v>
      </c>
      <c r="BV579">
        <f t="shared" si="61"/>
        <v>0</v>
      </c>
      <c r="BW579">
        <f t="shared" si="62"/>
        <v>0</v>
      </c>
      <c r="BX579">
        <f t="shared" si="63"/>
        <v>0</v>
      </c>
      <c r="BY579">
        <f t="shared" si="64"/>
        <v>0</v>
      </c>
      <c r="BZ579">
        <f t="shared" si="65"/>
        <v>0</v>
      </c>
      <c r="CA579" t="e">
        <f>IF(#REF!=BB579,0,1)</f>
        <v>#REF!</v>
      </c>
      <c r="CB579">
        <f t="shared" si="66"/>
        <v>1</v>
      </c>
      <c r="CC579" t="e">
        <f>IF(#REF!=BD579,0,1)</f>
        <v>#REF!</v>
      </c>
      <c r="CD579" t="e">
        <f>IF(#REF!=BE579,0,1)</f>
        <v>#REF!</v>
      </c>
      <c r="CE579" t="e">
        <f>IF(#REF!=BF579,0,1)</f>
        <v>#REF!</v>
      </c>
      <c r="CF579">
        <f t="shared" si="67"/>
        <v>1</v>
      </c>
      <c r="CG579">
        <f t="shared" si="68"/>
        <v>0</v>
      </c>
      <c r="CH579">
        <f t="shared" si="69"/>
        <v>0</v>
      </c>
      <c r="CI579">
        <f t="shared" si="70"/>
        <v>0</v>
      </c>
      <c r="CJ579">
        <f t="shared" si="71"/>
        <v>0</v>
      </c>
      <c r="CK579">
        <f t="shared" si="72"/>
        <v>0</v>
      </c>
      <c r="CL579">
        <f t="shared" si="73"/>
        <v>0</v>
      </c>
    </row>
    <row r="580" spans="9:90" x14ac:dyDescent="0.3">
      <c r="I580" s="19" t="s">
        <v>164</v>
      </c>
      <c r="Q580" s="47">
        <f>Hypo2CI_2-(Hypo2CI_2*RDS2CLD_2)</f>
        <v>3.2801999999999998E-2</v>
      </c>
      <c r="R580" s="47"/>
      <c r="T580" s="80"/>
      <c r="V580">
        <v>0</v>
      </c>
      <c r="Z580" s="42"/>
      <c r="AA580" s="6"/>
      <c r="AO580" t="s">
        <v>164</v>
      </c>
      <c r="AW580">
        <v>3.2801999999999998E-2</v>
      </c>
      <c r="BF580">
        <f t="shared" si="45"/>
        <v>0</v>
      </c>
      <c r="BG580">
        <f t="shared" si="46"/>
        <v>0</v>
      </c>
      <c r="BH580">
        <f t="shared" si="47"/>
        <v>0</v>
      </c>
      <c r="BI580">
        <f t="shared" si="48"/>
        <v>0</v>
      </c>
      <c r="BJ580">
        <f t="shared" si="49"/>
        <v>0</v>
      </c>
      <c r="BK580">
        <f t="shared" si="50"/>
        <v>0</v>
      </c>
      <c r="BL580">
        <f t="shared" si="51"/>
        <v>0</v>
      </c>
      <c r="BM580">
        <f t="shared" si="52"/>
        <v>0</v>
      </c>
      <c r="BN580">
        <f t="shared" si="53"/>
        <v>0</v>
      </c>
      <c r="BO580">
        <f t="shared" si="54"/>
        <v>0</v>
      </c>
      <c r="BP580">
        <f t="shared" si="55"/>
        <v>0</v>
      </c>
      <c r="BQ580">
        <f t="shared" si="56"/>
        <v>0</v>
      </c>
      <c r="BR580">
        <f t="shared" si="57"/>
        <v>0</v>
      </c>
      <c r="BS580">
        <f t="shared" si="58"/>
        <v>0</v>
      </c>
      <c r="BT580">
        <f t="shared" si="59"/>
        <v>0</v>
      </c>
      <c r="BU580">
        <f t="shared" si="60"/>
        <v>0</v>
      </c>
      <c r="BV580">
        <f t="shared" si="61"/>
        <v>0</v>
      </c>
      <c r="BW580">
        <f t="shared" si="62"/>
        <v>0</v>
      </c>
      <c r="BX580">
        <f t="shared" si="63"/>
        <v>0</v>
      </c>
      <c r="BY580">
        <f t="shared" si="64"/>
        <v>0</v>
      </c>
      <c r="BZ580">
        <f t="shared" si="65"/>
        <v>0</v>
      </c>
      <c r="CA580" t="e">
        <f>IF(#REF!=BB580,0,1)</f>
        <v>#REF!</v>
      </c>
      <c r="CB580">
        <f t="shared" si="66"/>
        <v>0</v>
      </c>
      <c r="CC580" t="e">
        <f>IF(#REF!=BD580,0,1)</f>
        <v>#REF!</v>
      </c>
      <c r="CD580" t="e">
        <f>IF(#REF!=BE580,0,1)</f>
        <v>#REF!</v>
      </c>
      <c r="CE580" t="e">
        <f>IF(#REF!=BF580,0,1)</f>
        <v>#REF!</v>
      </c>
      <c r="CF580">
        <f t="shared" si="67"/>
        <v>0</v>
      </c>
      <c r="CG580">
        <f t="shared" si="68"/>
        <v>0</v>
      </c>
      <c r="CH580">
        <f t="shared" si="69"/>
        <v>0</v>
      </c>
      <c r="CI580">
        <f t="shared" si="70"/>
        <v>0</v>
      </c>
      <c r="CJ580">
        <f t="shared" si="71"/>
        <v>0</v>
      </c>
      <c r="CK580">
        <f t="shared" si="72"/>
        <v>0</v>
      </c>
      <c r="CL580">
        <f t="shared" si="73"/>
        <v>0</v>
      </c>
    </row>
    <row r="581" spans="9:90" x14ac:dyDescent="0.3">
      <c r="I581" s="47">
        <f>NBW_prem_2SGA_1</f>
        <v>0</v>
      </c>
      <c r="O581" s="19" t="s">
        <v>161</v>
      </c>
      <c r="Q581" s="48">
        <f>c_cog+c_hosp_fu+c_CSG</f>
        <v>15766</v>
      </c>
      <c r="R581" s="48"/>
      <c r="T581" s="80"/>
      <c r="Z581" s="42"/>
      <c r="AA581" s="6"/>
      <c r="AO581">
        <v>0</v>
      </c>
      <c r="AU581" t="s">
        <v>161</v>
      </c>
      <c r="AW581">
        <v>4840</v>
      </c>
      <c r="BF581">
        <f t="shared" si="45"/>
        <v>0</v>
      </c>
      <c r="BG581">
        <f t="shared" si="46"/>
        <v>0</v>
      </c>
      <c r="BH581">
        <f t="shared" si="47"/>
        <v>0</v>
      </c>
      <c r="BI581">
        <f t="shared" si="48"/>
        <v>0</v>
      </c>
      <c r="BJ581">
        <f t="shared" si="49"/>
        <v>0</v>
      </c>
      <c r="BK581">
        <f t="shared" si="50"/>
        <v>0</v>
      </c>
      <c r="BL581">
        <f t="shared" si="51"/>
        <v>0</v>
      </c>
      <c r="BM581">
        <f t="shared" si="52"/>
        <v>0</v>
      </c>
      <c r="BN581">
        <f t="shared" si="53"/>
        <v>0</v>
      </c>
      <c r="BO581">
        <f t="shared" si="54"/>
        <v>0</v>
      </c>
      <c r="BP581">
        <f t="shared" si="55"/>
        <v>0</v>
      </c>
      <c r="BQ581">
        <f t="shared" si="56"/>
        <v>0</v>
      </c>
      <c r="BR581">
        <f t="shared" si="57"/>
        <v>0</v>
      </c>
      <c r="BS581">
        <f t="shared" si="58"/>
        <v>0</v>
      </c>
      <c r="BT581">
        <f t="shared" si="59"/>
        <v>0</v>
      </c>
      <c r="BU581">
        <f t="shared" si="60"/>
        <v>0</v>
      </c>
      <c r="BV581">
        <f t="shared" si="61"/>
        <v>1</v>
      </c>
      <c r="BW581">
        <f t="shared" si="62"/>
        <v>0</v>
      </c>
      <c r="BX581">
        <f t="shared" si="63"/>
        <v>0</v>
      </c>
      <c r="BY581">
        <f t="shared" si="64"/>
        <v>0</v>
      </c>
      <c r="BZ581">
        <f t="shared" si="65"/>
        <v>0</v>
      </c>
      <c r="CA581" t="e">
        <f>IF(#REF!=BB581,0,1)</f>
        <v>#REF!</v>
      </c>
      <c r="CB581">
        <f t="shared" si="66"/>
        <v>0</v>
      </c>
      <c r="CC581" t="e">
        <f>IF(#REF!=BD581,0,1)</f>
        <v>#REF!</v>
      </c>
      <c r="CD581" t="e">
        <f>IF(#REF!=BE581,0,1)</f>
        <v>#REF!</v>
      </c>
      <c r="CE581" t="e">
        <f>IF(#REF!=BF581,0,1)</f>
        <v>#REF!</v>
      </c>
      <c r="CF581">
        <f t="shared" si="67"/>
        <v>0</v>
      </c>
      <c r="CG581">
        <f t="shared" si="68"/>
        <v>0</v>
      </c>
      <c r="CH581">
        <f t="shared" si="69"/>
        <v>0</v>
      </c>
      <c r="CI581">
        <f t="shared" si="70"/>
        <v>0</v>
      </c>
      <c r="CJ581">
        <f t="shared" si="71"/>
        <v>0</v>
      </c>
      <c r="CK581">
        <f t="shared" si="72"/>
        <v>0</v>
      </c>
      <c r="CL581">
        <f t="shared" si="73"/>
        <v>0</v>
      </c>
    </row>
    <row r="582" spans="9:90" x14ac:dyDescent="0.3">
      <c r="I582" s="48"/>
      <c r="O582" s="47">
        <f>SGA_prem_2hypoglycaemia_1</f>
        <v>0.2155</v>
      </c>
      <c r="Q582" s="19" t="s">
        <v>369</v>
      </c>
      <c r="R582" s="19"/>
      <c r="T582" s="80"/>
      <c r="U582">
        <f>$K$592*$I$581*$G$602*$E$531*$C$600*$A$555*$M$587*$O$582*Q583</f>
        <v>0</v>
      </c>
      <c r="W582" s="42">
        <f>$K$593+$I$582+$G$603+$E$532+$C$601+$A$556+$M$588+$O$583+Q584</f>
        <v>96013.483158713745</v>
      </c>
      <c r="X582">
        <f>u_ChronicResp+u_CongnitiveImpairement</f>
        <v>17.805052694763283</v>
      </c>
      <c r="Z582" s="42">
        <f>U582*W582</f>
        <v>0</v>
      </c>
      <c r="AA582" s="6">
        <f>U582*X582</f>
        <v>0</v>
      </c>
      <c r="AU582">
        <v>0.2155</v>
      </c>
      <c r="AW582" t="s">
        <v>369</v>
      </c>
      <c r="AZ582">
        <v>0</v>
      </c>
      <c r="BF582">
        <f t="shared" si="45"/>
        <v>0</v>
      </c>
      <c r="BG582">
        <f t="shared" si="46"/>
        <v>0</v>
      </c>
      <c r="BH582">
        <f t="shared" si="47"/>
        <v>0</v>
      </c>
      <c r="BI582">
        <f t="shared" si="48"/>
        <v>0</v>
      </c>
      <c r="BJ582">
        <f t="shared" si="49"/>
        <v>0</v>
      </c>
      <c r="BK582">
        <f t="shared" si="50"/>
        <v>0</v>
      </c>
      <c r="BL582">
        <f t="shared" si="51"/>
        <v>0</v>
      </c>
      <c r="BM582">
        <f t="shared" si="52"/>
        <v>0</v>
      </c>
      <c r="BN582">
        <f t="shared" si="53"/>
        <v>0</v>
      </c>
      <c r="BO582">
        <f t="shared" si="54"/>
        <v>0</v>
      </c>
      <c r="BP582">
        <f t="shared" si="55"/>
        <v>0</v>
      </c>
      <c r="BQ582">
        <f t="shared" si="56"/>
        <v>0</v>
      </c>
      <c r="BR582">
        <f t="shared" si="57"/>
        <v>0</v>
      </c>
      <c r="BS582">
        <f t="shared" si="58"/>
        <v>0</v>
      </c>
      <c r="BT582">
        <f t="shared" si="59"/>
        <v>0</v>
      </c>
      <c r="BU582">
        <f t="shared" si="60"/>
        <v>0</v>
      </c>
      <c r="BV582">
        <f t="shared" si="61"/>
        <v>0</v>
      </c>
      <c r="BW582">
        <f t="shared" si="62"/>
        <v>0</v>
      </c>
      <c r="BX582">
        <f t="shared" si="63"/>
        <v>0</v>
      </c>
      <c r="BY582">
        <f t="shared" si="64"/>
        <v>0</v>
      </c>
      <c r="BZ582">
        <f t="shared" si="65"/>
        <v>0</v>
      </c>
      <c r="CA582" t="e">
        <f>IF(#REF!=BB582,0,1)</f>
        <v>#REF!</v>
      </c>
      <c r="CB582">
        <f t="shared" si="66"/>
        <v>1</v>
      </c>
      <c r="CC582" t="e">
        <f>IF(#REF!=BD582,0,1)</f>
        <v>#REF!</v>
      </c>
      <c r="CD582" t="e">
        <f>IF(#REF!=BE582,0,1)</f>
        <v>#REF!</v>
      </c>
      <c r="CE582" t="e">
        <f>IF(#REF!=BF582,0,1)</f>
        <v>#REF!</v>
      </c>
      <c r="CF582">
        <f t="shared" si="67"/>
        <v>1</v>
      </c>
      <c r="CG582">
        <f t="shared" si="68"/>
        <v>0</v>
      </c>
      <c r="CH582">
        <f t="shared" si="69"/>
        <v>0</v>
      </c>
      <c r="CI582">
        <f t="shared" si="70"/>
        <v>0</v>
      </c>
      <c r="CJ582">
        <f t="shared" si="71"/>
        <v>0</v>
      </c>
      <c r="CK582">
        <f t="shared" si="72"/>
        <v>0</v>
      </c>
      <c r="CL582">
        <f t="shared" si="73"/>
        <v>0</v>
      </c>
    </row>
    <row r="583" spans="9:90" x14ac:dyDescent="0.3">
      <c r="O583" s="48">
        <f>c_hypo</f>
        <v>2936.2604000000001</v>
      </c>
      <c r="Q583" s="47">
        <f>Hypo2CI_2*RDS2CLD_2</f>
        <v>1.8531333333333334E-2</v>
      </c>
      <c r="R583" s="47"/>
      <c r="T583" s="80"/>
      <c r="V583">
        <v>0</v>
      </c>
      <c r="Z583" s="42"/>
      <c r="AA583" s="6"/>
      <c r="AU583">
        <v>2728.1</v>
      </c>
      <c r="AW583">
        <v>1.8531333333333334E-2</v>
      </c>
      <c r="BF583">
        <f t="shared" si="45"/>
        <v>0</v>
      </c>
      <c r="BG583">
        <f t="shared" si="46"/>
        <v>0</v>
      </c>
      <c r="BH583">
        <f t="shared" si="47"/>
        <v>0</v>
      </c>
      <c r="BI583">
        <f t="shared" si="48"/>
        <v>0</v>
      </c>
      <c r="BJ583">
        <f t="shared" si="49"/>
        <v>0</v>
      </c>
      <c r="BK583">
        <f t="shared" si="50"/>
        <v>0</v>
      </c>
      <c r="BL583">
        <f t="shared" si="51"/>
        <v>0</v>
      </c>
      <c r="BM583">
        <f t="shared" si="52"/>
        <v>0</v>
      </c>
      <c r="BN583">
        <f t="shared" si="53"/>
        <v>0</v>
      </c>
      <c r="BO583">
        <f t="shared" si="54"/>
        <v>0</v>
      </c>
      <c r="BP583">
        <f t="shared" si="55"/>
        <v>0</v>
      </c>
      <c r="BQ583">
        <f t="shared" si="56"/>
        <v>0</v>
      </c>
      <c r="BR583">
        <f t="shared" si="57"/>
        <v>0</v>
      </c>
      <c r="BS583">
        <f t="shared" si="58"/>
        <v>0</v>
      </c>
      <c r="BT583">
        <f t="shared" si="59"/>
        <v>1</v>
      </c>
      <c r="BU583">
        <f t="shared" si="60"/>
        <v>0</v>
      </c>
      <c r="BV583">
        <f t="shared" si="61"/>
        <v>0</v>
      </c>
      <c r="BW583">
        <f t="shared" si="62"/>
        <v>0</v>
      </c>
      <c r="BX583">
        <f t="shared" si="63"/>
        <v>0</v>
      </c>
      <c r="BY583">
        <f t="shared" si="64"/>
        <v>0</v>
      </c>
      <c r="BZ583">
        <f t="shared" si="65"/>
        <v>0</v>
      </c>
      <c r="CA583" t="e">
        <f>IF(#REF!=BB583,0,1)</f>
        <v>#REF!</v>
      </c>
      <c r="CB583">
        <f t="shared" si="66"/>
        <v>0</v>
      </c>
      <c r="CC583" t="e">
        <f>IF(#REF!=BD583,0,1)</f>
        <v>#REF!</v>
      </c>
      <c r="CD583" t="e">
        <f>IF(#REF!=BE583,0,1)</f>
        <v>#REF!</v>
      </c>
      <c r="CE583" t="e">
        <f>IF(#REF!=BF583,0,1)</f>
        <v>#REF!</v>
      </c>
      <c r="CF583">
        <f t="shared" si="67"/>
        <v>0</v>
      </c>
      <c r="CG583">
        <f t="shared" si="68"/>
        <v>0</v>
      </c>
      <c r="CH583">
        <f t="shared" si="69"/>
        <v>0</v>
      </c>
      <c r="CI583">
        <f t="shared" si="70"/>
        <v>0</v>
      </c>
      <c r="CJ583">
        <f t="shared" si="71"/>
        <v>0</v>
      </c>
      <c r="CK583">
        <f t="shared" si="72"/>
        <v>0</v>
      </c>
      <c r="CL583">
        <f t="shared" si="73"/>
        <v>0</v>
      </c>
    </row>
    <row r="584" spans="9:90" x14ac:dyDescent="0.3">
      <c r="M584" s="42"/>
      <c r="Q584" s="48">
        <f>c_lung+c_cog+c_hosp_fu+c_CSG</f>
        <v>58348.510902399998</v>
      </c>
      <c r="R584" s="48"/>
      <c r="T584" s="80"/>
      <c r="Z584" s="42"/>
      <c r="AA584" s="6"/>
      <c r="AW584">
        <v>45990.200000000004</v>
      </c>
      <c r="BF584">
        <f t="shared" si="45"/>
        <v>0</v>
      </c>
      <c r="BG584">
        <f t="shared" si="46"/>
        <v>0</v>
      </c>
      <c r="BH584">
        <f t="shared" si="47"/>
        <v>0</v>
      </c>
      <c r="BI584">
        <f t="shared" si="48"/>
        <v>0</v>
      </c>
      <c r="BJ584">
        <f t="shared" si="49"/>
        <v>0</v>
      </c>
      <c r="BK584">
        <f t="shared" si="50"/>
        <v>0</v>
      </c>
      <c r="BL584">
        <f t="shared" si="51"/>
        <v>0</v>
      </c>
      <c r="BM584">
        <f t="shared" si="52"/>
        <v>0</v>
      </c>
      <c r="BN584">
        <f t="shared" si="53"/>
        <v>0</v>
      </c>
      <c r="BO584">
        <f t="shared" si="54"/>
        <v>0</v>
      </c>
      <c r="BP584">
        <f t="shared" si="55"/>
        <v>0</v>
      </c>
      <c r="BQ584">
        <f t="shared" si="56"/>
        <v>0</v>
      </c>
      <c r="BR584">
        <f t="shared" si="57"/>
        <v>0</v>
      </c>
      <c r="BS584">
        <f t="shared" si="58"/>
        <v>0</v>
      </c>
      <c r="BT584">
        <f t="shared" si="59"/>
        <v>0</v>
      </c>
      <c r="BU584">
        <f t="shared" si="60"/>
        <v>0</v>
      </c>
      <c r="BV584">
        <f t="shared" si="61"/>
        <v>1</v>
      </c>
      <c r="BW584">
        <f t="shared" si="62"/>
        <v>0</v>
      </c>
      <c r="BX584">
        <f t="shared" si="63"/>
        <v>0</v>
      </c>
      <c r="BY584">
        <f t="shared" si="64"/>
        <v>0</v>
      </c>
      <c r="BZ584">
        <f t="shared" si="65"/>
        <v>0</v>
      </c>
      <c r="CA584" t="e">
        <f>IF(#REF!=BB584,0,1)</f>
        <v>#REF!</v>
      </c>
      <c r="CB584">
        <f t="shared" si="66"/>
        <v>0</v>
      </c>
      <c r="CC584" t="e">
        <f>IF(#REF!=BD584,0,1)</f>
        <v>#REF!</v>
      </c>
      <c r="CD584" t="e">
        <f>IF(#REF!=BE584,0,1)</f>
        <v>#REF!</v>
      </c>
      <c r="CE584" t="e">
        <f>IF(#REF!=BF584,0,1)</f>
        <v>#REF!</v>
      </c>
      <c r="CF584">
        <f t="shared" si="67"/>
        <v>0</v>
      </c>
      <c r="CG584">
        <f t="shared" si="68"/>
        <v>0</v>
      </c>
      <c r="CH584">
        <f t="shared" si="69"/>
        <v>0</v>
      </c>
      <c r="CI584">
        <f t="shared" si="70"/>
        <v>0</v>
      </c>
      <c r="CJ584">
        <f t="shared" si="71"/>
        <v>0</v>
      </c>
      <c r="CK584">
        <f t="shared" si="72"/>
        <v>0</v>
      </c>
      <c r="CL584">
        <f t="shared" si="73"/>
        <v>0</v>
      </c>
    </row>
    <row r="585" spans="9:90" x14ac:dyDescent="0.3">
      <c r="Q585" s="19" t="s">
        <v>370</v>
      </c>
      <c r="R585" s="19"/>
      <c r="T585" s="80"/>
      <c r="U585">
        <f>$K$592*$I$581*$G$602*$E$531*$C$600*$A$555*$M$587*$O$582*Q586</f>
        <v>0</v>
      </c>
      <c r="W585" s="42">
        <f>$K$593+$I$582+$G$603+$E$532+$C$601+$A$556+$M$588+$O$583+Q587</f>
        <v>52067.972256313747</v>
      </c>
      <c r="X585">
        <f>u_Healthy</f>
        <v>0</v>
      </c>
      <c r="Z585" s="42">
        <f>U585*W585</f>
        <v>0</v>
      </c>
      <c r="AA585" s="6">
        <f>U585*X585</f>
        <v>0</v>
      </c>
      <c r="AW585" t="s">
        <v>370</v>
      </c>
      <c r="AZ585">
        <v>0</v>
      </c>
      <c r="BF585">
        <f t="shared" si="45"/>
        <v>0</v>
      </c>
      <c r="BG585">
        <f t="shared" si="46"/>
        <v>0</v>
      </c>
      <c r="BH585">
        <f t="shared" si="47"/>
        <v>0</v>
      </c>
      <c r="BI585">
        <f t="shared" si="48"/>
        <v>0</v>
      </c>
      <c r="BJ585">
        <f t="shared" si="49"/>
        <v>0</v>
      </c>
      <c r="BK585">
        <f t="shared" si="50"/>
        <v>0</v>
      </c>
      <c r="BL585">
        <f t="shared" si="51"/>
        <v>0</v>
      </c>
      <c r="BM585">
        <f t="shared" si="52"/>
        <v>0</v>
      </c>
      <c r="BN585">
        <f t="shared" si="53"/>
        <v>0</v>
      </c>
      <c r="BO585">
        <f t="shared" si="54"/>
        <v>0</v>
      </c>
      <c r="BP585">
        <f t="shared" si="55"/>
        <v>0</v>
      </c>
      <c r="BQ585">
        <f t="shared" si="56"/>
        <v>0</v>
      </c>
      <c r="BR585">
        <f t="shared" si="57"/>
        <v>0</v>
      </c>
      <c r="BS585">
        <f t="shared" si="58"/>
        <v>0</v>
      </c>
      <c r="BT585">
        <f t="shared" si="59"/>
        <v>0</v>
      </c>
      <c r="BU585">
        <f t="shared" si="60"/>
        <v>0</v>
      </c>
      <c r="BV585">
        <f t="shared" si="61"/>
        <v>0</v>
      </c>
      <c r="BW585">
        <f t="shared" si="62"/>
        <v>0</v>
      </c>
      <c r="BX585">
        <f t="shared" si="63"/>
        <v>0</v>
      </c>
      <c r="BY585">
        <f t="shared" si="64"/>
        <v>0</v>
      </c>
      <c r="BZ585">
        <f t="shared" si="65"/>
        <v>0</v>
      </c>
      <c r="CA585" t="e">
        <f>IF(#REF!=BB585,0,1)</f>
        <v>#REF!</v>
      </c>
      <c r="CB585">
        <f t="shared" si="66"/>
        <v>1</v>
      </c>
      <c r="CC585" t="e">
        <f>IF(#REF!=BD585,0,1)</f>
        <v>#REF!</v>
      </c>
      <c r="CD585" t="e">
        <f>IF(#REF!=BE585,0,1)</f>
        <v>#REF!</v>
      </c>
      <c r="CE585" t="e">
        <f>IF(#REF!=BF585,0,1)</f>
        <v>#REF!</v>
      </c>
      <c r="CF585">
        <f t="shared" si="67"/>
        <v>0</v>
      </c>
      <c r="CG585">
        <f t="shared" si="68"/>
        <v>0</v>
      </c>
      <c r="CH585">
        <f t="shared" si="69"/>
        <v>0</v>
      </c>
      <c r="CI585">
        <f t="shared" si="70"/>
        <v>0</v>
      </c>
      <c r="CJ585">
        <f t="shared" si="71"/>
        <v>0</v>
      </c>
      <c r="CK585">
        <f t="shared" si="72"/>
        <v>0</v>
      </c>
      <c r="CL585">
        <f t="shared" si="73"/>
        <v>0</v>
      </c>
    </row>
    <row r="586" spans="9:90" x14ac:dyDescent="0.3">
      <c r="M586" s="19" t="s">
        <v>9</v>
      </c>
      <c r="Q586" s="47">
        <f>1-Q577-Q580-Q583</f>
        <v>0.60619800000000001</v>
      </c>
      <c r="R586" s="47"/>
      <c r="T586" s="80"/>
      <c r="V586">
        <v>0</v>
      </c>
      <c r="Z586" s="42"/>
      <c r="AA586" s="6"/>
      <c r="AS586" t="s">
        <v>9</v>
      </c>
      <c r="AW586">
        <v>0.60619800000000001</v>
      </c>
      <c r="BF586">
        <f t="shared" si="45"/>
        <v>0</v>
      </c>
      <c r="BG586">
        <f t="shared" si="46"/>
        <v>0</v>
      </c>
      <c r="BH586">
        <f t="shared" si="47"/>
        <v>0</v>
      </c>
      <c r="BI586">
        <f t="shared" si="48"/>
        <v>0</v>
      </c>
      <c r="BJ586">
        <f t="shared" si="49"/>
        <v>0</v>
      </c>
      <c r="BK586">
        <f t="shared" si="50"/>
        <v>0</v>
      </c>
      <c r="BL586">
        <f t="shared" si="51"/>
        <v>0</v>
      </c>
      <c r="BM586">
        <f t="shared" si="52"/>
        <v>0</v>
      </c>
      <c r="BN586">
        <f t="shared" si="53"/>
        <v>0</v>
      </c>
      <c r="BO586">
        <f t="shared" si="54"/>
        <v>0</v>
      </c>
      <c r="BP586">
        <f t="shared" si="55"/>
        <v>0</v>
      </c>
      <c r="BQ586">
        <f t="shared" si="56"/>
        <v>0</v>
      </c>
      <c r="BR586">
        <f t="shared" si="57"/>
        <v>0</v>
      </c>
      <c r="BS586">
        <f t="shared" si="58"/>
        <v>0</v>
      </c>
      <c r="BT586">
        <f t="shared" si="59"/>
        <v>0</v>
      </c>
      <c r="BU586">
        <f t="shared" si="60"/>
        <v>0</v>
      </c>
      <c r="BV586">
        <f t="shared" si="61"/>
        <v>0</v>
      </c>
      <c r="BW586">
        <f t="shared" si="62"/>
        <v>0</v>
      </c>
      <c r="BX586">
        <f t="shared" si="63"/>
        <v>0</v>
      </c>
      <c r="BY586">
        <f t="shared" si="64"/>
        <v>0</v>
      </c>
      <c r="BZ586">
        <f t="shared" si="65"/>
        <v>0</v>
      </c>
      <c r="CA586" t="e">
        <f>IF(#REF!=BB586,0,1)</f>
        <v>#REF!</v>
      </c>
      <c r="CB586">
        <f t="shared" si="66"/>
        <v>0</v>
      </c>
      <c r="CC586" t="e">
        <f>IF(#REF!=BD586,0,1)</f>
        <v>#REF!</v>
      </c>
      <c r="CD586" t="e">
        <f>IF(#REF!=BE586,0,1)</f>
        <v>#REF!</v>
      </c>
      <c r="CE586" t="e">
        <f>IF(#REF!=BF586,0,1)</f>
        <v>#REF!</v>
      </c>
      <c r="CF586">
        <f t="shared" si="67"/>
        <v>0</v>
      </c>
      <c r="CG586">
        <f t="shared" si="68"/>
        <v>0</v>
      </c>
      <c r="CH586">
        <f t="shared" si="69"/>
        <v>0</v>
      </c>
      <c r="CI586">
        <f t="shared" si="70"/>
        <v>0</v>
      </c>
      <c r="CJ586">
        <f t="shared" si="71"/>
        <v>0</v>
      </c>
      <c r="CK586">
        <f t="shared" si="72"/>
        <v>0</v>
      </c>
      <c r="CL586">
        <f t="shared" si="73"/>
        <v>0</v>
      </c>
    </row>
    <row r="587" spans="9:90" x14ac:dyDescent="0.3">
      <c r="K587" s="42"/>
      <c r="M587" s="47">
        <f>S_prem_2RDS_1</f>
        <v>0.45</v>
      </c>
      <c r="Q587" s="48">
        <f>c_clinic_fu+c_CSG</f>
        <v>14403</v>
      </c>
      <c r="R587" s="48"/>
      <c r="T587" s="80"/>
      <c r="Z587" s="42"/>
      <c r="AA587" s="6"/>
      <c r="AS587">
        <v>0.45</v>
      </c>
      <c r="AW587">
        <v>3230</v>
      </c>
      <c r="BF587">
        <f t="shared" si="45"/>
        <v>0</v>
      </c>
      <c r="BG587">
        <f t="shared" si="46"/>
        <v>0</v>
      </c>
      <c r="BH587">
        <f t="shared" si="47"/>
        <v>0</v>
      </c>
      <c r="BI587">
        <f t="shared" si="48"/>
        <v>0</v>
      </c>
      <c r="BJ587">
        <f t="shared" si="49"/>
        <v>0</v>
      </c>
      <c r="BK587">
        <f t="shared" si="50"/>
        <v>0</v>
      </c>
      <c r="BL587">
        <f t="shared" si="51"/>
        <v>0</v>
      </c>
      <c r="BM587">
        <f t="shared" si="52"/>
        <v>0</v>
      </c>
      <c r="BN587">
        <f t="shared" si="53"/>
        <v>0</v>
      </c>
      <c r="BO587">
        <f t="shared" si="54"/>
        <v>0</v>
      </c>
      <c r="BP587">
        <f t="shared" si="55"/>
        <v>0</v>
      </c>
      <c r="BQ587">
        <f t="shared" si="56"/>
        <v>0</v>
      </c>
      <c r="BR587">
        <f t="shared" si="57"/>
        <v>0</v>
      </c>
      <c r="BS587">
        <f t="shared" si="58"/>
        <v>0</v>
      </c>
      <c r="BT587">
        <f t="shared" si="59"/>
        <v>0</v>
      </c>
      <c r="BU587">
        <f t="shared" si="60"/>
        <v>0</v>
      </c>
      <c r="BV587">
        <f t="shared" si="61"/>
        <v>1</v>
      </c>
      <c r="BW587">
        <f t="shared" si="62"/>
        <v>0</v>
      </c>
      <c r="BX587">
        <f t="shared" si="63"/>
        <v>0</v>
      </c>
      <c r="BY587">
        <f t="shared" si="64"/>
        <v>0</v>
      </c>
      <c r="BZ587">
        <f t="shared" si="65"/>
        <v>0</v>
      </c>
      <c r="CA587" t="e">
        <f>IF(#REF!=BB587,0,1)</f>
        <v>#REF!</v>
      </c>
      <c r="CB587">
        <f t="shared" si="66"/>
        <v>0</v>
      </c>
      <c r="CC587" t="e">
        <f>IF(#REF!=BD587,0,1)</f>
        <v>#REF!</v>
      </c>
      <c r="CD587" t="e">
        <f>IF(#REF!=BE587,0,1)</f>
        <v>#REF!</v>
      </c>
      <c r="CE587" t="e">
        <f>IF(#REF!=BF587,0,1)</f>
        <v>#REF!</v>
      </c>
      <c r="CF587">
        <f t="shared" si="67"/>
        <v>0</v>
      </c>
      <c r="CG587">
        <f t="shared" si="68"/>
        <v>0</v>
      </c>
      <c r="CH587">
        <f t="shared" si="69"/>
        <v>0</v>
      </c>
      <c r="CI587">
        <f t="shared" si="70"/>
        <v>0</v>
      </c>
      <c r="CJ587">
        <f t="shared" si="71"/>
        <v>0</v>
      </c>
      <c r="CK587">
        <f t="shared" si="72"/>
        <v>0</v>
      </c>
      <c r="CL587">
        <f t="shared" si="73"/>
        <v>0</v>
      </c>
    </row>
    <row r="588" spans="9:90" x14ac:dyDescent="0.3">
      <c r="K588" s="42"/>
      <c r="M588" s="48">
        <f>c_RDS</f>
        <v>30595.610148205637</v>
      </c>
      <c r="Q588" s="42"/>
      <c r="R588" s="42"/>
      <c r="T588" s="80"/>
      <c r="Z588" s="42"/>
      <c r="AA588" s="6"/>
      <c r="AS588">
        <v>23624</v>
      </c>
      <c r="BF588">
        <f t="shared" si="45"/>
        <v>0</v>
      </c>
      <c r="BG588">
        <f t="shared" si="46"/>
        <v>0</v>
      </c>
      <c r="BH588">
        <f t="shared" si="47"/>
        <v>0</v>
      </c>
      <c r="BI588">
        <f t="shared" si="48"/>
        <v>0</v>
      </c>
      <c r="BJ588">
        <f t="shared" si="49"/>
        <v>0</v>
      </c>
      <c r="BK588">
        <f t="shared" si="50"/>
        <v>0</v>
      </c>
      <c r="BL588">
        <f t="shared" si="51"/>
        <v>0</v>
      </c>
      <c r="BM588">
        <f t="shared" si="52"/>
        <v>0</v>
      </c>
      <c r="BN588">
        <f t="shared" si="53"/>
        <v>0</v>
      </c>
      <c r="BO588">
        <f t="shared" si="54"/>
        <v>0</v>
      </c>
      <c r="BP588">
        <f t="shared" si="55"/>
        <v>0</v>
      </c>
      <c r="BQ588">
        <f t="shared" si="56"/>
        <v>0</v>
      </c>
      <c r="BR588">
        <f t="shared" si="57"/>
        <v>1</v>
      </c>
      <c r="BS588">
        <f t="shared" si="58"/>
        <v>0</v>
      </c>
      <c r="BT588">
        <f t="shared" si="59"/>
        <v>0</v>
      </c>
      <c r="BU588">
        <f t="shared" si="60"/>
        <v>0</v>
      </c>
      <c r="BV588">
        <f t="shared" si="61"/>
        <v>0</v>
      </c>
      <c r="BW588">
        <f t="shared" si="62"/>
        <v>0</v>
      </c>
      <c r="BX588">
        <f t="shared" si="63"/>
        <v>0</v>
      </c>
      <c r="BY588">
        <f t="shared" si="64"/>
        <v>0</v>
      </c>
      <c r="BZ588">
        <f t="shared" si="65"/>
        <v>0</v>
      </c>
      <c r="CA588" t="e">
        <f>IF(#REF!=BB588,0,1)</f>
        <v>#REF!</v>
      </c>
      <c r="CB588">
        <f t="shared" si="66"/>
        <v>0</v>
      </c>
      <c r="CC588" t="e">
        <f>IF(#REF!=BD588,0,1)</f>
        <v>#REF!</v>
      </c>
      <c r="CD588" t="e">
        <f>IF(#REF!=BE588,0,1)</f>
        <v>#REF!</v>
      </c>
      <c r="CE588" t="e">
        <f>IF(#REF!=BF588,0,1)</f>
        <v>#REF!</v>
      </c>
      <c r="CF588">
        <f t="shared" si="67"/>
        <v>0</v>
      </c>
      <c r="CG588">
        <f t="shared" si="68"/>
        <v>0</v>
      </c>
      <c r="CH588">
        <f t="shared" si="69"/>
        <v>0</v>
      </c>
      <c r="CI588">
        <f t="shared" si="70"/>
        <v>0</v>
      </c>
      <c r="CJ588">
        <f t="shared" si="71"/>
        <v>0</v>
      </c>
      <c r="CK588">
        <f t="shared" si="72"/>
        <v>0</v>
      </c>
      <c r="CL588">
        <f t="shared" si="73"/>
        <v>0</v>
      </c>
    </row>
    <row r="589" spans="9:90" x14ac:dyDescent="0.3">
      <c r="Q589" s="19" t="s">
        <v>368</v>
      </c>
      <c r="R589" s="19"/>
      <c r="T589" s="80"/>
      <c r="U589">
        <f>$K$592*$I$581*$G$602*$E$531*$C$600*$A$555*$M$587*$O$592*Q590</f>
        <v>0</v>
      </c>
      <c r="W589" s="42">
        <f>$K$593+$I$582+$G$603+$E$532+$C$601+$A$556+$M$588+$O$593+Q591</f>
        <v>89258.222758713746</v>
      </c>
      <c r="X589">
        <f>u_ChronicResp</f>
        <v>0.53465956747782661</v>
      </c>
      <c r="Z589" s="42">
        <f>U589*W589</f>
        <v>0</v>
      </c>
      <c r="AA589" s="6">
        <f>U589*X589</f>
        <v>0</v>
      </c>
      <c r="AW589" t="s">
        <v>368</v>
      </c>
      <c r="AZ589">
        <v>0</v>
      </c>
      <c r="BF589">
        <f t="shared" si="45"/>
        <v>0</v>
      </c>
      <c r="BG589">
        <f t="shared" si="46"/>
        <v>0</v>
      </c>
      <c r="BH589">
        <f t="shared" si="47"/>
        <v>0</v>
      </c>
      <c r="BI589">
        <f t="shared" si="48"/>
        <v>0</v>
      </c>
      <c r="BJ589">
        <f t="shared" si="49"/>
        <v>0</v>
      </c>
      <c r="BK589">
        <f t="shared" si="50"/>
        <v>0</v>
      </c>
      <c r="BL589">
        <f t="shared" si="51"/>
        <v>0</v>
      </c>
      <c r="BM589">
        <f t="shared" si="52"/>
        <v>0</v>
      </c>
      <c r="BN589">
        <f t="shared" si="53"/>
        <v>0</v>
      </c>
      <c r="BO589">
        <f t="shared" si="54"/>
        <v>0</v>
      </c>
      <c r="BP589">
        <f t="shared" si="55"/>
        <v>0</v>
      </c>
      <c r="BQ589">
        <f t="shared" si="56"/>
        <v>0</v>
      </c>
      <c r="BR589">
        <f t="shared" si="57"/>
        <v>0</v>
      </c>
      <c r="BS589">
        <f t="shared" si="58"/>
        <v>0</v>
      </c>
      <c r="BT589">
        <f t="shared" si="59"/>
        <v>0</v>
      </c>
      <c r="BU589">
        <f t="shared" si="60"/>
        <v>0</v>
      </c>
      <c r="BV589">
        <f t="shared" si="61"/>
        <v>0</v>
      </c>
      <c r="BW589">
        <f t="shared" si="62"/>
        <v>0</v>
      </c>
      <c r="BX589">
        <f t="shared" si="63"/>
        <v>0</v>
      </c>
      <c r="BY589">
        <f t="shared" si="64"/>
        <v>0</v>
      </c>
      <c r="BZ589">
        <f t="shared" si="65"/>
        <v>0</v>
      </c>
      <c r="CA589" t="e">
        <f>IF(#REF!=BB589,0,1)</f>
        <v>#REF!</v>
      </c>
      <c r="CB589">
        <f t="shared" si="66"/>
        <v>1</v>
      </c>
      <c r="CC589" t="e">
        <f>IF(#REF!=BD589,0,1)</f>
        <v>#REF!</v>
      </c>
      <c r="CD589" t="e">
        <f>IF(#REF!=BE589,0,1)</f>
        <v>#REF!</v>
      </c>
      <c r="CE589" t="e">
        <f>IF(#REF!=BF589,0,1)</f>
        <v>#REF!</v>
      </c>
      <c r="CF589">
        <f t="shared" si="67"/>
        <v>1</v>
      </c>
      <c r="CG589">
        <f t="shared" si="68"/>
        <v>0</v>
      </c>
      <c r="CH589">
        <f t="shared" si="69"/>
        <v>0</v>
      </c>
      <c r="CI589">
        <f t="shared" si="70"/>
        <v>0</v>
      </c>
      <c r="CJ589">
        <f t="shared" si="71"/>
        <v>0</v>
      </c>
      <c r="CK589">
        <f t="shared" si="72"/>
        <v>0</v>
      </c>
      <c r="CL589">
        <f t="shared" si="73"/>
        <v>0</v>
      </c>
    </row>
    <row r="590" spans="9:90" x14ac:dyDescent="0.3">
      <c r="Q590" s="47">
        <f>RDS2CLD_2-(RDS2CLD_2*noHypo2CI_2)</f>
        <v>0.34905610687022898</v>
      </c>
      <c r="R590" s="47"/>
      <c r="T590" s="80"/>
      <c r="V590">
        <v>0</v>
      </c>
      <c r="Z590" s="42"/>
      <c r="AA590" s="6"/>
      <c r="AW590">
        <v>0.34905610687022898</v>
      </c>
      <c r="BF590">
        <f t="shared" si="45"/>
        <v>0</v>
      </c>
      <c r="BG590">
        <f t="shared" si="46"/>
        <v>0</v>
      </c>
      <c r="BH590">
        <f t="shared" si="47"/>
        <v>0</v>
      </c>
      <c r="BI590">
        <f t="shared" si="48"/>
        <v>0</v>
      </c>
      <c r="BJ590">
        <f t="shared" si="49"/>
        <v>0</v>
      </c>
      <c r="BK590">
        <f t="shared" si="50"/>
        <v>0</v>
      </c>
      <c r="BL590">
        <f t="shared" si="51"/>
        <v>0</v>
      </c>
      <c r="BM590">
        <f t="shared" si="52"/>
        <v>0</v>
      </c>
      <c r="BN590">
        <f t="shared" si="53"/>
        <v>0</v>
      </c>
      <c r="BO590">
        <f t="shared" si="54"/>
        <v>0</v>
      </c>
      <c r="BP590">
        <f t="shared" si="55"/>
        <v>0</v>
      </c>
      <c r="BQ590">
        <f t="shared" si="56"/>
        <v>0</v>
      </c>
      <c r="BR590">
        <f t="shared" si="57"/>
        <v>0</v>
      </c>
      <c r="BS590">
        <f t="shared" si="58"/>
        <v>0</v>
      </c>
      <c r="BT590">
        <f t="shared" si="59"/>
        <v>0</v>
      </c>
      <c r="BU590">
        <f t="shared" si="60"/>
        <v>0</v>
      </c>
      <c r="BV590">
        <f t="shared" si="61"/>
        <v>0</v>
      </c>
      <c r="BW590">
        <f t="shared" si="62"/>
        <v>0</v>
      </c>
      <c r="BX590">
        <f t="shared" si="63"/>
        <v>0</v>
      </c>
      <c r="BY590">
        <f t="shared" si="64"/>
        <v>0</v>
      </c>
      <c r="BZ590">
        <f t="shared" si="65"/>
        <v>0</v>
      </c>
      <c r="CA590" t="e">
        <f>IF(#REF!=BB590,0,1)</f>
        <v>#REF!</v>
      </c>
      <c r="CB590">
        <f t="shared" si="66"/>
        <v>0</v>
      </c>
      <c r="CC590" t="e">
        <f>IF(#REF!=BD590,0,1)</f>
        <v>#REF!</v>
      </c>
      <c r="CD590" t="e">
        <f>IF(#REF!=BE590,0,1)</f>
        <v>#REF!</v>
      </c>
      <c r="CE590" t="e">
        <f>IF(#REF!=BF590,0,1)</f>
        <v>#REF!</v>
      </c>
      <c r="CF590">
        <f t="shared" si="67"/>
        <v>0</v>
      </c>
      <c r="CG590">
        <f t="shared" si="68"/>
        <v>0</v>
      </c>
      <c r="CH590">
        <f t="shared" si="69"/>
        <v>0</v>
      </c>
      <c r="CI590">
        <f t="shared" si="70"/>
        <v>0</v>
      </c>
      <c r="CJ590">
        <f t="shared" si="71"/>
        <v>0</v>
      </c>
      <c r="CK590">
        <f t="shared" si="72"/>
        <v>0</v>
      </c>
      <c r="CL590">
        <f t="shared" si="73"/>
        <v>0</v>
      </c>
    </row>
    <row r="591" spans="9:90" x14ac:dyDescent="0.3">
      <c r="K591" s="19" t="s">
        <v>37</v>
      </c>
      <c r="M591" s="42"/>
      <c r="O591" s="19" t="s">
        <v>371</v>
      </c>
      <c r="Q591" s="48">
        <f>c_lung+c_hosp_fu+c_CSG</f>
        <v>54529.510902399998</v>
      </c>
      <c r="R591" s="48"/>
      <c r="T591" s="80"/>
      <c r="Z591" s="42"/>
      <c r="AA591" s="6"/>
      <c r="AQ591" t="s">
        <v>37</v>
      </c>
      <c r="AU591" t="s">
        <v>371</v>
      </c>
      <c r="AW591">
        <v>42323.200000000004</v>
      </c>
      <c r="BF591">
        <f t="shared" si="45"/>
        <v>0</v>
      </c>
      <c r="BG591">
        <f t="shared" si="46"/>
        <v>0</v>
      </c>
      <c r="BH591">
        <f t="shared" si="47"/>
        <v>0</v>
      </c>
      <c r="BI591">
        <f t="shared" si="48"/>
        <v>0</v>
      </c>
      <c r="BJ591">
        <f t="shared" si="49"/>
        <v>0</v>
      </c>
      <c r="BK591">
        <f t="shared" si="50"/>
        <v>0</v>
      </c>
      <c r="BL591">
        <f t="shared" si="51"/>
        <v>0</v>
      </c>
      <c r="BM591">
        <f t="shared" si="52"/>
        <v>0</v>
      </c>
      <c r="BN591">
        <f t="shared" si="53"/>
        <v>0</v>
      </c>
      <c r="BO591">
        <f t="shared" si="54"/>
        <v>0</v>
      </c>
      <c r="BP591">
        <f t="shared" si="55"/>
        <v>0</v>
      </c>
      <c r="BQ591">
        <f t="shared" si="56"/>
        <v>0</v>
      </c>
      <c r="BR591">
        <f t="shared" si="57"/>
        <v>0</v>
      </c>
      <c r="BS591">
        <f t="shared" si="58"/>
        <v>0</v>
      </c>
      <c r="BT591">
        <f t="shared" si="59"/>
        <v>0</v>
      </c>
      <c r="BU591">
        <f t="shared" si="60"/>
        <v>0</v>
      </c>
      <c r="BV591">
        <f t="shared" si="61"/>
        <v>1</v>
      </c>
      <c r="BW591">
        <f t="shared" si="62"/>
        <v>0</v>
      </c>
      <c r="BX591">
        <f t="shared" si="63"/>
        <v>0</v>
      </c>
      <c r="BY591">
        <f t="shared" si="64"/>
        <v>0</v>
      </c>
      <c r="BZ591">
        <f t="shared" si="65"/>
        <v>0</v>
      </c>
      <c r="CA591" t="e">
        <f>IF(#REF!=BB591,0,1)</f>
        <v>#REF!</v>
      </c>
      <c r="CB591">
        <f t="shared" si="66"/>
        <v>0</v>
      </c>
      <c r="CC591" t="e">
        <f>IF(#REF!=BD591,0,1)</f>
        <v>#REF!</v>
      </c>
      <c r="CD591" t="e">
        <f>IF(#REF!=BE591,0,1)</f>
        <v>#REF!</v>
      </c>
      <c r="CE591" t="e">
        <f>IF(#REF!=BF591,0,1)</f>
        <v>#REF!</v>
      </c>
      <c r="CF591">
        <f t="shared" si="67"/>
        <v>0</v>
      </c>
      <c r="CG591">
        <f t="shared" si="68"/>
        <v>0</v>
      </c>
      <c r="CH591">
        <f t="shared" si="69"/>
        <v>0</v>
      </c>
      <c r="CI591">
        <f t="shared" si="70"/>
        <v>0</v>
      </c>
      <c r="CJ591">
        <f t="shared" si="71"/>
        <v>0</v>
      </c>
      <c r="CK591">
        <f t="shared" si="72"/>
        <v>0</v>
      </c>
      <c r="CL591">
        <f t="shared" si="73"/>
        <v>0</v>
      </c>
    </row>
    <row r="592" spans="9:90" x14ac:dyDescent="0.3">
      <c r="K592" s="47">
        <f>SGA_prem_2s_1</f>
        <v>0.92375153333333337</v>
      </c>
      <c r="O592" s="47">
        <f>SGA_prem_2normoglycaemia_1</f>
        <v>0.78449999999999998</v>
      </c>
      <c r="Q592" s="19" t="s">
        <v>226</v>
      </c>
      <c r="R592" s="19"/>
      <c r="T592" s="80"/>
      <c r="U592">
        <f>$K$592*$I$581*$G$602*$E$531*$C$600*$A$555*$M$587*$O$592*Q593</f>
        <v>0</v>
      </c>
      <c r="W592" s="42">
        <f>$K$593+$I$582+$G$603+$E$532+$C$601+$A$556+$M$588+$O$593+Q594</f>
        <v>50494.711856313748</v>
      </c>
      <c r="X592">
        <f>u_CongnitiveImpairement</f>
        <v>17.270393127285455</v>
      </c>
      <c r="Z592" s="42">
        <f>U592*W592</f>
        <v>0</v>
      </c>
      <c r="AA592" s="6">
        <f>U592*X592</f>
        <v>0</v>
      </c>
      <c r="AQ592">
        <v>0.91593333333333338</v>
      </c>
      <c r="AU592">
        <v>0.78449999999999998</v>
      </c>
      <c r="AW592" t="s">
        <v>226</v>
      </c>
      <c r="AZ592">
        <v>0</v>
      </c>
      <c r="BF592">
        <f t="shared" si="45"/>
        <v>0</v>
      </c>
      <c r="BG592">
        <f t="shared" si="46"/>
        <v>0</v>
      </c>
      <c r="BH592">
        <f t="shared" si="47"/>
        <v>0</v>
      </c>
      <c r="BI592">
        <f t="shared" si="48"/>
        <v>0</v>
      </c>
      <c r="BJ592">
        <f t="shared" si="49"/>
        <v>0</v>
      </c>
      <c r="BK592">
        <f t="shared" si="50"/>
        <v>0</v>
      </c>
      <c r="BL592">
        <f t="shared" si="51"/>
        <v>0</v>
      </c>
      <c r="BM592">
        <f t="shared" si="52"/>
        <v>0</v>
      </c>
      <c r="BN592">
        <f t="shared" si="53"/>
        <v>0</v>
      </c>
      <c r="BO592">
        <f t="shared" si="54"/>
        <v>0</v>
      </c>
      <c r="BP592">
        <f t="shared" si="55"/>
        <v>1</v>
      </c>
      <c r="BQ592">
        <f t="shared" si="56"/>
        <v>0</v>
      </c>
      <c r="BR592">
        <f t="shared" si="57"/>
        <v>0</v>
      </c>
      <c r="BS592">
        <f t="shared" si="58"/>
        <v>0</v>
      </c>
      <c r="BT592">
        <f t="shared" si="59"/>
        <v>0</v>
      </c>
      <c r="BU592">
        <f t="shared" si="60"/>
        <v>0</v>
      </c>
      <c r="BV592">
        <f t="shared" si="61"/>
        <v>0</v>
      </c>
      <c r="BW592">
        <f t="shared" si="62"/>
        <v>0</v>
      </c>
      <c r="BX592">
        <f t="shared" si="63"/>
        <v>0</v>
      </c>
      <c r="BY592">
        <f t="shared" si="64"/>
        <v>0</v>
      </c>
      <c r="BZ592">
        <f t="shared" si="65"/>
        <v>0</v>
      </c>
      <c r="CA592" t="e">
        <f>IF(#REF!=BB592,0,1)</f>
        <v>#REF!</v>
      </c>
      <c r="CB592">
        <f t="shared" si="66"/>
        <v>1</v>
      </c>
      <c r="CC592" t="e">
        <f>IF(#REF!=BD592,0,1)</f>
        <v>#REF!</v>
      </c>
      <c r="CD592" t="e">
        <f>IF(#REF!=BE592,0,1)</f>
        <v>#REF!</v>
      </c>
      <c r="CE592" t="e">
        <f>IF(#REF!=BF592,0,1)</f>
        <v>#REF!</v>
      </c>
      <c r="CF592">
        <f t="shared" si="67"/>
        <v>1</v>
      </c>
      <c r="CG592">
        <f t="shared" si="68"/>
        <v>0</v>
      </c>
      <c r="CH592">
        <f t="shared" si="69"/>
        <v>0</v>
      </c>
      <c r="CI592">
        <f t="shared" si="70"/>
        <v>0</v>
      </c>
      <c r="CJ592">
        <f t="shared" si="71"/>
        <v>0</v>
      </c>
      <c r="CK592">
        <f t="shared" si="72"/>
        <v>0</v>
      </c>
      <c r="CL592">
        <f t="shared" si="73"/>
        <v>0</v>
      </c>
    </row>
    <row r="593" spans="3:90" x14ac:dyDescent="0.3">
      <c r="K593" s="48"/>
      <c r="O593" s="48"/>
      <c r="Q593" s="47">
        <f>noHypo2CI_2-(RDS2CLD_2*noHypo2CI_2)</f>
        <v>2.1141683406990762E-2</v>
      </c>
      <c r="R593" s="47"/>
      <c r="T593" s="80"/>
      <c r="V593">
        <v>0</v>
      </c>
      <c r="Z593" s="42"/>
      <c r="AA593" s="6"/>
      <c r="AW593">
        <v>2.1141683406990762E-2</v>
      </c>
      <c r="BF593">
        <f t="shared" si="45"/>
        <v>0</v>
      </c>
      <c r="BG593">
        <f t="shared" si="46"/>
        <v>0</v>
      </c>
      <c r="BH593">
        <f t="shared" si="47"/>
        <v>0</v>
      </c>
      <c r="BI593">
        <f t="shared" si="48"/>
        <v>0</v>
      </c>
      <c r="BJ593">
        <f t="shared" si="49"/>
        <v>0</v>
      </c>
      <c r="BK593">
        <f t="shared" si="50"/>
        <v>0</v>
      </c>
      <c r="BL593">
        <f t="shared" si="51"/>
        <v>0</v>
      </c>
      <c r="BM593">
        <f t="shared" si="52"/>
        <v>0</v>
      </c>
      <c r="BN593">
        <f t="shared" si="53"/>
        <v>0</v>
      </c>
      <c r="BO593">
        <f t="shared" si="54"/>
        <v>0</v>
      </c>
      <c r="BP593">
        <f t="shared" si="55"/>
        <v>0</v>
      </c>
      <c r="BQ593">
        <f t="shared" si="56"/>
        <v>0</v>
      </c>
      <c r="BR593">
        <f t="shared" si="57"/>
        <v>0</v>
      </c>
      <c r="BS593">
        <f t="shared" si="58"/>
        <v>0</v>
      </c>
      <c r="BT593">
        <f t="shared" si="59"/>
        <v>0</v>
      </c>
      <c r="BU593">
        <f t="shared" si="60"/>
        <v>0</v>
      </c>
      <c r="BV593">
        <f t="shared" si="61"/>
        <v>0</v>
      </c>
      <c r="BW593">
        <f t="shared" si="62"/>
        <v>0</v>
      </c>
      <c r="BX593">
        <f t="shared" si="63"/>
        <v>0</v>
      </c>
      <c r="BY593">
        <f t="shared" si="64"/>
        <v>0</v>
      </c>
      <c r="BZ593">
        <f t="shared" si="65"/>
        <v>0</v>
      </c>
      <c r="CA593" t="e">
        <f>IF(#REF!=BB593,0,1)</f>
        <v>#REF!</v>
      </c>
      <c r="CB593">
        <f t="shared" si="66"/>
        <v>0</v>
      </c>
      <c r="CC593" t="e">
        <f>IF(#REF!=BD593,0,1)</f>
        <v>#REF!</v>
      </c>
      <c r="CD593" t="e">
        <f>IF(#REF!=BE593,0,1)</f>
        <v>#REF!</v>
      </c>
      <c r="CE593" t="e">
        <f>IF(#REF!=BF593,0,1)</f>
        <v>#REF!</v>
      </c>
      <c r="CF593">
        <f t="shared" si="67"/>
        <v>0</v>
      </c>
      <c r="CG593">
        <f t="shared" si="68"/>
        <v>0</v>
      </c>
      <c r="CH593">
        <f t="shared" si="69"/>
        <v>0</v>
      </c>
      <c r="CI593">
        <f t="shared" si="70"/>
        <v>0</v>
      </c>
      <c r="CJ593">
        <f t="shared" si="71"/>
        <v>0</v>
      </c>
      <c r="CK593">
        <f t="shared" si="72"/>
        <v>0</v>
      </c>
      <c r="CL593">
        <f t="shared" si="73"/>
        <v>0</v>
      </c>
    </row>
    <row r="594" spans="3:90" x14ac:dyDescent="0.3">
      <c r="Q594" s="48">
        <f>c_cog+c_hosp_fu+c_CSG</f>
        <v>15766</v>
      </c>
      <c r="R594" s="48"/>
      <c r="T594" s="80"/>
      <c r="Z594" s="42"/>
      <c r="AA594" s="6"/>
      <c r="AW594">
        <v>4840</v>
      </c>
      <c r="BF594">
        <f t="shared" ref="BF594:BF601" si="74">IF(A594=AG594,0,1)</f>
        <v>0</v>
      </c>
      <c r="BG594">
        <f t="shared" ref="BG594:BG601" si="75">IF(B594=AH594,0,1)</f>
        <v>0</v>
      </c>
      <c r="BH594">
        <f t="shared" ref="BH594:BH601" si="76">IF(C594=AI594,0,1)</f>
        <v>0</v>
      </c>
      <c r="BI594">
        <f t="shared" ref="BI594:BI601" si="77">IF(D594=AJ594,0,1)</f>
        <v>0</v>
      </c>
      <c r="BJ594">
        <f t="shared" ref="BJ594:BJ601" si="78">IF(E594=AK594,0,1)</f>
        <v>0</v>
      </c>
      <c r="BK594">
        <f t="shared" ref="BK594:BK601" si="79">IF(F594=AL594,0,1)</f>
        <v>0</v>
      </c>
      <c r="BL594">
        <f t="shared" ref="BL594:BL601" si="80">IF(G594=AM594,0,1)</f>
        <v>0</v>
      </c>
      <c r="BM594">
        <f t="shared" ref="BM594:BM601" si="81">IF(H594=AN594,0,1)</f>
        <v>0</v>
      </c>
      <c r="BN594">
        <f t="shared" ref="BN594:BN601" si="82">IF(I594=AO594,0,1)</f>
        <v>0</v>
      </c>
      <c r="BO594">
        <f t="shared" ref="BO594:BO601" si="83">IF(J594=AP594,0,1)</f>
        <v>0</v>
      </c>
      <c r="BP594">
        <f t="shared" ref="BP594:BP601" si="84">IF(K594=AQ594,0,1)</f>
        <v>0</v>
      </c>
      <c r="BQ594">
        <f t="shared" ref="BQ594:BQ601" si="85">IF(L594=AR594,0,1)</f>
        <v>0</v>
      </c>
      <c r="BR594">
        <f t="shared" ref="BR594:BR601" si="86">IF(M594=AS594,0,1)</f>
        <v>0</v>
      </c>
      <c r="BS594">
        <f t="shared" ref="BS594:BS601" si="87">IF(N594=AT594,0,1)</f>
        <v>0</v>
      </c>
      <c r="BT594">
        <f t="shared" ref="BT594:BT601" si="88">IF(O594=AU594,0,1)</f>
        <v>0</v>
      </c>
      <c r="BU594">
        <f t="shared" ref="BU594:BU601" si="89">IF(P594=AV594,0,1)</f>
        <v>0</v>
      </c>
      <c r="BV594">
        <f t="shared" ref="BV594:BV601" si="90">IF(Q594=AW594,0,1)</f>
        <v>1</v>
      </c>
      <c r="BW594">
        <f t="shared" ref="BW594:BW601" si="91">IF(S594=AX594,0,1)</f>
        <v>0</v>
      </c>
      <c r="BX594">
        <f t="shared" ref="BX594:BX601" si="92">IF(T594=AY594,0,1)</f>
        <v>0</v>
      </c>
      <c r="BY594">
        <f t="shared" ref="BY594:BY601" si="93">IF(U594=AZ594,0,1)</f>
        <v>0</v>
      </c>
      <c r="BZ594">
        <f t="shared" ref="BZ594:BZ601" si="94">IF(V595=BA594,0,1)</f>
        <v>0</v>
      </c>
      <c r="CA594" t="e">
        <f>IF(#REF!=BB594,0,1)</f>
        <v>#REF!</v>
      </c>
      <c r="CB594">
        <f t="shared" ref="CB594:CB601" si="95">IF(W594=BC594,0,1)</f>
        <v>0</v>
      </c>
      <c r="CC594" t="e">
        <f>IF(#REF!=BD594,0,1)</f>
        <v>#REF!</v>
      </c>
      <c r="CD594" t="e">
        <f>IF(#REF!=BE594,0,1)</f>
        <v>#REF!</v>
      </c>
      <c r="CE594" t="e">
        <f>IF(#REF!=BF594,0,1)</f>
        <v>#REF!</v>
      </c>
      <c r="CF594">
        <f t="shared" ref="CF594:CF601" si="96">IF(X594=BG594,0,1)</f>
        <v>0</v>
      </c>
      <c r="CG594">
        <f t="shared" ref="CG594:CG601" si="97">IF(Z594=BH594,0,1)</f>
        <v>0</v>
      </c>
      <c r="CH594">
        <f t="shared" ref="CH594:CH601" si="98">IF(AA594=BI594,0,1)</f>
        <v>0</v>
      </c>
      <c r="CI594">
        <f t="shared" ref="CI594:CI601" si="99">IF(AB594=BJ594,0,1)</f>
        <v>0</v>
      </c>
      <c r="CJ594">
        <f t="shared" ref="CJ594:CJ601" si="100">IF(AC594=BK594,0,1)</f>
        <v>0</v>
      </c>
      <c r="CK594">
        <f t="shared" ref="CK594:CK601" si="101">IF(AD594=BL594,0,1)</f>
        <v>0</v>
      </c>
      <c r="CL594">
        <f t="shared" ref="CL594:CL601" si="102">IF(AE594=BM594,0,1)</f>
        <v>0</v>
      </c>
    </row>
    <row r="595" spans="3:90" x14ac:dyDescent="0.3">
      <c r="Q595" s="19" t="s">
        <v>369</v>
      </c>
      <c r="R595" s="19"/>
      <c r="T595" s="80"/>
      <c r="U595">
        <f>$K$592*$I$581*$G$602*$E$531*$C$600*$A$555*$M$587*$O$592*Q596</f>
        <v>0</v>
      </c>
      <c r="W595" s="42">
        <f>$K$593+$I$582+$G$603+$E$532+$C$601+$A$556+$M$588+$O$593+Q597</f>
        <v>93077.222758713746</v>
      </c>
      <c r="X595">
        <f>u_ChronicResp+u_CongnitiveImpairement</f>
        <v>17.805052694763283</v>
      </c>
      <c r="Z595" s="42">
        <f>U595*W595</f>
        <v>0</v>
      </c>
      <c r="AA595" s="6">
        <f>U595*X595</f>
        <v>0</v>
      </c>
      <c r="AW595" t="s">
        <v>369</v>
      </c>
      <c r="AZ595">
        <v>0</v>
      </c>
      <c r="BF595">
        <f t="shared" si="74"/>
        <v>0</v>
      </c>
      <c r="BG595">
        <f t="shared" si="75"/>
        <v>0</v>
      </c>
      <c r="BH595">
        <f t="shared" si="76"/>
        <v>0</v>
      </c>
      <c r="BI595">
        <f t="shared" si="77"/>
        <v>0</v>
      </c>
      <c r="BJ595">
        <f t="shared" si="78"/>
        <v>0</v>
      </c>
      <c r="BK595">
        <f t="shared" si="79"/>
        <v>0</v>
      </c>
      <c r="BL595">
        <f t="shared" si="80"/>
        <v>0</v>
      </c>
      <c r="BM595">
        <f t="shared" si="81"/>
        <v>0</v>
      </c>
      <c r="BN595">
        <f t="shared" si="82"/>
        <v>0</v>
      </c>
      <c r="BO595">
        <f t="shared" si="83"/>
        <v>0</v>
      </c>
      <c r="BP595">
        <f t="shared" si="84"/>
        <v>0</v>
      </c>
      <c r="BQ595">
        <f t="shared" si="85"/>
        <v>0</v>
      </c>
      <c r="BR595">
        <f t="shared" si="86"/>
        <v>0</v>
      </c>
      <c r="BS595">
        <f t="shared" si="87"/>
        <v>0</v>
      </c>
      <c r="BT595">
        <f t="shared" si="88"/>
        <v>0</v>
      </c>
      <c r="BU595">
        <f t="shared" si="89"/>
        <v>0</v>
      </c>
      <c r="BV595">
        <f t="shared" si="90"/>
        <v>0</v>
      </c>
      <c r="BW595">
        <f t="shared" si="91"/>
        <v>0</v>
      </c>
      <c r="BX595">
        <f t="shared" si="92"/>
        <v>0</v>
      </c>
      <c r="BY595">
        <f t="shared" si="93"/>
        <v>0</v>
      </c>
      <c r="BZ595">
        <f t="shared" si="94"/>
        <v>0</v>
      </c>
      <c r="CA595" t="e">
        <f>IF(#REF!=BB595,0,1)</f>
        <v>#REF!</v>
      </c>
      <c r="CB595">
        <f t="shared" si="95"/>
        <v>1</v>
      </c>
      <c r="CC595" t="e">
        <f>IF(#REF!=BD595,0,1)</f>
        <v>#REF!</v>
      </c>
      <c r="CD595" t="e">
        <f>IF(#REF!=BE595,0,1)</f>
        <v>#REF!</v>
      </c>
      <c r="CE595" t="e">
        <f>IF(#REF!=BF595,0,1)</f>
        <v>#REF!</v>
      </c>
      <c r="CF595">
        <f t="shared" si="96"/>
        <v>1</v>
      </c>
      <c r="CG595">
        <f t="shared" si="97"/>
        <v>0</v>
      </c>
      <c r="CH595">
        <f t="shared" si="98"/>
        <v>0</v>
      </c>
      <c r="CI595">
        <f t="shared" si="99"/>
        <v>0</v>
      </c>
      <c r="CJ595">
        <f t="shared" si="100"/>
        <v>0</v>
      </c>
      <c r="CK595">
        <f t="shared" si="101"/>
        <v>0</v>
      </c>
      <c r="CL595">
        <f t="shared" si="102"/>
        <v>0</v>
      </c>
    </row>
    <row r="596" spans="3:90" x14ac:dyDescent="0.3">
      <c r="Q596" s="47">
        <f>RDS2CLD_2*noHypo2CI_2</f>
        <v>1.1943893129770991E-2</v>
      </c>
      <c r="R596" s="47"/>
      <c r="T596" s="80"/>
      <c r="V596">
        <v>0</v>
      </c>
      <c r="Z596" s="42"/>
      <c r="AA596" s="6"/>
      <c r="AW596">
        <v>1.1943893129770991E-2</v>
      </c>
      <c r="BF596">
        <f t="shared" si="74"/>
        <v>0</v>
      </c>
      <c r="BG596">
        <f t="shared" si="75"/>
        <v>0</v>
      </c>
      <c r="BH596">
        <f t="shared" si="76"/>
        <v>0</v>
      </c>
      <c r="BI596">
        <f t="shared" si="77"/>
        <v>0</v>
      </c>
      <c r="BJ596">
        <f t="shared" si="78"/>
        <v>0</v>
      </c>
      <c r="BK596">
        <f t="shared" si="79"/>
        <v>0</v>
      </c>
      <c r="BL596">
        <f t="shared" si="80"/>
        <v>0</v>
      </c>
      <c r="BM596">
        <f t="shared" si="81"/>
        <v>0</v>
      </c>
      <c r="BN596">
        <f t="shared" si="82"/>
        <v>0</v>
      </c>
      <c r="BO596">
        <f t="shared" si="83"/>
        <v>0</v>
      </c>
      <c r="BP596">
        <f t="shared" si="84"/>
        <v>0</v>
      </c>
      <c r="BQ596">
        <f t="shared" si="85"/>
        <v>0</v>
      </c>
      <c r="BR596">
        <f t="shared" si="86"/>
        <v>0</v>
      </c>
      <c r="BS596">
        <f t="shared" si="87"/>
        <v>0</v>
      </c>
      <c r="BT596">
        <f t="shared" si="88"/>
        <v>0</v>
      </c>
      <c r="BU596">
        <f t="shared" si="89"/>
        <v>0</v>
      </c>
      <c r="BV596">
        <f t="shared" si="90"/>
        <v>0</v>
      </c>
      <c r="BW596">
        <f t="shared" si="91"/>
        <v>0</v>
      </c>
      <c r="BX596">
        <f t="shared" si="92"/>
        <v>0</v>
      </c>
      <c r="BY596">
        <f t="shared" si="93"/>
        <v>0</v>
      </c>
      <c r="BZ596">
        <f t="shared" si="94"/>
        <v>0</v>
      </c>
      <c r="CA596" t="e">
        <f>IF(#REF!=BB596,0,1)</f>
        <v>#REF!</v>
      </c>
      <c r="CB596">
        <f t="shared" si="95"/>
        <v>0</v>
      </c>
      <c r="CC596" t="e">
        <f>IF(#REF!=BD596,0,1)</f>
        <v>#REF!</v>
      </c>
      <c r="CD596" t="e">
        <f>IF(#REF!=BE596,0,1)</f>
        <v>#REF!</v>
      </c>
      <c r="CE596" t="e">
        <f>IF(#REF!=BF596,0,1)</f>
        <v>#REF!</v>
      </c>
      <c r="CF596">
        <f t="shared" si="96"/>
        <v>0</v>
      </c>
      <c r="CG596">
        <f t="shared" si="97"/>
        <v>0</v>
      </c>
      <c r="CH596">
        <f t="shared" si="98"/>
        <v>0</v>
      </c>
      <c r="CI596">
        <f t="shared" si="99"/>
        <v>0</v>
      </c>
      <c r="CJ596">
        <f t="shared" si="100"/>
        <v>0</v>
      </c>
      <c r="CK596">
        <f t="shared" si="101"/>
        <v>0</v>
      </c>
      <c r="CL596">
        <f t="shared" si="102"/>
        <v>0</v>
      </c>
    </row>
    <row r="597" spans="3:90" x14ac:dyDescent="0.3">
      <c r="Q597" s="48">
        <f>c_cog+c_lung+c_hosp_fu+c_CSG</f>
        <v>58348.510902399998</v>
      </c>
      <c r="R597" s="48"/>
      <c r="T597" s="80"/>
      <c r="Z597" s="42"/>
      <c r="AA597" s="6"/>
      <c r="AW597">
        <v>45990.200000000004</v>
      </c>
      <c r="BF597">
        <f t="shared" si="74"/>
        <v>0</v>
      </c>
      <c r="BG597">
        <f t="shared" si="75"/>
        <v>0</v>
      </c>
      <c r="BH597">
        <f t="shared" si="76"/>
        <v>0</v>
      </c>
      <c r="BI597">
        <f t="shared" si="77"/>
        <v>0</v>
      </c>
      <c r="BJ597">
        <f t="shared" si="78"/>
        <v>0</v>
      </c>
      <c r="BK597">
        <f t="shared" si="79"/>
        <v>0</v>
      </c>
      <c r="BL597">
        <f t="shared" si="80"/>
        <v>0</v>
      </c>
      <c r="BM597">
        <f t="shared" si="81"/>
        <v>0</v>
      </c>
      <c r="BN597">
        <f t="shared" si="82"/>
        <v>0</v>
      </c>
      <c r="BO597">
        <f t="shared" si="83"/>
        <v>0</v>
      </c>
      <c r="BP597">
        <f t="shared" si="84"/>
        <v>0</v>
      </c>
      <c r="BQ597">
        <f t="shared" si="85"/>
        <v>0</v>
      </c>
      <c r="BR597">
        <f t="shared" si="86"/>
        <v>0</v>
      </c>
      <c r="BS597">
        <f t="shared" si="87"/>
        <v>0</v>
      </c>
      <c r="BT597">
        <f t="shared" si="88"/>
        <v>0</v>
      </c>
      <c r="BU597">
        <f t="shared" si="89"/>
        <v>0</v>
      </c>
      <c r="BV597">
        <f t="shared" si="90"/>
        <v>1</v>
      </c>
      <c r="BW597">
        <f t="shared" si="91"/>
        <v>0</v>
      </c>
      <c r="BX597">
        <f t="shared" si="92"/>
        <v>0</v>
      </c>
      <c r="BY597">
        <f t="shared" si="93"/>
        <v>0</v>
      </c>
      <c r="BZ597">
        <f t="shared" si="94"/>
        <v>0</v>
      </c>
      <c r="CA597" t="e">
        <f>IF(#REF!=BB597,0,1)</f>
        <v>#REF!</v>
      </c>
      <c r="CB597">
        <f t="shared" si="95"/>
        <v>0</v>
      </c>
      <c r="CC597" t="e">
        <f>IF(#REF!=BD597,0,1)</f>
        <v>#REF!</v>
      </c>
      <c r="CD597" t="e">
        <f>IF(#REF!=BE597,0,1)</f>
        <v>#REF!</v>
      </c>
      <c r="CE597" t="e">
        <f>IF(#REF!=BF597,0,1)</f>
        <v>#REF!</v>
      </c>
      <c r="CF597">
        <f t="shared" si="96"/>
        <v>0</v>
      </c>
      <c r="CG597">
        <f t="shared" si="97"/>
        <v>0</v>
      </c>
      <c r="CH597">
        <f t="shared" si="98"/>
        <v>0</v>
      </c>
      <c r="CI597">
        <f t="shared" si="99"/>
        <v>0</v>
      </c>
      <c r="CJ597">
        <f t="shared" si="100"/>
        <v>0</v>
      </c>
      <c r="CK597">
        <f t="shared" si="101"/>
        <v>0</v>
      </c>
      <c r="CL597">
        <f t="shared" si="102"/>
        <v>0</v>
      </c>
    </row>
    <row r="598" spans="3:90" x14ac:dyDescent="0.3">
      <c r="Q598" s="19" t="s">
        <v>370</v>
      </c>
      <c r="R598" s="19"/>
      <c r="T598" s="80"/>
      <c r="U598">
        <f>$K$592*$I$581*$G$602*$E$531*$C$600*$A$555*$M$587*$O$592*Q599</f>
        <v>0</v>
      </c>
      <c r="W598" s="42">
        <f>$K$593+$I$582+$G$603+$E$532+$C$601+$A$556+$M$588+$O$593+Q600</f>
        <v>49131.711856313748</v>
      </c>
      <c r="X598">
        <f>u_Healthy</f>
        <v>0</v>
      </c>
      <c r="Z598" s="42">
        <f>U598*W598</f>
        <v>0</v>
      </c>
      <c r="AA598" s="6">
        <f>U598*X598</f>
        <v>0</v>
      </c>
      <c r="AW598" t="s">
        <v>370</v>
      </c>
      <c r="AZ598">
        <v>0</v>
      </c>
      <c r="BF598">
        <f t="shared" si="74"/>
        <v>0</v>
      </c>
      <c r="BG598">
        <f t="shared" si="75"/>
        <v>0</v>
      </c>
      <c r="BH598">
        <f t="shared" si="76"/>
        <v>0</v>
      </c>
      <c r="BI598">
        <f t="shared" si="77"/>
        <v>0</v>
      </c>
      <c r="BJ598">
        <f t="shared" si="78"/>
        <v>0</v>
      </c>
      <c r="BK598">
        <f t="shared" si="79"/>
        <v>0</v>
      </c>
      <c r="BL598">
        <f t="shared" si="80"/>
        <v>0</v>
      </c>
      <c r="BM598">
        <f t="shared" si="81"/>
        <v>0</v>
      </c>
      <c r="BN598">
        <f t="shared" si="82"/>
        <v>0</v>
      </c>
      <c r="BO598">
        <f t="shared" si="83"/>
        <v>0</v>
      </c>
      <c r="BP598">
        <f t="shared" si="84"/>
        <v>0</v>
      </c>
      <c r="BQ598">
        <f t="shared" si="85"/>
        <v>0</v>
      </c>
      <c r="BR598">
        <f t="shared" si="86"/>
        <v>0</v>
      </c>
      <c r="BS598">
        <f t="shared" si="87"/>
        <v>0</v>
      </c>
      <c r="BT598">
        <f t="shared" si="88"/>
        <v>0</v>
      </c>
      <c r="BU598">
        <f t="shared" si="89"/>
        <v>0</v>
      </c>
      <c r="BV598">
        <f t="shared" si="90"/>
        <v>0</v>
      </c>
      <c r="BW598">
        <f t="shared" si="91"/>
        <v>0</v>
      </c>
      <c r="BX598">
        <f t="shared" si="92"/>
        <v>0</v>
      </c>
      <c r="BY598">
        <f t="shared" si="93"/>
        <v>0</v>
      </c>
      <c r="BZ598">
        <f t="shared" si="94"/>
        <v>0</v>
      </c>
      <c r="CA598" t="e">
        <f>IF(#REF!=BB598,0,1)</f>
        <v>#REF!</v>
      </c>
      <c r="CB598">
        <f t="shared" si="95"/>
        <v>1</v>
      </c>
      <c r="CC598" t="e">
        <f>IF(#REF!=BD598,0,1)</f>
        <v>#REF!</v>
      </c>
      <c r="CD598" t="e">
        <f>IF(#REF!=BE598,0,1)</f>
        <v>#REF!</v>
      </c>
      <c r="CE598" t="e">
        <f>IF(#REF!=BF598,0,1)</f>
        <v>#REF!</v>
      </c>
      <c r="CF598">
        <f t="shared" si="96"/>
        <v>0</v>
      </c>
      <c r="CG598">
        <f t="shared" si="97"/>
        <v>0</v>
      </c>
      <c r="CH598">
        <f t="shared" si="98"/>
        <v>0</v>
      </c>
      <c r="CI598">
        <f t="shared" si="99"/>
        <v>0</v>
      </c>
      <c r="CJ598">
        <f t="shared" si="100"/>
        <v>0</v>
      </c>
      <c r="CK598">
        <f t="shared" si="101"/>
        <v>0</v>
      </c>
      <c r="CL598">
        <f t="shared" si="102"/>
        <v>0</v>
      </c>
    </row>
    <row r="599" spans="3:90" x14ac:dyDescent="0.3">
      <c r="C599" s="19" t="s">
        <v>373</v>
      </c>
      <c r="Q599" s="47">
        <f>1-Q596-Q593-Q590</f>
        <v>0.61785831659300938</v>
      </c>
      <c r="R599" s="47"/>
      <c r="T599" s="80"/>
      <c r="V599">
        <v>0</v>
      </c>
      <c r="Z599" s="42"/>
      <c r="AA599" s="6"/>
      <c r="AI599" t="s">
        <v>373</v>
      </c>
      <c r="AW599">
        <v>0.61785831659300938</v>
      </c>
      <c r="BF599">
        <f t="shared" si="74"/>
        <v>0</v>
      </c>
      <c r="BG599">
        <f t="shared" si="75"/>
        <v>0</v>
      </c>
      <c r="BH599">
        <f t="shared" si="76"/>
        <v>0</v>
      </c>
      <c r="BI599">
        <f t="shared" si="77"/>
        <v>0</v>
      </c>
      <c r="BJ599">
        <f t="shared" si="78"/>
        <v>0</v>
      </c>
      <c r="BK599">
        <f t="shared" si="79"/>
        <v>0</v>
      </c>
      <c r="BL599">
        <f t="shared" si="80"/>
        <v>0</v>
      </c>
      <c r="BM599">
        <f t="shared" si="81"/>
        <v>0</v>
      </c>
      <c r="BN599">
        <f t="shared" si="82"/>
        <v>0</v>
      </c>
      <c r="BO599">
        <f t="shared" si="83"/>
        <v>0</v>
      </c>
      <c r="BP599">
        <f t="shared" si="84"/>
        <v>0</v>
      </c>
      <c r="BQ599">
        <f t="shared" si="85"/>
        <v>0</v>
      </c>
      <c r="BR599">
        <f t="shared" si="86"/>
        <v>0</v>
      </c>
      <c r="BS599">
        <f t="shared" si="87"/>
        <v>0</v>
      </c>
      <c r="BT599">
        <f t="shared" si="88"/>
        <v>0</v>
      </c>
      <c r="BU599">
        <f t="shared" si="89"/>
        <v>0</v>
      </c>
      <c r="BV599">
        <f t="shared" si="90"/>
        <v>0</v>
      </c>
      <c r="BW599">
        <f t="shared" si="91"/>
        <v>0</v>
      </c>
      <c r="BX599">
        <f t="shared" si="92"/>
        <v>0</v>
      </c>
      <c r="BY599">
        <f t="shared" si="93"/>
        <v>0</v>
      </c>
      <c r="BZ599">
        <f t="shared" si="94"/>
        <v>0</v>
      </c>
      <c r="CA599" t="e">
        <f>IF(#REF!=BB599,0,1)</f>
        <v>#REF!</v>
      </c>
      <c r="CB599">
        <f t="shared" si="95"/>
        <v>0</v>
      </c>
      <c r="CC599" t="e">
        <f>IF(#REF!=BD599,0,1)</f>
        <v>#REF!</v>
      </c>
      <c r="CD599" t="e">
        <f>IF(#REF!=BE599,0,1)</f>
        <v>#REF!</v>
      </c>
      <c r="CE599" t="e">
        <f>IF(#REF!=BF599,0,1)</f>
        <v>#REF!</v>
      </c>
      <c r="CF599">
        <f t="shared" si="96"/>
        <v>0</v>
      </c>
      <c r="CG599">
        <f t="shared" si="97"/>
        <v>0</v>
      </c>
      <c r="CH599">
        <f t="shared" si="98"/>
        <v>0</v>
      </c>
      <c r="CI599">
        <f t="shared" si="99"/>
        <v>0</v>
      </c>
      <c r="CJ599">
        <f t="shared" si="100"/>
        <v>0</v>
      </c>
      <c r="CK599">
        <f t="shared" si="101"/>
        <v>0</v>
      </c>
      <c r="CL599">
        <f t="shared" si="102"/>
        <v>0</v>
      </c>
    </row>
    <row r="600" spans="3:90" x14ac:dyDescent="0.3">
      <c r="C600" s="47">
        <f>NoANC2LB_2</f>
        <v>0.96843702579666158</v>
      </c>
      <c r="Q600" s="48">
        <f>c_clinic_fu+c_CSG</f>
        <v>14403</v>
      </c>
      <c r="R600" s="48"/>
      <c r="T600" s="80"/>
      <c r="Z600" s="42"/>
      <c r="AA600" s="6"/>
      <c r="AI600">
        <v>0.96843702579666158</v>
      </c>
      <c r="AW600">
        <v>3230</v>
      </c>
      <c r="BF600">
        <f t="shared" si="74"/>
        <v>0</v>
      </c>
      <c r="BG600">
        <f t="shared" si="75"/>
        <v>0</v>
      </c>
      <c r="BH600">
        <f t="shared" si="76"/>
        <v>0</v>
      </c>
      <c r="BI600">
        <f t="shared" si="77"/>
        <v>0</v>
      </c>
      <c r="BJ600">
        <f t="shared" si="78"/>
        <v>0</v>
      </c>
      <c r="BK600">
        <f t="shared" si="79"/>
        <v>0</v>
      </c>
      <c r="BL600">
        <f t="shared" si="80"/>
        <v>0</v>
      </c>
      <c r="BM600">
        <f t="shared" si="81"/>
        <v>0</v>
      </c>
      <c r="BN600">
        <f t="shared" si="82"/>
        <v>0</v>
      </c>
      <c r="BO600">
        <f t="shared" si="83"/>
        <v>0</v>
      </c>
      <c r="BP600">
        <f t="shared" si="84"/>
        <v>0</v>
      </c>
      <c r="BQ600">
        <f t="shared" si="85"/>
        <v>0</v>
      </c>
      <c r="BR600">
        <f t="shared" si="86"/>
        <v>0</v>
      </c>
      <c r="BS600">
        <f t="shared" si="87"/>
        <v>0</v>
      </c>
      <c r="BT600">
        <f t="shared" si="88"/>
        <v>0</v>
      </c>
      <c r="BU600">
        <f t="shared" si="89"/>
        <v>0</v>
      </c>
      <c r="BV600">
        <f t="shared" si="90"/>
        <v>1</v>
      </c>
      <c r="BW600">
        <f t="shared" si="91"/>
        <v>0</v>
      </c>
      <c r="BX600">
        <f t="shared" si="92"/>
        <v>0</v>
      </c>
      <c r="BY600">
        <f t="shared" si="93"/>
        <v>0</v>
      </c>
      <c r="BZ600">
        <f t="shared" si="94"/>
        <v>0</v>
      </c>
      <c r="CA600" t="e">
        <f>IF(#REF!=BB600,0,1)</f>
        <v>#REF!</v>
      </c>
      <c r="CB600">
        <f t="shared" si="95"/>
        <v>0</v>
      </c>
      <c r="CC600" t="e">
        <f>IF(#REF!=BD600,0,1)</f>
        <v>#REF!</v>
      </c>
      <c r="CD600" t="e">
        <f>IF(#REF!=BE600,0,1)</f>
        <v>#REF!</v>
      </c>
      <c r="CE600" t="e">
        <f>IF(#REF!=BF600,0,1)</f>
        <v>#REF!</v>
      </c>
      <c r="CF600">
        <f t="shared" si="96"/>
        <v>0</v>
      </c>
      <c r="CG600">
        <f t="shared" si="97"/>
        <v>0</v>
      </c>
      <c r="CH600">
        <f t="shared" si="98"/>
        <v>0</v>
      </c>
      <c r="CI600">
        <f t="shared" si="99"/>
        <v>0</v>
      </c>
      <c r="CJ600">
        <f t="shared" si="100"/>
        <v>0</v>
      </c>
      <c r="CK600">
        <f t="shared" si="101"/>
        <v>0</v>
      </c>
      <c r="CL600">
        <f t="shared" si="102"/>
        <v>0</v>
      </c>
    </row>
    <row r="601" spans="3:90" x14ac:dyDescent="0.3">
      <c r="C601" s="48"/>
      <c r="G601" s="19" t="s">
        <v>372</v>
      </c>
      <c r="Q601" s="42"/>
      <c r="R601" s="42"/>
      <c r="T601" s="80"/>
      <c r="Z601" s="42"/>
      <c r="AA601" s="6"/>
      <c r="AM601" t="s">
        <v>372</v>
      </c>
      <c r="BF601">
        <f t="shared" si="74"/>
        <v>0</v>
      </c>
      <c r="BG601">
        <f t="shared" si="75"/>
        <v>0</v>
      </c>
      <c r="BH601">
        <f t="shared" si="76"/>
        <v>0</v>
      </c>
      <c r="BI601">
        <f t="shared" si="77"/>
        <v>0</v>
      </c>
      <c r="BJ601">
        <f t="shared" si="78"/>
        <v>0</v>
      </c>
      <c r="BK601">
        <f t="shared" si="79"/>
        <v>0</v>
      </c>
      <c r="BL601">
        <f t="shared" si="80"/>
        <v>0</v>
      </c>
      <c r="BM601">
        <f t="shared" si="81"/>
        <v>0</v>
      </c>
      <c r="BN601">
        <f t="shared" si="82"/>
        <v>0</v>
      </c>
      <c r="BO601">
        <f t="shared" si="83"/>
        <v>0</v>
      </c>
      <c r="BP601">
        <f t="shared" si="84"/>
        <v>0</v>
      </c>
      <c r="BQ601">
        <f t="shared" si="85"/>
        <v>0</v>
      </c>
      <c r="BR601">
        <f t="shared" si="86"/>
        <v>0</v>
      </c>
      <c r="BS601">
        <f t="shared" si="87"/>
        <v>0</v>
      </c>
      <c r="BT601">
        <f t="shared" si="88"/>
        <v>0</v>
      </c>
      <c r="BU601">
        <f t="shared" si="89"/>
        <v>0</v>
      </c>
      <c r="BV601">
        <f t="shared" si="90"/>
        <v>0</v>
      </c>
      <c r="BW601">
        <f t="shared" si="91"/>
        <v>0</v>
      </c>
      <c r="BX601">
        <f t="shared" si="92"/>
        <v>0</v>
      </c>
      <c r="BY601">
        <f t="shared" si="93"/>
        <v>0</v>
      </c>
      <c r="BZ601">
        <f t="shared" si="94"/>
        <v>0</v>
      </c>
      <c r="CA601" t="e">
        <f>IF(#REF!=BB601,0,1)</f>
        <v>#REF!</v>
      </c>
      <c r="CB601">
        <f t="shared" si="95"/>
        <v>0</v>
      </c>
      <c r="CC601" t="e">
        <f>IF(#REF!=BD601,0,1)</f>
        <v>#REF!</v>
      </c>
      <c r="CD601" t="e">
        <f>IF(#REF!=BE601,0,1)</f>
        <v>#REF!</v>
      </c>
      <c r="CE601" t="e">
        <f>IF(#REF!=BF601,0,1)</f>
        <v>#REF!</v>
      </c>
      <c r="CF601">
        <f t="shared" si="96"/>
        <v>0</v>
      </c>
      <c r="CG601">
        <f t="shared" si="97"/>
        <v>0</v>
      </c>
      <c r="CH601">
        <f t="shared" si="98"/>
        <v>0</v>
      </c>
      <c r="CI601">
        <f t="shared" si="99"/>
        <v>0</v>
      </c>
      <c r="CJ601">
        <f t="shared" si="100"/>
        <v>0</v>
      </c>
      <c r="CK601">
        <f t="shared" si="101"/>
        <v>0</v>
      </c>
      <c r="CL601">
        <f t="shared" si="102"/>
        <v>0</v>
      </c>
    </row>
    <row r="602" spans="3:90" x14ac:dyDescent="0.3">
      <c r="G602" s="47">
        <f>Prem2NBW_1</f>
        <v>0.51623728813559322</v>
      </c>
      <c r="Q602" s="19" t="s">
        <v>368</v>
      </c>
      <c r="R602" s="19"/>
      <c r="T602" s="80"/>
      <c r="U602">
        <f>$K$592*$I$581*$G$602*$E$531*$C$600*$A$555*$M$607*$O$605*Q603</f>
        <v>0</v>
      </c>
      <c r="W602" s="42">
        <f>$K$593+$I$582+$G$603+$E$532+$C$601+$A$556+$M$608+$O$606+Q604</f>
        <v>61598.873010508105</v>
      </c>
      <c r="X602">
        <f>u_ChronicResp</f>
        <v>0.53465956747782661</v>
      </c>
      <c r="Z602" s="42">
        <f>U602*W602</f>
        <v>0</v>
      </c>
      <c r="AA602" s="6">
        <f>U602*X602</f>
        <v>0</v>
      </c>
    </row>
    <row r="603" spans="3:90" x14ac:dyDescent="0.3">
      <c r="G603" s="48">
        <f>c_NICU_NBW</f>
        <v>1255.2</v>
      </c>
      <c r="Q603" s="47">
        <f>RDS2CLD_2-(Hypo2CI_2*RDS2CLD_2)</f>
        <v>0.34246866666666664</v>
      </c>
      <c r="R603" s="47"/>
      <c r="T603" s="80"/>
      <c r="V603">
        <v>0</v>
      </c>
      <c r="Z603" s="42"/>
      <c r="AA603" s="6"/>
    </row>
    <row r="604" spans="3:90" x14ac:dyDescent="0.3">
      <c r="O604" s="19" t="s">
        <v>161</v>
      </c>
      <c r="Q604" s="48">
        <f>c_lung+c_hosp_fu+c_CSG</f>
        <v>54529.510902399998</v>
      </c>
      <c r="R604" s="48"/>
      <c r="T604" s="80"/>
      <c r="Z604" s="42"/>
      <c r="AA604" s="6"/>
    </row>
    <row r="605" spans="3:90" x14ac:dyDescent="0.3">
      <c r="O605" s="47">
        <f>SGA_prem_2hypoglycaemia_1</f>
        <v>0.2155</v>
      </c>
      <c r="Q605" s="19" t="s">
        <v>226</v>
      </c>
      <c r="R605" s="19"/>
      <c r="T605" s="80"/>
      <c r="U605">
        <f>$K$592*$I$581*$G$602*$E$531*$C$600*$A$555*$M$607*$O$605*Q606</f>
        <v>0</v>
      </c>
      <c r="W605" s="42">
        <f>$K$593+$I$582+$G$603+$E$532+$C$601+$A$556+$M$608+$O$606+Q607</f>
        <v>22835.362108108107</v>
      </c>
      <c r="X605">
        <f>u_CongnitiveImpairement</f>
        <v>17.270393127285455</v>
      </c>
      <c r="Z605" s="42">
        <f>U605*W605</f>
        <v>0</v>
      </c>
      <c r="AA605" s="6">
        <f>U605*X605</f>
        <v>0</v>
      </c>
    </row>
    <row r="606" spans="3:90" x14ac:dyDescent="0.3">
      <c r="M606" s="19" t="s">
        <v>203</v>
      </c>
      <c r="O606" s="48">
        <f>c_hypo</f>
        <v>2936.2604000000001</v>
      </c>
      <c r="Q606" s="47">
        <f>Hypo2CI_2-(Hypo2CI_2*RDS2CLD_2)</f>
        <v>3.2801999999999998E-2</v>
      </c>
      <c r="R606" s="47"/>
      <c r="T606" s="80"/>
      <c r="V606">
        <v>0</v>
      </c>
      <c r="Z606" s="42"/>
      <c r="AA606" s="6"/>
    </row>
    <row r="607" spans="3:90" x14ac:dyDescent="0.3">
      <c r="M607" s="47">
        <f>S_prem_2noRDS_1</f>
        <v>0.55000000000000004</v>
      </c>
      <c r="Q607" s="48">
        <f>c_cog+c_hosp_fu+c_CSG</f>
        <v>15766</v>
      </c>
      <c r="R607" s="48"/>
      <c r="T607" s="80"/>
      <c r="Z607" s="42"/>
      <c r="AA607" s="6"/>
    </row>
    <row r="608" spans="3:90" x14ac:dyDescent="0.3">
      <c r="G608" s="42"/>
      <c r="M608" s="48"/>
      <c r="O608" s="42"/>
      <c r="Q608" s="19" t="s">
        <v>369</v>
      </c>
      <c r="R608" s="19"/>
      <c r="T608" s="80"/>
      <c r="U608">
        <f>$K$592*$I$581*$G$602*$E$531*$C$600*$A$555*$M$607*$O$605*Q609</f>
        <v>0</v>
      </c>
      <c r="W608" s="42">
        <f>$K$593+$I$582+$G$603+$E$532+$C$601+$A$556+$M$608+$O$606+Q610</f>
        <v>65417.873010508105</v>
      </c>
      <c r="X608">
        <f>u_ChronicResp+u_CongnitiveImpairement</f>
        <v>17.805052694763283</v>
      </c>
      <c r="Z608" s="42">
        <f>U608*W608</f>
        <v>0</v>
      </c>
      <c r="AA608" s="6">
        <f>U608*X608</f>
        <v>0</v>
      </c>
    </row>
    <row r="609" spans="13:27" x14ac:dyDescent="0.3">
      <c r="M609" s="42"/>
      <c r="Q609" s="47">
        <f>Hypo2CI_2*RDS2CLD_2</f>
        <v>1.8531333333333334E-2</v>
      </c>
      <c r="R609" s="47"/>
      <c r="T609" s="80"/>
      <c r="V609">
        <v>0</v>
      </c>
      <c r="Z609" s="42"/>
      <c r="AA609" s="6"/>
    </row>
    <row r="610" spans="13:27" x14ac:dyDescent="0.3">
      <c r="M610" s="42"/>
      <c r="Q610" s="48">
        <f>c_lung+c_cog+c_hosp_fu+c_CSG</f>
        <v>58348.510902399998</v>
      </c>
      <c r="R610" s="48"/>
      <c r="T610" s="80"/>
      <c r="Z610" s="42"/>
      <c r="AA610" s="6"/>
    </row>
    <row r="611" spans="13:27" x14ac:dyDescent="0.3">
      <c r="M611" s="42"/>
      <c r="Q611" s="19" t="s">
        <v>370</v>
      </c>
      <c r="R611" s="19"/>
      <c r="T611" s="80"/>
      <c r="U611">
        <f>$K$592*$I$581*$G$602*$E$531*$C$600*$A$555*$M$607*$O$605*Q612</f>
        <v>0</v>
      </c>
      <c r="W611" s="42">
        <f>$K$593+$I$582+$G$603+$E$532+$C$601+$A$556+$M$608+$O$606+Q613</f>
        <v>21472.362108108107</v>
      </c>
      <c r="X611">
        <f>u_Healthy</f>
        <v>0</v>
      </c>
      <c r="Z611" s="42">
        <f>U611*W611</f>
        <v>0</v>
      </c>
      <c r="AA611" s="6">
        <f>U611*X611</f>
        <v>0</v>
      </c>
    </row>
    <row r="612" spans="13:27" x14ac:dyDescent="0.3">
      <c r="M612" s="42"/>
      <c r="O612" s="42"/>
      <c r="Q612" s="47">
        <f>1-Q603-Q606-Q609</f>
        <v>0.60619800000000001</v>
      </c>
      <c r="R612" s="47"/>
      <c r="T612" s="80"/>
      <c r="V612">
        <v>0</v>
      </c>
      <c r="Z612" s="42"/>
      <c r="AA612" s="6"/>
    </row>
    <row r="613" spans="13:27" x14ac:dyDescent="0.3">
      <c r="M613" s="42"/>
      <c r="Q613" s="48">
        <f>c_clinic_fu+c_CSG</f>
        <v>14403</v>
      </c>
      <c r="R613" s="48"/>
      <c r="T613" s="80"/>
      <c r="Z613" s="42"/>
      <c r="AA613" s="6"/>
    </row>
    <row r="614" spans="13:27" x14ac:dyDescent="0.3">
      <c r="M614" s="42"/>
      <c r="Q614" s="42"/>
      <c r="R614" s="42"/>
      <c r="S614" s="96"/>
      <c r="T614" s="80"/>
      <c r="Z614" s="42"/>
      <c r="AA614" s="6"/>
    </row>
    <row r="615" spans="13:27" x14ac:dyDescent="0.3">
      <c r="M615" s="42"/>
      <c r="Q615" s="19" t="s">
        <v>368</v>
      </c>
      <c r="R615" s="19"/>
      <c r="T615" s="80"/>
      <c r="U615">
        <f>$K$592*$I$581*$G$602*$E$531*$C$600*$A$555*$M$607*$O$619*Q616</f>
        <v>0</v>
      </c>
      <c r="W615" s="42">
        <f>$K$593+$I$582+$G$603+$E$532+$C$601+$A$556+$M$608+$O$620+Q617</f>
        <v>58662.612610508106</v>
      </c>
      <c r="X615">
        <f>u_ChronicResp</f>
        <v>0.53465956747782661</v>
      </c>
      <c r="Z615" s="42">
        <f>U615*W615</f>
        <v>0</v>
      </c>
      <c r="AA615" s="6">
        <f>U615*X615</f>
        <v>0</v>
      </c>
    </row>
    <row r="616" spans="13:27" x14ac:dyDescent="0.3">
      <c r="M616" s="42"/>
      <c r="Q616" s="47">
        <f>RDS2CLD_2-(RDS2CLD_2*noHypo2CI_2)</f>
        <v>0.34905610687022898</v>
      </c>
      <c r="R616" s="47"/>
      <c r="T616" s="80"/>
      <c r="V616">
        <v>0</v>
      </c>
      <c r="Z616" s="42"/>
      <c r="AA616" s="6"/>
    </row>
    <row r="617" spans="13:27" x14ac:dyDescent="0.3">
      <c r="M617" s="42"/>
      <c r="Q617" s="48">
        <f>c_lung+c_hosp_fu+c_CSG</f>
        <v>54529.510902399998</v>
      </c>
      <c r="R617" s="48"/>
      <c r="T617" s="80"/>
      <c r="Z617" s="42"/>
      <c r="AA617" s="6"/>
    </row>
    <row r="618" spans="13:27" x14ac:dyDescent="0.3">
      <c r="M618" s="42"/>
      <c r="O618" s="19" t="s">
        <v>371</v>
      </c>
      <c r="Q618" s="19" t="s">
        <v>226</v>
      </c>
      <c r="R618" s="19"/>
      <c r="T618" s="80"/>
      <c r="U618">
        <f>$K$592*$I$581*$G$602*$E$531*$C$600*$A$555*$M$607*$O$619*Q619</f>
        <v>0</v>
      </c>
      <c r="W618" s="42">
        <f>$K$593+$I$582+$G$603+$E$532+$C$601+$A$556+$M$608+$O$620+Q620</f>
        <v>19899.101708108108</v>
      </c>
      <c r="X618">
        <f>u_CongnitiveImpairement</f>
        <v>17.270393127285455</v>
      </c>
      <c r="Z618" s="42">
        <f>U618*W618</f>
        <v>0</v>
      </c>
      <c r="AA618" s="6">
        <f>U618*X618</f>
        <v>0</v>
      </c>
    </row>
    <row r="619" spans="13:27" x14ac:dyDescent="0.3">
      <c r="M619" s="42"/>
      <c r="O619" s="47">
        <f>SGA_prem_2normoglycaemia_1</f>
        <v>0.78449999999999998</v>
      </c>
      <c r="Q619" s="47">
        <f>noHypo2CI_2-(RDS2CLD_2*noHypo2CI_2)</f>
        <v>2.1141683406990762E-2</v>
      </c>
      <c r="R619" s="47"/>
      <c r="T619" s="80"/>
      <c r="V619">
        <v>0</v>
      </c>
      <c r="Z619" s="42"/>
      <c r="AA619" s="6"/>
    </row>
    <row r="620" spans="13:27" x14ac:dyDescent="0.3">
      <c r="M620" s="42"/>
      <c r="O620" s="48"/>
      <c r="Q620" s="48">
        <f>c_cog+c_hosp_fu+c_CSG</f>
        <v>15766</v>
      </c>
      <c r="R620" s="48"/>
      <c r="T620" s="80"/>
      <c r="Z620" s="42"/>
      <c r="AA620" s="6"/>
    </row>
    <row r="621" spans="13:27" x14ac:dyDescent="0.3">
      <c r="M621" s="42"/>
      <c r="Q621" s="19" t="s">
        <v>369</v>
      </c>
      <c r="R621" s="19"/>
      <c r="T621" s="80"/>
      <c r="U621">
        <f>$K$592*$I$581*$G$602*$E$531*$C$600*$A$555*$M$607*$O$619*Q622</f>
        <v>0</v>
      </c>
      <c r="W621" s="42">
        <f>$K$593+$I$582+$G$603+$E$532+$C$601+$A$556+$M$608+$O$620+Q623</f>
        <v>62481.612610508106</v>
      </c>
      <c r="X621">
        <f>u_ChronicResp+u_CongnitiveImpairement</f>
        <v>17.805052694763283</v>
      </c>
      <c r="Z621" s="42">
        <f>U621*W621</f>
        <v>0</v>
      </c>
      <c r="AA621" s="6">
        <f>U621*X621</f>
        <v>0</v>
      </c>
    </row>
    <row r="622" spans="13:27" x14ac:dyDescent="0.3">
      <c r="M622" s="42"/>
      <c r="Q622" s="47">
        <f>RDS2CLD_2*noHypo2CI_2</f>
        <v>1.1943893129770991E-2</v>
      </c>
      <c r="R622" s="47"/>
      <c r="T622" s="80"/>
      <c r="V622">
        <v>0</v>
      </c>
      <c r="Z622" s="42"/>
      <c r="AA622" s="6"/>
    </row>
    <row r="623" spans="13:27" x14ac:dyDescent="0.3">
      <c r="M623" s="42"/>
      <c r="Q623" s="48">
        <f>c_cog+c_lung+c_hosp_fu+c_CSG</f>
        <v>58348.510902399998</v>
      </c>
      <c r="R623" s="48"/>
      <c r="T623" s="80"/>
      <c r="Z623" s="42"/>
      <c r="AA623" s="6"/>
    </row>
    <row r="624" spans="13:27" x14ac:dyDescent="0.3">
      <c r="M624" s="42"/>
      <c r="Q624" s="19" t="s">
        <v>370</v>
      </c>
      <c r="R624" s="19"/>
      <c r="T624" s="80"/>
      <c r="U624">
        <f>$K$592*$I$581*$G$602*$E$531*$C$600*$A$555*$M$607*$O$619*Q625</f>
        <v>0</v>
      </c>
      <c r="W624" s="42">
        <f>$K$593+$I$582+$G$603+$E$532+$C$601+$A$556+$M$608+$O$620+Q626</f>
        <v>18536.101708108108</v>
      </c>
      <c r="X624">
        <f>u_Healthy</f>
        <v>0</v>
      </c>
      <c r="Z624" s="42">
        <f>U624*W624</f>
        <v>0</v>
      </c>
      <c r="AA624" s="6">
        <f>U624*X624</f>
        <v>0</v>
      </c>
    </row>
    <row r="625" spans="9:27" x14ac:dyDescent="0.3">
      <c r="M625" s="42"/>
      <c r="Q625" s="47">
        <f>1-Q622-Q619-Q616</f>
        <v>0.61785831659300938</v>
      </c>
      <c r="R625" s="47"/>
      <c r="T625" s="80"/>
      <c r="V625">
        <v>0</v>
      </c>
      <c r="Z625" s="42"/>
      <c r="AA625" s="6"/>
    </row>
    <row r="626" spans="9:27" x14ac:dyDescent="0.3">
      <c r="M626" s="42"/>
      <c r="Q626" s="48">
        <f>c_clinic_fu+c_CSG</f>
        <v>14403</v>
      </c>
      <c r="R626" s="48"/>
      <c r="T626" s="80"/>
      <c r="Z626" s="42"/>
      <c r="AA626" s="6"/>
    </row>
    <row r="627" spans="9:27" x14ac:dyDescent="0.3">
      <c r="M627" s="42"/>
      <c r="Q627" s="42"/>
      <c r="R627" s="42"/>
      <c r="T627" s="80"/>
      <c r="Z627" s="42"/>
      <c r="AA627" s="6"/>
    </row>
    <row r="628" spans="9:27" x14ac:dyDescent="0.3">
      <c r="K628" s="19" t="s">
        <v>165</v>
      </c>
      <c r="L628" s="19"/>
      <c r="M628" s="19"/>
      <c r="N628" s="19"/>
      <c r="O628" s="19"/>
      <c r="P628" s="19"/>
      <c r="Q628" s="19"/>
      <c r="R628" s="19"/>
      <c r="T628" s="80"/>
      <c r="U628">
        <f>$K$629*$I$637*$G$602*$E$531*$C$600*$A$555</f>
        <v>1.787912066408661E-4</v>
      </c>
      <c r="V628">
        <v>3.180512596551397E-4</v>
      </c>
      <c r="W628" s="42">
        <f>$K$630+$I$638+$G$603+$E$532+$C$601+$A$556</f>
        <v>5925.1017081081081</v>
      </c>
      <c r="X628">
        <f>u_Death</f>
        <v>19.181538114427529</v>
      </c>
      <c r="Z628" s="42">
        <f>U628*W628</f>
        <v>1.0593560838625053</v>
      </c>
      <c r="AA628" s="6">
        <f>U628*X628</f>
        <v>3.4294903447062612E-3</v>
      </c>
    </row>
    <row r="629" spans="9:27" x14ac:dyDescent="0.3">
      <c r="K629" s="47">
        <f>AGA_prem_2d_2</f>
        <v>3.1903725000000001E-2</v>
      </c>
      <c r="T629" s="80"/>
      <c r="Z629" s="42"/>
      <c r="AA629" s="6"/>
    </row>
    <row r="630" spans="9:27" x14ac:dyDescent="0.3">
      <c r="K630" s="48">
        <f>c_SB</f>
        <v>1792</v>
      </c>
      <c r="T630" s="80"/>
      <c r="Z630" s="42"/>
      <c r="AA630" s="6"/>
    </row>
    <row r="631" spans="9:27" x14ac:dyDescent="0.3">
      <c r="T631" s="80"/>
      <c r="Z631" s="42"/>
      <c r="AA631" s="6"/>
    </row>
    <row r="632" spans="9:27" x14ac:dyDescent="0.3">
      <c r="Q632" s="19" t="s">
        <v>368</v>
      </c>
      <c r="R632" s="19"/>
      <c r="T632" s="80"/>
      <c r="U632">
        <f>$K$648*$I$637*$G$602*$E$531*$C$600*$A$555*$M$643*$O$638*Q633</f>
        <v>1.254145508254514E-4</v>
      </c>
      <c r="V632">
        <v>2.0166762222624391E-4</v>
      </c>
      <c r="W632" s="42">
        <f>$K$649+$I$638+$G$603+$E$532+$C$601+$A$556+$M$644+$O$639+Q634</f>
        <v>92194.483158713745</v>
      </c>
      <c r="X632">
        <f>u_ChronicResp</f>
        <v>0.53465956747782661</v>
      </c>
      <c r="Z632" s="42">
        <f>U632*W632</f>
        <v>11.562529693934728</v>
      </c>
      <c r="AA632" s="6">
        <f>U632*X632</f>
        <v>6.7054089499761754E-5</v>
      </c>
    </row>
    <row r="633" spans="9:27" x14ac:dyDescent="0.3">
      <c r="Q633" s="47">
        <f>RDS2CLD_2-(Hypo2CI_2*RDS2CLD_2)</f>
        <v>0.34246866666666664</v>
      </c>
      <c r="R633" s="47"/>
      <c r="T633" s="80"/>
      <c r="Z633" s="42"/>
      <c r="AA633" s="6"/>
    </row>
    <row r="634" spans="9:27" x14ac:dyDescent="0.3">
      <c r="Q634" s="48">
        <f>c_lung+c_hosp_fu+c_CSG</f>
        <v>54529.510902399998</v>
      </c>
      <c r="R634" s="48"/>
      <c r="T634" s="80"/>
      <c r="Z634" s="42"/>
      <c r="AA634" s="6"/>
    </row>
    <row r="635" spans="9:27" x14ac:dyDescent="0.3">
      <c r="Q635" s="19" t="s">
        <v>226</v>
      </c>
      <c r="R635" s="19"/>
      <c r="T635" s="80"/>
      <c r="U635">
        <f>$K$648*$I$637*$G$602*$E$531*$C$600*$A$555*$M$643*$O$638*Q636</f>
        <v>1.201233425591185E-5</v>
      </c>
      <c r="V635">
        <v>1.9315931611062969E-5</v>
      </c>
      <c r="W635" s="42">
        <f>$K$649+$I$638+$G$603+$E$532+$C$601+$A$556+$M$644+$O$639+Q637</f>
        <v>53430.972256313747</v>
      </c>
      <c r="X635">
        <f>u_CongnitiveImpairement</f>
        <v>17.270393127285455</v>
      </c>
      <c r="Z635" s="42">
        <f>U635*W635</f>
        <v>0.64183069836119333</v>
      </c>
      <c r="AA635" s="6">
        <f>U635*X635</f>
        <v>2.0745773497595567E-4</v>
      </c>
    </row>
    <row r="636" spans="9:27" x14ac:dyDescent="0.3">
      <c r="I636" s="19" t="s">
        <v>425</v>
      </c>
      <c r="Q636" s="47">
        <f>Hypo2CI_2-(Hypo2CI_2*RDS2CLD_2)</f>
        <v>3.2801999999999998E-2</v>
      </c>
      <c r="R636" s="47"/>
      <c r="T636" s="80"/>
      <c r="Z636" s="42"/>
      <c r="AA636" s="6"/>
    </row>
    <row r="637" spans="9:27" x14ac:dyDescent="0.3">
      <c r="I637" s="47">
        <f>NBW_prem_2AGA_2</f>
        <v>1</v>
      </c>
      <c r="O637" s="19" t="s">
        <v>161</v>
      </c>
      <c r="Q637" s="48">
        <f>c_cog+c_hosp_fu+c_CSG</f>
        <v>15766</v>
      </c>
      <c r="R637" s="48"/>
      <c r="T637" s="80"/>
      <c r="Z637" s="42"/>
      <c r="AA637" s="6"/>
    </row>
    <row r="638" spans="9:27" x14ac:dyDescent="0.3">
      <c r="I638" s="48"/>
      <c r="O638" s="47">
        <f>AGA_prem_2hypoglycaemia_2</f>
        <v>0.15</v>
      </c>
      <c r="Q638" s="19" t="s">
        <v>369</v>
      </c>
      <c r="R638" s="19"/>
      <c r="T638" s="80"/>
      <c r="U638">
        <f>$K$648*$I$637*$G$602*$E$531*$C$600*$A$555*$M$643*$O$638*Q639</f>
        <v>6.7863109020096686E-6</v>
      </c>
      <c r="V638">
        <v>1.0912443367126341E-5</v>
      </c>
      <c r="W638" s="42">
        <f>$K$649+$I$638+$G$603+$E$532+$C$601+$A$556+$M$644+$O$639+Q640</f>
        <v>96013.483158713745</v>
      </c>
      <c r="X638">
        <f>u_ChronicResp+u_CongnitiveImpairement</f>
        <v>17.805052694763283</v>
      </c>
      <c r="Z638" s="42">
        <f>U638*W638</f>
        <v>0.65157734749990082</v>
      </c>
      <c r="AA638" s="6">
        <f>U638*X638</f>
        <v>1.208306232133287E-4</v>
      </c>
    </row>
    <row r="639" spans="9:27" x14ac:dyDescent="0.3">
      <c r="O639" s="48">
        <f>c_hypo</f>
        <v>2936.2604000000001</v>
      </c>
      <c r="Q639" s="47">
        <f>Hypo2CI_2*RDS2CLD_2</f>
        <v>1.8531333333333334E-2</v>
      </c>
      <c r="R639" s="47"/>
      <c r="T639" s="80"/>
      <c r="Z639" s="42"/>
      <c r="AA639" s="6"/>
    </row>
    <row r="640" spans="9:27" x14ac:dyDescent="0.3">
      <c r="M640" s="42"/>
      <c r="Q640" s="48">
        <f>c_lung+c_cog+c_hosp_fu+c_CSG</f>
        <v>58348.510902399998</v>
      </c>
      <c r="R640" s="48"/>
      <c r="T640" s="80"/>
      <c r="Z640" s="42"/>
      <c r="AA640" s="6"/>
    </row>
    <row r="641" spans="11:27" x14ac:dyDescent="0.3">
      <c r="Q641" s="19" t="s">
        <v>370</v>
      </c>
      <c r="R641" s="19"/>
      <c r="T641" s="80"/>
      <c r="U641">
        <f>$K$648*$I$637*$G$602*$E$531*$C$600*$A$555*$M$643*$O$638*Q642</f>
        <v>2.2199417722289046E-4</v>
      </c>
      <c r="V641">
        <v>3.5696845042263126E-4</v>
      </c>
      <c r="W641" s="42">
        <f>$K$649+$I$638+$G$603+$E$532+$C$601+$A$556+$M$644+$O$639+Q643</f>
        <v>52067.972256313747</v>
      </c>
      <c r="X641">
        <f>u_Healthy</f>
        <v>0</v>
      </c>
      <c r="Z641" s="42">
        <f>U641*W641</f>
        <v>11.558786660704659</v>
      </c>
      <c r="AA641" s="6">
        <f>U641*X641</f>
        <v>0</v>
      </c>
    </row>
    <row r="642" spans="11:27" x14ac:dyDescent="0.3">
      <c r="M642" s="19" t="s">
        <v>9</v>
      </c>
      <c r="Q642" s="47">
        <f>1-Q633-Q636-Q639</f>
        <v>0.60619800000000001</v>
      </c>
      <c r="R642" s="47"/>
      <c r="T642" s="80"/>
      <c r="Z642" s="42"/>
      <c r="AA642" s="6"/>
    </row>
    <row r="643" spans="11:27" x14ac:dyDescent="0.3">
      <c r="K643" s="42"/>
      <c r="M643" s="47">
        <f>S_prem_2RDS_2</f>
        <v>0.45</v>
      </c>
      <c r="Q643" s="48">
        <f>c_clinic_fu+c_CSG</f>
        <v>14403</v>
      </c>
      <c r="R643" s="48"/>
      <c r="T643" s="80"/>
      <c r="Z643" s="42"/>
      <c r="AA643" s="6"/>
    </row>
    <row r="644" spans="11:27" x14ac:dyDescent="0.3">
      <c r="K644" s="42"/>
      <c r="M644" s="48">
        <f>c_RDS</f>
        <v>30595.610148205637</v>
      </c>
      <c r="Q644" s="42"/>
      <c r="R644" s="42"/>
      <c r="T644" s="80"/>
      <c r="Z644" s="42"/>
      <c r="AA644" s="6"/>
    </row>
    <row r="645" spans="11:27" x14ac:dyDescent="0.3">
      <c r="Q645" s="19" t="s">
        <v>368</v>
      </c>
      <c r="R645" s="19"/>
      <c r="T645" s="80"/>
      <c r="U645">
        <f>$K$648*$I$637*$G$602*$E$531*$C$600*$A$555*$M$643*$O$648*Q646</f>
        <v>7.2435254665845737E-4</v>
      </c>
      <c r="V645">
        <v>1.1647648121902823E-3</v>
      </c>
      <c r="W645" s="42">
        <f>$K$649+$I$638+$G$603+$E$532+$C$601+$A$556+$M$644+$O$649+Q647</f>
        <v>89258.222758713746</v>
      </c>
      <c r="X645">
        <f>u_ChronicResp</f>
        <v>0.53465956747782661</v>
      </c>
      <c r="Z645" s="42">
        <f>U645*W645</f>
        <v>64.654420965482174</v>
      </c>
      <c r="AA645" s="6">
        <f>U645*X645</f>
        <v>3.8728201929787306E-4</v>
      </c>
    </row>
    <row r="646" spans="11:27" x14ac:dyDescent="0.3">
      <c r="Q646" s="47">
        <f>RDS2CLD_2-(RDS2CLD_2*noHypo2CI_2)</f>
        <v>0.34905610687022898</v>
      </c>
      <c r="R646" s="47"/>
      <c r="T646" s="80"/>
      <c r="Z646" s="42"/>
      <c r="AA646" s="6"/>
    </row>
    <row r="647" spans="11:27" x14ac:dyDescent="0.3">
      <c r="K647" s="19" t="s">
        <v>37</v>
      </c>
      <c r="M647" s="42"/>
      <c r="O647" s="19" t="s">
        <v>371</v>
      </c>
      <c r="Q647" s="48">
        <f>c_lung+c_hosp_fu+c_CSG</f>
        <v>54529.510902399998</v>
      </c>
      <c r="R647" s="48"/>
      <c r="T647" s="80"/>
      <c r="Z647" s="42"/>
      <c r="AA647" s="6"/>
    </row>
    <row r="648" spans="11:27" x14ac:dyDescent="0.3">
      <c r="K648" s="47">
        <f>AGA_prem_2s_2</f>
        <v>0.96809627499999995</v>
      </c>
      <c r="O648" s="47">
        <f>AGA_prem_2normoglycaemia_2</f>
        <v>0.85</v>
      </c>
      <c r="Q648" s="19" t="s">
        <v>226</v>
      </c>
      <c r="R648" s="19"/>
      <c r="T648" s="80"/>
      <c r="U648">
        <f>$K$648*$I$637*$G$602*$E$531*$C$600*$A$555*$M$643*$O$648*Q649</f>
        <v>4.3872695291917678E-5</v>
      </c>
      <c r="V648">
        <v>7.0547652421062041E-5</v>
      </c>
      <c r="W648" s="42">
        <f>$K$649+$I$638+$G$603+$E$532+$C$601+$A$556+$M$644+$O$649+Q650</f>
        <v>50494.711856313748</v>
      </c>
      <c r="X648">
        <f>u_CongnitiveImpairement</f>
        <v>17.270393127285455</v>
      </c>
      <c r="Z648" s="42">
        <f>U648*W648</f>
        <v>2.215339107125236</v>
      </c>
      <c r="AA648" s="6">
        <f>U648*X648</f>
        <v>7.57698695245024E-4</v>
      </c>
    </row>
    <row r="649" spans="11:27" x14ac:dyDescent="0.3">
      <c r="K649" s="48"/>
      <c r="O649" s="48"/>
      <c r="Q649" s="47">
        <f>noHypo2CI_2-(RDS2CLD_2*noHypo2CI_2)</f>
        <v>2.1141683406990762E-2</v>
      </c>
      <c r="R649" s="47"/>
      <c r="T649" s="80"/>
      <c r="Z649" s="42"/>
      <c r="AA649" s="6"/>
    </row>
    <row r="650" spans="11:27" x14ac:dyDescent="0.3">
      <c r="Q650" s="48">
        <f>c_cog+c_hosp_fu+c_CSG</f>
        <v>15766</v>
      </c>
      <c r="R650" s="48"/>
      <c r="T650" s="80"/>
      <c r="Z650" s="42"/>
      <c r="AA650" s="6"/>
    </row>
    <row r="651" spans="11:27" x14ac:dyDescent="0.3">
      <c r="Q651" s="19" t="s">
        <v>369</v>
      </c>
      <c r="R651" s="19"/>
      <c r="T651" s="80"/>
      <c r="U651">
        <f>$K$648*$I$637*$G$602*$E$531*$C$600*$A$555*$M$643*$O$648*Q652</f>
        <v>2.4785669797155369E-5</v>
      </c>
      <c r="V651">
        <v>3.9855559505482618E-5</v>
      </c>
      <c r="W651" s="42">
        <f>$K$649+$I$638+$G$603+$E$532+$C$601+$A$556+$M$644+$O$649+Q653</f>
        <v>93077.222758713746</v>
      </c>
      <c r="X651">
        <f>u_ChronicResp+u_CongnitiveImpairement</f>
        <v>17.805052694763283</v>
      </c>
      <c r="Z651" s="42">
        <f>U651*W651</f>
        <v>2.3069813089337536</v>
      </c>
      <c r="AA651" s="6">
        <f>U651*X651</f>
        <v>4.4131015681335412E-4</v>
      </c>
    </row>
    <row r="652" spans="11:27" x14ac:dyDescent="0.3">
      <c r="Q652" s="47">
        <f>RDS2CLD_2*noHypo2CI_2</f>
        <v>1.1943893129770991E-2</v>
      </c>
      <c r="R652" s="47"/>
      <c r="T652" s="80"/>
      <c r="Z652" s="42"/>
      <c r="AA652" s="6"/>
    </row>
    <row r="653" spans="11:27" x14ac:dyDescent="0.3">
      <c r="Q653" s="48">
        <f>c_cog+c_lung+c_hosp_fu+c_CSG</f>
        <v>58348.510902399998</v>
      </c>
      <c r="R653" s="48"/>
      <c r="T653" s="80"/>
      <c r="Z653" s="42"/>
      <c r="AA653" s="6"/>
    </row>
    <row r="654" spans="11:27" x14ac:dyDescent="0.3">
      <c r="Q654" s="19" t="s">
        <v>370</v>
      </c>
      <c r="R654" s="19"/>
      <c r="T654" s="80"/>
      <c r="U654">
        <f>$K$648*$I$637*$G$602*$E$531*$C$600*$A$555*$M$643*$O$648*Q655</f>
        <v>1.2821642030879624E-3</v>
      </c>
      <c r="V654">
        <v>2.0617305124365388E-3</v>
      </c>
      <c r="W654" s="42">
        <f>$K$649+$I$638+$G$603+$E$532+$C$601+$A$556+$M$644+$O$649+Q656</f>
        <v>49131.711856313748</v>
      </c>
      <c r="X654">
        <f>u_Healthy</f>
        <v>0</v>
      </c>
      <c r="Z654" s="42">
        <f>U654*W654</f>
        <v>62.994922178597911</v>
      </c>
      <c r="AA654" s="6">
        <f>U654*X654</f>
        <v>0</v>
      </c>
    </row>
    <row r="655" spans="11:27" x14ac:dyDescent="0.3">
      <c r="Q655" s="47">
        <f>1-Q652-Q649-Q646</f>
        <v>0.61785831659300938</v>
      </c>
      <c r="R655" s="47"/>
      <c r="T655" s="80"/>
      <c r="Z655" s="42"/>
      <c r="AA655" s="6"/>
    </row>
    <row r="656" spans="11:27" x14ac:dyDescent="0.3">
      <c r="Q656" s="48">
        <f>c_clinic_fu+c_CSG</f>
        <v>14403</v>
      </c>
      <c r="R656" s="48"/>
      <c r="T656" s="80"/>
      <c r="Z656" s="42"/>
      <c r="AA656" s="6"/>
    </row>
    <row r="657" spans="13:27" x14ac:dyDescent="0.3">
      <c r="Q657" s="42"/>
      <c r="R657" s="42"/>
      <c r="T657" s="80"/>
      <c r="Z657" s="42"/>
      <c r="AA657" s="6"/>
    </row>
    <row r="658" spans="13:27" x14ac:dyDescent="0.3">
      <c r="Q658" s="19" t="s">
        <v>368</v>
      </c>
      <c r="R658" s="19"/>
      <c r="T658" s="80"/>
      <c r="U658">
        <f>$K$648*$I$637*$G$602*$E$531*$C$600*$A$555*$M$663*$O$661*Q659</f>
        <v>1.5328445100888506E-4</v>
      </c>
      <c r="V658">
        <v>2.4648264938763152E-4</v>
      </c>
      <c r="W658" s="42">
        <f>$K$649+$I$638+$G$603+$E$532+$C$601+$A$556+$M$664+$O$662+Q660</f>
        <v>61598.873010508105</v>
      </c>
      <c r="X658">
        <f>u_ChronicResp</f>
        <v>0.53465956747782661</v>
      </c>
      <c r="Z658" s="42">
        <f>U658*W658</f>
        <v>9.4421494321817612</v>
      </c>
      <c r="AA658" s="6">
        <f>U658*X658</f>
        <v>8.1954998277486589E-5</v>
      </c>
    </row>
    <row r="659" spans="13:27" x14ac:dyDescent="0.3">
      <c r="Q659" s="47">
        <f>RDS2CLD_2-(Hypo2CI_2*RDS2CLD_2)</f>
        <v>0.34246866666666664</v>
      </c>
      <c r="R659" s="47"/>
      <c r="T659" s="80"/>
      <c r="Z659" s="42"/>
      <c r="AA659" s="6"/>
    </row>
    <row r="660" spans="13:27" x14ac:dyDescent="0.3">
      <c r="O660" s="19" t="s">
        <v>161</v>
      </c>
      <c r="Q660" s="48">
        <f>c_lung+c_hosp_fu+c_CSG</f>
        <v>54529.510902399998</v>
      </c>
      <c r="R660" s="48"/>
      <c r="T660" s="80"/>
      <c r="Z660" s="42"/>
      <c r="AA660" s="6"/>
    </row>
    <row r="661" spans="13:27" x14ac:dyDescent="0.3">
      <c r="O661" s="47">
        <f>AGA_prem_2hypoglycaemia_2</f>
        <v>0.15</v>
      </c>
      <c r="Q661" s="19" t="s">
        <v>226</v>
      </c>
      <c r="R661" s="19"/>
      <c r="T661" s="80"/>
      <c r="U661">
        <f>$K$648*$I$637*$G$602*$E$531*$C$600*$A$555*$M$663*$O$661*Q662</f>
        <v>1.4681741868336708E-5</v>
      </c>
      <c r="V661">
        <v>2.3608360857965852E-5</v>
      </c>
      <c r="W661" s="42">
        <f>$K$649+$I$638+$G$603+$E$532+$C$601+$A$556+$M$664+$O$662+Q663</f>
        <v>22835.362108108107</v>
      </c>
      <c r="X661">
        <f>u_CongnitiveImpairement</f>
        <v>17.270393127285455</v>
      </c>
      <c r="Z661" s="42">
        <f>U661*W661</f>
        <v>0.33526289194124037</v>
      </c>
      <c r="AA661" s="6">
        <f>U661*X661</f>
        <v>2.535594538595014E-4</v>
      </c>
    </row>
    <row r="662" spans="13:27" x14ac:dyDescent="0.3">
      <c r="M662" s="19" t="s">
        <v>203</v>
      </c>
      <c r="O662" s="48">
        <f>c_hypo</f>
        <v>2936.2604000000001</v>
      </c>
      <c r="Q662" s="47">
        <f>Hypo2CI_2-(Hypo2CI_2*RDS2CLD_2)</f>
        <v>3.2801999999999998E-2</v>
      </c>
      <c r="R662" s="47"/>
      <c r="T662" s="80"/>
      <c r="Z662" s="42"/>
      <c r="AA662" s="6"/>
    </row>
    <row r="663" spans="13:27" x14ac:dyDescent="0.3">
      <c r="M663" s="47">
        <f>S_prem_2noRDS_2</f>
        <v>0.55000000000000004</v>
      </c>
      <c r="Q663" s="48">
        <f>c_cog+c_hosp_fu+c_CSG</f>
        <v>15766</v>
      </c>
      <c r="R663" s="48"/>
      <c r="T663" s="80"/>
      <c r="Z663" s="42"/>
      <c r="AA663" s="6"/>
    </row>
    <row r="664" spans="13:27" x14ac:dyDescent="0.3">
      <c r="M664" s="48"/>
      <c r="O664" s="42"/>
      <c r="Q664" s="19" t="s">
        <v>369</v>
      </c>
      <c r="R664" s="19"/>
      <c r="T664" s="80"/>
      <c r="U664">
        <f>$K$648*$I$637*$G$602*$E$531*$C$600*$A$555*$M$663*$O$661*Q665</f>
        <v>8.2943799913451512E-6</v>
      </c>
      <c r="V664">
        <v>1.3337430782043308E-5</v>
      </c>
      <c r="W664" s="42">
        <f>$K$649+$I$638+$G$603+$E$532+$C$601+$A$556+$M$664+$O$662+Q666</f>
        <v>65417.873010508105</v>
      </c>
      <c r="X664">
        <f>u_ChronicResp+u_CongnitiveImpairement</f>
        <v>17.805052694763283</v>
      </c>
      <c r="Z664" s="42">
        <f>U664*W664</f>
        <v>0.54260069697471647</v>
      </c>
      <c r="AA664" s="6">
        <f>U664*X664</f>
        <v>1.4768187281629063E-4</v>
      </c>
    </row>
    <row r="665" spans="13:27" x14ac:dyDescent="0.3">
      <c r="M665" s="42"/>
      <c r="Q665" s="47">
        <f>Hypo2CI_2*RDS2CLD_2</f>
        <v>1.8531333333333334E-2</v>
      </c>
      <c r="R665" s="47"/>
      <c r="T665" s="80"/>
      <c r="Z665" s="42"/>
      <c r="AA665" s="6"/>
    </row>
    <row r="666" spans="13:27" x14ac:dyDescent="0.3">
      <c r="M666" s="42"/>
      <c r="Q666" s="48">
        <f>c_lung+c_cog+c_hosp_fu+c_CSG</f>
        <v>58348.510902399998</v>
      </c>
      <c r="R666" s="48"/>
      <c r="T666" s="80"/>
      <c r="Z666" s="42"/>
      <c r="AA666" s="6"/>
    </row>
    <row r="667" spans="13:27" x14ac:dyDescent="0.3">
      <c r="M667" s="42"/>
      <c r="Q667" s="19" t="s">
        <v>370</v>
      </c>
      <c r="R667" s="19"/>
      <c r="T667" s="80"/>
      <c r="U667">
        <f>$K$648*$I$637*$G$602*$E$531*$C$600*$A$555*$M$663*$O$661*Q668</f>
        <v>2.7132621660575504E-4</v>
      </c>
      <c r="V667">
        <v>4.3629477273877156E-4</v>
      </c>
      <c r="W667" s="42">
        <f>$K$649+$I$638+$G$603+$E$532+$C$601+$A$556+$M$664+$O$662+Q669</f>
        <v>21472.362108108107</v>
      </c>
      <c r="X667">
        <f>u_Healthy</f>
        <v>0</v>
      </c>
      <c r="Z667" s="42">
        <f>U667*W667</f>
        <v>5.8260147723817477</v>
      </c>
      <c r="AA667" s="6">
        <f>U667*X667</f>
        <v>0</v>
      </c>
    </row>
    <row r="668" spans="13:27" x14ac:dyDescent="0.3">
      <c r="M668" s="42"/>
      <c r="O668" s="42"/>
      <c r="Q668" s="47">
        <f>1-Q659-Q662-Q665</f>
        <v>0.60619800000000001</v>
      </c>
      <c r="R668" s="47"/>
      <c r="T668" s="80"/>
      <c r="Z668" s="42"/>
      <c r="AA668" s="6"/>
    </row>
    <row r="669" spans="13:27" x14ac:dyDescent="0.3">
      <c r="M669" s="42"/>
      <c r="Q669" s="48">
        <f>c_clinic_fu+c_CSG</f>
        <v>14403</v>
      </c>
      <c r="R669" s="48"/>
      <c r="T669" s="80"/>
      <c r="Z669" s="42"/>
      <c r="AA669" s="6"/>
    </row>
    <row r="670" spans="13:27" x14ac:dyDescent="0.3">
      <c r="M670" s="42"/>
      <c r="Q670" s="42"/>
      <c r="R670" s="42"/>
      <c r="S670" s="96"/>
      <c r="T670" s="80"/>
      <c r="Z670" s="42"/>
      <c r="AA670" s="6"/>
    </row>
    <row r="671" spans="13:27" x14ac:dyDescent="0.3">
      <c r="M671" s="42"/>
      <c r="Q671" s="19" t="s">
        <v>368</v>
      </c>
      <c r="R671" s="19"/>
      <c r="T671" s="80"/>
      <c r="U671">
        <f>$K$648*$I$637*$G$602*$E$531*$C$600*$A$555*$M$663*$O$675*Q672</f>
        <v>8.8531977924922566E-4</v>
      </c>
      <c r="V671">
        <v>1.423601437121456E-3</v>
      </c>
      <c r="W671" s="42">
        <f>$K$649+$I$638+$G$603+$E$532+$C$601+$A$556+$M$664+$O$676+Q673</f>
        <v>58662.612610508106</v>
      </c>
      <c r="X671">
        <f>u_ChronicResp</f>
        <v>0.53465956747782661</v>
      </c>
      <c r="Z671" s="42">
        <f>U671*W671</f>
        <v>51.935171246517875</v>
      </c>
      <c r="AA671" s="6">
        <f>U671*X671</f>
        <v>4.7334469025295592E-4</v>
      </c>
    </row>
    <row r="672" spans="13:27" x14ac:dyDescent="0.3">
      <c r="M672" s="42"/>
      <c r="Q672" s="47">
        <f>RDS2CLD_2-(RDS2CLD_2*noHypo2CI_2)</f>
        <v>0.34905610687022898</v>
      </c>
      <c r="R672" s="47"/>
      <c r="T672" s="80"/>
      <c r="Z672" s="42"/>
      <c r="AA672" s="6"/>
    </row>
    <row r="673" spans="7:27" x14ac:dyDescent="0.3">
      <c r="M673" s="42"/>
      <c r="Q673" s="48">
        <f>c_lung+c_hosp_fu+c_CSG</f>
        <v>54529.510902399998</v>
      </c>
      <c r="R673" s="48"/>
      <c r="T673" s="80"/>
      <c r="Z673" s="42"/>
      <c r="AA673" s="6"/>
    </row>
    <row r="674" spans="7:27" x14ac:dyDescent="0.3">
      <c r="M674" s="42"/>
      <c r="O674" s="19" t="s">
        <v>371</v>
      </c>
      <c r="Q674" s="19" t="s">
        <v>226</v>
      </c>
      <c r="R674" s="19"/>
      <c r="T674" s="80"/>
      <c r="U674">
        <f>$K$648*$I$637*$G$602*$E$531*$C$600*$A$555*$M$663*$O$675*Q675</f>
        <v>5.3622183134566054E-5</v>
      </c>
      <c r="V674">
        <v>8.6224908514631385E-5</v>
      </c>
      <c r="W674" s="42">
        <f>$K$649+$I$638+$G$603+$E$532+$C$601+$A$556+$M$664+$O$676+Q676</f>
        <v>19899.101708108108</v>
      </c>
      <c r="X674">
        <f>u_CongnitiveImpairement</f>
        <v>17.270393127285455</v>
      </c>
      <c r="Z674" s="42">
        <f>U674*W674</f>
        <v>1.0670332760055292</v>
      </c>
      <c r="AA674" s="6">
        <f>U674*X674</f>
        <v>9.2607618307725167E-4</v>
      </c>
    </row>
    <row r="675" spans="7:27" x14ac:dyDescent="0.3">
      <c r="M675" s="42"/>
      <c r="O675" s="47">
        <f>AGA_prem_2normoglycaemia_2</f>
        <v>0.85</v>
      </c>
      <c r="Q675" s="47">
        <f>noHypo2CI_2-(RDS2CLD_2*noHypo2CI_2)</f>
        <v>2.1141683406990762E-2</v>
      </c>
      <c r="R675" s="47"/>
      <c r="T675" s="80"/>
      <c r="Z675" s="42"/>
      <c r="AA675" s="6"/>
    </row>
    <row r="676" spans="7:27" x14ac:dyDescent="0.3">
      <c r="M676" s="42"/>
      <c r="O676" s="48"/>
      <c r="Q676" s="48">
        <f>c_cog+c_hosp_fu+c_CSG</f>
        <v>15766</v>
      </c>
      <c r="R676" s="48"/>
      <c r="T676" s="80"/>
      <c r="Z676" s="42"/>
      <c r="AA676" s="6"/>
    </row>
    <row r="677" spans="7:27" x14ac:dyDescent="0.3">
      <c r="G677" s="42"/>
      <c r="M677" s="42"/>
      <c r="Q677" s="19" t="s">
        <v>369</v>
      </c>
      <c r="R677" s="19"/>
      <c r="T677" s="80"/>
      <c r="U677">
        <f>$K$648*$I$637*$G$602*$E$531*$C$600*$A$555*$M$663*$O$675*Q678</f>
        <v>3.0293596418745449E-5</v>
      </c>
      <c r="V677">
        <v>4.8712350506700979E-5</v>
      </c>
      <c r="W677" s="42">
        <f>$K$649+$I$638+$G$603+$E$532+$C$601+$A$556+$M$664+$O$676+Q679</f>
        <v>62481.612610508106</v>
      </c>
      <c r="X677">
        <f>u_ChronicResp+u_CongnitiveImpairement</f>
        <v>17.805052694763283</v>
      </c>
      <c r="Z677" s="42">
        <f>U677*W677</f>
        <v>1.8927927560151288</v>
      </c>
      <c r="AA677" s="6">
        <f>U677*X677</f>
        <v>5.3937908054965504E-4</v>
      </c>
    </row>
    <row r="678" spans="7:27" x14ac:dyDescent="0.3">
      <c r="Q678" s="47">
        <f>RDS2CLD_2*noHypo2CI_2</f>
        <v>1.1943893129770991E-2</v>
      </c>
      <c r="R678" s="47"/>
      <c r="T678" s="80"/>
      <c r="Z678" s="42"/>
      <c r="AA678" s="6"/>
    </row>
    <row r="679" spans="7:27" x14ac:dyDescent="0.3">
      <c r="Q679" s="48">
        <f>c_cog+c_lung+c_hosp_fu+c_CSG</f>
        <v>58348.510902399998</v>
      </c>
      <c r="R679" s="48"/>
      <c r="T679" s="80"/>
      <c r="Z679" s="42"/>
      <c r="AA679" s="6"/>
    </row>
    <row r="680" spans="7:27" x14ac:dyDescent="0.3">
      <c r="M680" s="42"/>
      <c r="Q680" s="19" t="s">
        <v>370</v>
      </c>
      <c r="R680" s="19"/>
      <c r="T680" s="80"/>
      <c r="U680">
        <f>$K$648*$I$637*$G$602*$E$531*$C$600*$A$555*$M$663*$O$675*Q681</f>
        <v>1.567089581551954E-3</v>
      </c>
      <c r="V680">
        <v>2.5198928485335478E-3</v>
      </c>
      <c r="W680" s="42">
        <f>$K$649+$I$638+$G$603+$E$532+$C$601+$A$556+$M$664+$O$676+Q682</f>
        <v>18536.101708108108</v>
      </c>
      <c r="X680">
        <f>u_Healthy</f>
        <v>0</v>
      </c>
      <c r="Z680" s="42">
        <f>U680*W680</f>
        <v>29.047731869363595</v>
      </c>
      <c r="AA680" s="6">
        <f>U680*X680</f>
        <v>0</v>
      </c>
    </row>
    <row r="681" spans="7:27" x14ac:dyDescent="0.3">
      <c r="M681" s="42"/>
      <c r="Q681" s="47">
        <f>1-Q678-Q675-Q672</f>
        <v>0.61785831659300938</v>
      </c>
      <c r="R681" s="47"/>
      <c r="T681" s="80"/>
      <c r="Z681" s="42"/>
      <c r="AA681" s="6"/>
    </row>
    <row r="682" spans="7:27" x14ac:dyDescent="0.3">
      <c r="M682" s="42"/>
      <c r="Q682" s="48">
        <f>c_clinic_fu+c_CSG</f>
        <v>14403</v>
      </c>
      <c r="R682" s="48"/>
      <c r="T682" s="80"/>
      <c r="Z682" s="42"/>
      <c r="AA682" s="6"/>
    </row>
    <row r="683" spans="7:27" x14ac:dyDescent="0.3">
      <c r="M683" s="42"/>
      <c r="Q683" s="42"/>
      <c r="R683" s="42"/>
      <c r="T683" s="80"/>
      <c r="Z683" s="42"/>
      <c r="AA683" s="6"/>
    </row>
    <row r="684" spans="7:27" x14ac:dyDescent="0.3">
      <c r="K684" s="19" t="s">
        <v>165</v>
      </c>
      <c r="L684" s="19"/>
      <c r="M684" s="19"/>
      <c r="N684" s="19"/>
      <c r="O684" s="19"/>
      <c r="P684" s="19"/>
      <c r="Q684" s="19"/>
      <c r="R684" s="19"/>
      <c r="T684" s="80"/>
      <c r="U684">
        <f>$K$685*$I$693*$G$717*$E$754*$C$600*$A$555</f>
        <v>1.9026339711462176E-4</v>
      </c>
      <c r="V684">
        <v>6.2091620433443457E-4</v>
      </c>
      <c r="W684" s="42">
        <f>$K$686+$I$694+$G$718+$E$755+$C$601+$A$556</f>
        <v>258793.55809999997</v>
      </c>
      <c r="X684">
        <f>u_Death</f>
        <v>19.181538114427529</v>
      </c>
      <c r="Z684" s="42">
        <f>U684*W684</f>
        <v>49.238941515486232</v>
      </c>
      <c r="AA684" s="6">
        <f>U684*X684</f>
        <v>3.649544603534578E-3</v>
      </c>
    </row>
    <row r="685" spans="7:27" x14ac:dyDescent="0.3">
      <c r="K685" s="47">
        <f>SGA_term_2d_2</f>
        <v>1.1972400000000001E-2</v>
      </c>
      <c r="T685" s="80"/>
      <c r="Z685" s="42"/>
      <c r="AA685" s="6"/>
    </row>
    <row r="686" spans="7:27" x14ac:dyDescent="0.3">
      <c r="K686" s="48">
        <f>c_SB</f>
        <v>1792</v>
      </c>
      <c r="T686" s="80"/>
      <c r="Z686" s="42"/>
      <c r="AA686" s="6"/>
    </row>
    <row r="687" spans="7:27" x14ac:dyDescent="0.3">
      <c r="T687" s="80"/>
      <c r="Z687" s="42"/>
      <c r="AA687" s="6"/>
    </row>
    <row r="688" spans="7:27" x14ac:dyDescent="0.3">
      <c r="Q688" s="19" t="s">
        <v>368</v>
      </c>
      <c r="R688" s="19"/>
      <c r="T688" s="80"/>
      <c r="U688">
        <f>$K$704*$I$693*$G$717*$E$754*$C$600*$A$555*$M$699*$O$694*Q689</f>
        <v>0</v>
      </c>
      <c r="W688" s="42">
        <f>$K$705+$I$694+$G$718+$E$755+$C$601+$A$556+$M$700+$O$695+Q690</f>
        <v>345062.93955060566</v>
      </c>
      <c r="X688">
        <f>u_ChronicResp</f>
        <v>0.53465956747782661</v>
      </c>
      <c r="Z688" s="42">
        <f>U688*W688</f>
        <v>0</v>
      </c>
      <c r="AA688" s="6">
        <f>U688*X688</f>
        <v>0</v>
      </c>
    </row>
    <row r="689" spans="9:27" x14ac:dyDescent="0.3">
      <c r="Q689" s="47">
        <f>RDS2CLD_2-(Hypo2CI_2*RDS2CLD_2)</f>
        <v>0.34246866666666664</v>
      </c>
      <c r="R689" s="47"/>
      <c r="T689" s="80"/>
      <c r="V689">
        <v>0</v>
      </c>
      <c r="Z689" s="42"/>
      <c r="AA689" s="6"/>
    </row>
    <row r="690" spans="9:27" x14ac:dyDescent="0.3">
      <c r="Q690" s="48">
        <f>c_lung+c_hosp_fu+c_CSG</f>
        <v>54529.510902399998</v>
      </c>
      <c r="R690" s="48"/>
      <c r="T690" s="80"/>
      <c r="Z690" s="42"/>
      <c r="AA690" s="6"/>
    </row>
    <row r="691" spans="9:27" x14ac:dyDescent="0.3">
      <c r="Q691" s="19" t="s">
        <v>226</v>
      </c>
      <c r="R691" s="19"/>
      <c r="T691" s="80"/>
      <c r="U691">
        <f>$K$704*$I$693*$G$717*$E$754*$C$600*$A$555*$M$699*$O$694*Q692</f>
        <v>0</v>
      </c>
      <c r="W691" s="42">
        <f>$K$705+$I$694+$G$718+$E$755+$C$601+$A$556+$M$700+$O$695+Q693</f>
        <v>306299.42864820565</v>
      </c>
      <c r="X691">
        <f>u_CongnitiveImpairement</f>
        <v>17.270393127285455</v>
      </c>
      <c r="Z691" s="42">
        <f>U691*W691</f>
        <v>0</v>
      </c>
      <c r="AA691" s="6">
        <f>U691*X691</f>
        <v>0</v>
      </c>
    </row>
    <row r="692" spans="9:27" x14ac:dyDescent="0.3">
      <c r="I692" s="19" t="s">
        <v>164</v>
      </c>
      <c r="Q692" s="47">
        <f>Hypo2CI_2-(Hypo2CI_2*RDS2CLD_2)</f>
        <v>3.2801999999999998E-2</v>
      </c>
      <c r="R692" s="47"/>
      <c r="T692" s="80"/>
      <c r="V692">
        <v>0</v>
      </c>
      <c r="Z692" s="42"/>
      <c r="AA692" s="6"/>
    </row>
    <row r="693" spans="9:27" x14ac:dyDescent="0.3">
      <c r="I693" s="47">
        <f>LBW_term_2SGA_2</f>
        <v>0.9</v>
      </c>
      <c r="O693" s="19" t="s">
        <v>161</v>
      </c>
      <c r="Q693" s="48">
        <f>c_cog+c_hosp_fu+c_CSG</f>
        <v>15766</v>
      </c>
      <c r="R693" s="48"/>
      <c r="T693" s="80"/>
      <c r="Z693" s="42"/>
      <c r="AA693" s="6"/>
    </row>
    <row r="694" spans="9:27" x14ac:dyDescent="0.3">
      <c r="I694" s="48"/>
      <c r="O694" s="47">
        <f>SGA_term_2hypoglycaemia_2</f>
        <v>0.26</v>
      </c>
      <c r="Q694" s="19" t="s">
        <v>369</v>
      </c>
      <c r="R694" s="19"/>
      <c r="T694" s="80"/>
      <c r="U694">
        <f>$K$704*$I$693*$G$717*$E$754*$C$600*$A$555*$M$699*$O$694*Q695</f>
        <v>0</v>
      </c>
      <c r="W694" s="42">
        <f>$K$705+$I$694+$G$718+$E$755+$C$601+$A$556+$M$700+$O$695+Q696</f>
        <v>348881.93955060566</v>
      </c>
      <c r="X694">
        <f>u_ChronicResp+u_CongnitiveImpairement</f>
        <v>17.805052694763283</v>
      </c>
      <c r="Z694" s="42">
        <f>U694*W694</f>
        <v>0</v>
      </c>
      <c r="AA694" s="6">
        <f>U694*X694</f>
        <v>0</v>
      </c>
    </row>
    <row r="695" spans="9:27" x14ac:dyDescent="0.3">
      <c r="O695" s="48">
        <f>c_hypo</f>
        <v>2936.2604000000001</v>
      </c>
      <c r="Q695" s="47">
        <f>Hypo2CI_2*RDS2CLD_2</f>
        <v>1.8531333333333334E-2</v>
      </c>
      <c r="R695" s="47"/>
      <c r="T695" s="80"/>
      <c r="V695">
        <v>0</v>
      </c>
      <c r="Z695" s="42"/>
      <c r="AA695" s="6"/>
    </row>
    <row r="696" spans="9:27" x14ac:dyDescent="0.3">
      <c r="M696" s="42"/>
      <c r="Q696" s="48">
        <f>c_lung+c_cog+c_hosp_fu+c_CSG</f>
        <v>58348.510902399998</v>
      </c>
      <c r="R696" s="48"/>
      <c r="T696" s="80"/>
      <c r="Z696" s="42"/>
      <c r="AA696" s="6"/>
    </row>
    <row r="697" spans="9:27" x14ac:dyDescent="0.3">
      <c r="Q697" s="19" t="s">
        <v>370</v>
      </c>
      <c r="R697" s="19"/>
      <c r="T697" s="80"/>
      <c r="U697">
        <f>$K$704*$I$693*$G$717*$E$754*$C$600*$A$555*$M$699*$O$694*Q698</f>
        <v>0</v>
      </c>
      <c r="W697" s="42">
        <f>$K$705+$I$694+$G$718+$E$755+$C$601+$A$556+$M$700+$O$695+Q699</f>
        <v>304936.42864820565</v>
      </c>
      <c r="X697">
        <f>u_Healthy</f>
        <v>0</v>
      </c>
      <c r="Z697" s="42">
        <f>U697*W697</f>
        <v>0</v>
      </c>
      <c r="AA697" s="6">
        <f>U697*X697</f>
        <v>0</v>
      </c>
    </row>
    <row r="698" spans="9:27" x14ac:dyDescent="0.3">
      <c r="M698" s="19" t="s">
        <v>9</v>
      </c>
      <c r="Q698" s="47">
        <f>1-Q689-Q692-Q695</f>
        <v>0.60619800000000001</v>
      </c>
      <c r="R698" s="47"/>
      <c r="T698" s="80"/>
      <c r="V698">
        <v>0</v>
      </c>
      <c r="Z698" s="42"/>
      <c r="AA698" s="6"/>
    </row>
    <row r="699" spans="9:27" x14ac:dyDescent="0.3">
      <c r="K699" s="42"/>
      <c r="M699" s="47">
        <f>S_term_2RDS_2</f>
        <v>0</v>
      </c>
      <c r="Q699" s="48">
        <f>c_clinic_fu+c_CSG</f>
        <v>14403</v>
      </c>
      <c r="R699" s="48"/>
      <c r="T699" s="80"/>
      <c r="Z699" s="42"/>
      <c r="AA699" s="6"/>
    </row>
    <row r="700" spans="9:27" x14ac:dyDescent="0.3">
      <c r="K700" s="42"/>
      <c r="M700" s="48">
        <f>c_RDS</f>
        <v>30595.610148205637</v>
      </c>
      <c r="Q700" s="42"/>
      <c r="R700" s="42"/>
      <c r="T700" s="80"/>
      <c r="Z700" s="42"/>
      <c r="AA700" s="6"/>
    </row>
    <row r="701" spans="9:27" x14ac:dyDescent="0.3">
      <c r="Q701" s="19" t="s">
        <v>368</v>
      </c>
      <c r="R701" s="19"/>
      <c r="T701" s="80"/>
      <c r="U701">
        <f>$K$704*$I$693*$G$717*$E$754*$C$600*$A$555*$M$699*$O$704*Q702</f>
        <v>0</v>
      </c>
      <c r="W701" s="42">
        <f>$K$705+$I$694+$G$718+$E$755+$C$601+$A$556+$M$700+$O$705+Q703</f>
        <v>342126.67915060563</v>
      </c>
      <c r="X701">
        <f>u_ChronicResp</f>
        <v>0.53465956747782661</v>
      </c>
      <c r="Z701" s="42">
        <f>U701*W701</f>
        <v>0</v>
      </c>
      <c r="AA701" s="6">
        <f>U701*X701</f>
        <v>0</v>
      </c>
    </row>
    <row r="702" spans="9:27" x14ac:dyDescent="0.3">
      <c r="Q702" s="47">
        <f>RDS2CLD_2-(RDS2CLD_2*noHypo2CI_2)</f>
        <v>0.34905610687022898</v>
      </c>
      <c r="R702" s="47"/>
      <c r="T702" s="80"/>
      <c r="V702">
        <v>0</v>
      </c>
      <c r="Z702" s="42"/>
      <c r="AA702" s="6"/>
    </row>
    <row r="703" spans="9:27" x14ac:dyDescent="0.3">
      <c r="K703" s="19" t="s">
        <v>37</v>
      </c>
      <c r="M703" s="42"/>
      <c r="O703" s="19" t="s">
        <v>371</v>
      </c>
      <c r="Q703" s="48">
        <f>c_lung+c_hosp_fu+c_CSG</f>
        <v>54529.510902399998</v>
      </c>
      <c r="R703" s="48"/>
      <c r="T703" s="80"/>
      <c r="Z703" s="42"/>
      <c r="AA703" s="6"/>
    </row>
    <row r="704" spans="9:27" x14ac:dyDescent="0.3">
      <c r="K704" s="47">
        <f>SGA_term_2s_2</f>
        <v>0.98802760000000001</v>
      </c>
      <c r="O704" s="47">
        <f>SGA_term_2normoglycaemia_2</f>
        <v>0.74</v>
      </c>
      <c r="Q704" s="19" t="s">
        <v>226</v>
      </c>
      <c r="R704" s="19"/>
      <c r="T704" s="80"/>
      <c r="U704">
        <f>$K$704*$I$693*$G$717*$E$754*$C$600*$A$555*$M$699*$O$704*Q705</f>
        <v>0</v>
      </c>
      <c r="W704" s="42">
        <f>$K$705+$I$694+$G$718+$E$755+$C$601+$A$556+$M$700+$O$705+Q706</f>
        <v>303363.16824820562</v>
      </c>
      <c r="X704">
        <f>u_CongnitiveImpairement</f>
        <v>17.270393127285455</v>
      </c>
      <c r="Z704" s="42">
        <f>U704*W704</f>
        <v>0</v>
      </c>
      <c r="AA704" s="6">
        <f>U704*X704</f>
        <v>0</v>
      </c>
    </row>
    <row r="705" spans="7:27" x14ac:dyDescent="0.3">
      <c r="K705" s="48"/>
      <c r="O705" s="48"/>
      <c r="Q705" s="47">
        <f>noHypo2CI_2-(RDS2CLD_2*noHypo2CI_2)</f>
        <v>2.1141683406990762E-2</v>
      </c>
      <c r="R705" s="47"/>
      <c r="T705" s="80"/>
      <c r="V705">
        <v>0</v>
      </c>
      <c r="Z705" s="42"/>
      <c r="AA705" s="6"/>
    </row>
    <row r="706" spans="7:27" x14ac:dyDescent="0.3">
      <c r="Q706" s="48">
        <f>c_cog+c_hosp_fu+c_CSG</f>
        <v>15766</v>
      </c>
      <c r="R706" s="48"/>
      <c r="T706" s="80"/>
      <c r="Z706" s="42"/>
      <c r="AA706" s="6"/>
    </row>
    <row r="707" spans="7:27" x14ac:dyDescent="0.3">
      <c r="Q707" s="19" t="s">
        <v>369</v>
      </c>
      <c r="R707" s="19"/>
      <c r="T707" s="80"/>
      <c r="U707">
        <f>$K$704*$I$693*$G$717*$E$754*$C$600*$A$555*$M$699*$O$704*Q708</f>
        <v>0</v>
      </c>
      <c r="W707" s="42">
        <f>$K$705+$I$694+$G$718+$E$755+$C$601+$A$556+$M$700+$O$705+Q709</f>
        <v>345945.67915060563</v>
      </c>
      <c r="X707">
        <f>u_ChronicResp+u_CongnitiveImpairement</f>
        <v>17.805052694763283</v>
      </c>
      <c r="Z707" s="42">
        <f>U707*W707</f>
        <v>0</v>
      </c>
      <c r="AA707" s="6">
        <f>U707*X707</f>
        <v>0</v>
      </c>
    </row>
    <row r="708" spans="7:27" x14ac:dyDescent="0.3">
      <c r="G708" s="42"/>
      <c r="Q708" s="47">
        <f>RDS2CLD_2*noHypo2CI_2</f>
        <v>1.1943893129770991E-2</v>
      </c>
      <c r="R708" s="47"/>
      <c r="T708" s="80"/>
      <c r="V708">
        <v>0</v>
      </c>
      <c r="Z708" s="42"/>
      <c r="AA708" s="6"/>
    </row>
    <row r="709" spans="7:27" x14ac:dyDescent="0.3">
      <c r="G709" s="42"/>
      <c r="Q709" s="48">
        <f>c_cog+c_lung+c_hosp_fu+c_CSG</f>
        <v>58348.510902399998</v>
      </c>
      <c r="R709" s="48"/>
      <c r="T709" s="80"/>
      <c r="Z709" s="42"/>
      <c r="AA709" s="6"/>
    </row>
    <row r="710" spans="7:27" x14ac:dyDescent="0.3">
      <c r="Q710" s="19" t="s">
        <v>370</v>
      </c>
      <c r="R710" s="19"/>
      <c r="T710" s="80"/>
      <c r="U710">
        <f>$K$704*$I$693*$G$717*$E$754*$C$600*$A$555*$M$699*$O$704*Q711</f>
        <v>0</v>
      </c>
      <c r="W710" s="42">
        <f>$K$705+$I$694+$G$718+$E$755+$C$601+$A$556+$M$700+$O$705+Q712</f>
        <v>302000.16824820562</v>
      </c>
      <c r="X710">
        <f>u_Healthy</f>
        <v>0</v>
      </c>
      <c r="Z710" s="42">
        <f>U710*W710</f>
        <v>0</v>
      </c>
      <c r="AA710" s="6">
        <f>U710*X710</f>
        <v>0</v>
      </c>
    </row>
    <row r="711" spans="7:27" x14ac:dyDescent="0.3">
      <c r="Q711" s="47">
        <f>1-Q708-Q705-Q702</f>
        <v>0.61785831659300938</v>
      </c>
      <c r="R711" s="47"/>
      <c r="T711" s="80"/>
      <c r="V711">
        <v>0</v>
      </c>
      <c r="Z711" s="42"/>
      <c r="AA711" s="6"/>
    </row>
    <row r="712" spans="7:27" x14ac:dyDescent="0.3">
      <c r="Q712" s="48">
        <f>c_clinic_fu+c_CSG</f>
        <v>14403</v>
      </c>
      <c r="R712" s="48"/>
      <c r="T712" s="80"/>
      <c r="Z712" s="42"/>
      <c r="AA712" s="6"/>
    </row>
    <row r="713" spans="7:27" x14ac:dyDescent="0.3">
      <c r="Q713" s="42"/>
      <c r="R713" s="42"/>
      <c r="T713" s="80"/>
      <c r="Z713" s="42"/>
      <c r="AA713" s="6"/>
    </row>
    <row r="714" spans="7:27" x14ac:dyDescent="0.3">
      <c r="Q714" s="19" t="s">
        <v>368</v>
      </c>
      <c r="R714" s="19"/>
      <c r="T714" s="80"/>
      <c r="U714">
        <f>$K$704*$I$693*$G$717*$E$754*$C$600*$A$555*$M$719*$O$717*Q715</f>
        <v>1.3980969744885521E-3</v>
      </c>
      <c r="V714">
        <v>4.1331616824192988E-3</v>
      </c>
      <c r="W714" s="42">
        <f>$K$705+$I$694+$G$718+$E$755+$C$601+$A$556+$M$720+$O$718+Q716</f>
        <v>314467.32940239995</v>
      </c>
      <c r="X714">
        <f>u_ChronicResp</f>
        <v>0.53465956747782661</v>
      </c>
      <c r="Z714" s="42">
        <f>U714*W714</f>
        <v>439.65582181299027</v>
      </c>
      <c r="AA714" s="6">
        <f>U714*X714</f>
        <v>7.475059236721072E-4</v>
      </c>
    </row>
    <row r="715" spans="7:27" x14ac:dyDescent="0.3">
      <c r="Q715" s="47">
        <f>RDS2CLD_2-(Hypo2CI_2*RDS2CLD_2)</f>
        <v>0.34246866666666664</v>
      </c>
      <c r="R715" s="47"/>
      <c r="T715" s="80"/>
      <c r="Z715" s="42"/>
      <c r="AA715" s="6"/>
    </row>
    <row r="716" spans="7:27" x14ac:dyDescent="0.3">
      <c r="G716" s="19" t="s">
        <v>8</v>
      </c>
      <c r="O716" s="19" t="s">
        <v>161</v>
      </c>
      <c r="Q716" s="48">
        <f>c_lung+c_hosp_fu+c_CSG</f>
        <v>54529.510902399998</v>
      </c>
      <c r="R716" s="48"/>
      <c r="T716" s="80"/>
      <c r="Z716" s="42"/>
      <c r="AA716" s="6"/>
    </row>
    <row r="717" spans="7:27" x14ac:dyDescent="0.3">
      <c r="G717" s="47">
        <f>Term2LBW_2</f>
        <v>0.24686153846153844</v>
      </c>
      <c r="O717" s="47">
        <f>SGA_term_2hypoglycaemia_2</f>
        <v>0.26</v>
      </c>
      <c r="Q717" s="19" t="s">
        <v>226</v>
      </c>
      <c r="R717" s="19"/>
      <c r="T717" s="80"/>
      <c r="U717">
        <f>$K$704*$I$693*$G$717*$E$754*$C$600*$A$555*$M$719*$O$717*Q718</f>
        <v>1.3391116157733209E-4</v>
      </c>
      <c r="V717">
        <v>3.958784633534878E-4</v>
      </c>
      <c r="W717" s="42">
        <f>$K$705+$I$694+$G$718+$E$755+$C$601+$A$556+$M$720+$O$718+Q719</f>
        <v>275703.81849999994</v>
      </c>
      <c r="X717">
        <f>u_CongnitiveImpairement</f>
        <v>17.270393127285455</v>
      </c>
      <c r="Z717" s="42">
        <f>U717*W717</f>
        <v>36.919818586640929</v>
      </c>
      <c r="AA717" s="6">
        <f>U717*X717</f>
        <v>2.3126984045719681E-3</v>
      </c>
    </row>
    <row r="718" spans="7:27" x14ac:dyDescent="0.3">
      <c r="G718" s="48">
        <f>c_LBW</f>
        <v>254701.55809999997</v>
      </c>
      <c r="M718" s="19" t="s">
        <v>203</v>
      </c>
      <c r="O718" s="48">
        <f>c_hypo</f>
        <v>2936.2604000000001</v>
      </c>
      <c r="Q718" s="47">
        <f>Hypo2CI_2-(Hypo2CI_2*RDS2CLD_2)</f>
        <v>3.2801999999999998E-2</v>
      </c>
      <c r="R718" s="47"/>
      <c r="T718" s="80"/>
      <c r="Z718" s="42"/>
      <c r="AA718" s="6"/>
    </row>
    <row r="719" spans="7:27" x14ac:dyDescent="0.3">
      <c r="M719" s="47">
        <f>S_term_2noRDS_2</f>
        <v>1</v>
      </c>
      <c r="Q719" s="48">
        <f>c_cog+c_hosp_fu+c_CSG</f>
        <v>15766</v>
      </c>
      <c r="R719" s="48"/>
      <c r="T719" s="80"/>
      <c r="Z719" s="42"/>
      <c r="AA719" s="6"/>
    </row>
    <row r="720" spans="7:27" x14ac:dyDescent="0.3">
      <c r="M720" s="48"/>
      <c r="O720" s="42"/>
      <c r="Q720" s="19" t="s">
        <v>369</v>
      </c>
      <c r="R720" s="19"/>
      <c r="T720" s="80"/>
      <c r="U720">
        <f>$K$704*$I$693*$G$717*$E$754*$C$600*$A$555*$M$719*$O$717*Q721</f>
        <v>7.5652471564032682E-5</v>
      </c>
      <c r="V720">
        <v>2.2364964831081237E-4</v>
      </c>
      <c r="W720" s="42">
        <f>$K$705+$I$694+$G$718+$E$755+$C$601+$A$556+$M$720+$O$718+Q722</f>
        <v>318286.32940239995</v>
      </c>
      <c r="X720">
        <f>u_ChronicResp+u_CongnitiveImpairement</f>
        <v>17.805052694763283</v>
      </c>
      <c r="Z720" s="42">
        <f>U720*W720</f>
        <v>24.079147484335401</v>
      </c>
      <c r="AA720" s="6">
        <f>U720*X720</f>
        <v>1.3469962426866829E-3</v>
      </c>
    </row>
    <row r="721" spans="13:27" x14ac:dyDescent="0.3">
      <c r="M721" s="42"/>
      <c r="Q721" s="47">
        <f>Hypo2CI_2*RDS2CLD_2</f>
        <v>1.8531333333333334E-2</v>
      </c>
      <c r="R721" s="47"/>
      <c r="T721" s="80"/>
      <c r="Z721" s="42"/>
      <c r="AA721" s="6"/>
    </row>
    <row r="722" spans="13:27" x14ac:dyDescent="0.3">
      <c r="M722" s="42"/>
      <c r="Q722" s="48">
        <f>c_lung+c_cog+c_hosp_fu+c_CSG</f>
        <v>58348.510902399998</v>
      </c>
      <c r="R722" s="48"/>
      <c r="T722" s="80"/>
      <c r="Z722" s="42"/>
      <c r="AA722" s="6"/>
    </row>
    <row r="723" spans="13:27" x14ac:dyDescent="0.3">
      <c r="M723" s="42"/>
      <c r="Q723" s="19" t="s">
        <v>370</v>
      </c>
      <c r="R723" s="19"/>
      <c r="T723" s="80"/>
      <c r="U723">
        <f>$K$704*$I$693*$G$717*$E$754*$C$600*$A$555*$M$719*$O$717*Q724</f>
        <v>2.4747478301888775E-3</v>
      </c>
      <c r="V723">
        <v>7.3160396539222496E-3</v>
      </c>
      <c r="W723" s="42">
        <f>$K$705+$I$694+$G$718+$E$755+$C$601+$A$556+$M$720+$O$718+Q725</f>
        <v>274340.81849999994</v>
      </c>
      <c r="X723">
        <f>u_Healthy</f>
        <v>0</v>
      </c>
      <c r="Z723" s="42">
        <f>U723*W723</f>
        <v>678.92434531511549</v>
      </c>
      <c r="AA723" s="6">
        <f>U723*X723</f>
        <v>0</v>
      </c>
    </row>
    <row r="724" spans="13:27" x14ac:dyDescent="0.3">
      <c r="M724" s="42"/>
      <c r="O724" s="42"/>
      <c r="Q724" s="47">
        <f>1-Q715-Q718-Q721</f>
        <v>0.60619800000000001</v>
      </c>
      <c r="R724" s="47"/>
      <c r="T724" s="80"/>
      <c r="Z724" s="42"/>
      <c r="AA724" s="6"/>
    </row>
    <row r="725" spans="13:27" x14ac:dyDescent="0.3">
      <c r="M725" s="42"/>
      <c r="Q725" s="48">
        <f>c_clinic_fu+c_CSG</f>
        <v>14403</v>
      </c>
      <c r="R725" s="48"/>
      <c r="T725" s="80"/>
      <c r="Z725" s="42"/>
      <c r="AA725" s="6"/>
    </row>
    <row r="726" spans="13:27" x14ac:dyDescent="0.3">
      <c r="M726" s="42"/>
      <c r="Q726" s="42"/>
      <c r="R726" s="42"/>
      <c r="S726" s="96"/>
      <c r="T726" s="80"/>
      <c r="Z726" s="42"/>
      <c r="AA726" s="6"/>
    </row>
    <row r="727" spans="13:27" x14ac:dyDescent="0.3">
      <c r="M727" s="42"/>
      <c r="Q727" s="19" t="s">
        <v>368</v>
      </c>
      <c r="R727" s="19"/>
      <c r="T727" s="80"/>
      <c r="U727">
        <f>$K$704*$I$693*$G$717*$E$754*$C$600*$A$555*$M$719*$O$731*Q728</f>
        <v>4.0557396192684968E-3</v>
      </c>
      <c r="V727">
        <v>1.1989889037820563E-2</v>
      </c>
      <c r="W727" s="42">
        <f>$K$705+$I$694+$G$718+$E$755+$C$601+$A$556+$M$720+$O$732+Q729</f>
        <v>311531.06900239998</v>
      </c>
      <c r="X727">
        <f>u_ChronicResp</f>
        <v>0.53465956747782661</v>
      </c>
      <c r="Z727" s="42">
        <f>U727*W727</f>
        <v>1263.4888991861014</v>
      </c>
      <c r="AA727" s="6">
        <f>U727*X727</f>
        <v>2.1684399906407798E-3</v>
      </c>
    </row>
    <row r="728" spans="13:27" x14ac:dyDescent="0.3">
      <c r="M728" s="42"/>
      <c r="Q728" s="47">
        <f>RDS2CLD_2-(RDS2CLD_2*noHypo2CI_2)</f>
        <v>0.34905610687022898</v>
      </c>
      <c r="R728" s="47"/>
      <c r="T728" s="80"/>
      <c r="Z728" s="42"/>
      <c r="AA728" s="6"/>
    </row>
    <row r="729" spans="13:27" x14ac:dyDescent="0.3">
      <c r="M729" s="42"/>
      <c r="Q729" s="48">
        <f>c_lung+c_hosp_fu+c_CSG</f>
        <v>54529.510902399998</v>
      </c>
      <c r="R729" s="48"/>
      <c r="T729" s="80"/>
      <c r="Z729" s="42"/>
      <c r="AA729" s="6"/>
    </row>
    <row r="730" spans="13:27" x14ac:dyDescent="0.3">
      <c r="M730" s="42"/>
      <c r="O730" s="19" t="s">
        <v>371</v>
      </c>
      <c r="Q730" s="19" t="s">
        <v>226</v>
      </c>
      <c r="R730" s="19"/>
      <c r="T730" s="80"/>
      <c r="U730">
        <f>$K$704*$I$693*$G$717*$E$754*$C$600*$A$555*$M$719*$O$731*Q731</f>
        <v>2.4564865454034841E-4</v>
      </c>
      <c r="V730">
        <v>7.26205424094734E-4</v>
      </c>
      <c r="W730" s="42">
        <f>$K$705+$I$694+$G$718+$E$755+$C$601+$A$556+$M$720+$O$732+Q732</f>
        <v>272767.55809999997</v>
      </c>
      <c r="X730">
        <f>u_CongnitiveImpairement</f>
        <v>17.270393127285455</v>
      </c>
      <c r="Z730" s="42">
        <f>U730*W730</f>
        <v>67.004983649521307</v>
      </c>
      <c r="AA730" s="6">
        <f>U730*X730</f>
        <v>4.2424488351005523E-3</v>
      </c>
    </row>
    <row r="731" spans="13:27" x14ac:dyDescent="0.3">
      <c r="M731" s="42"/>
      <c r="O731" s="47">
        <f>SGA_term_2normoglycaemia_2</f>
        <v>0.74</v>
      </c>
      <c r="Q731" s="47">
        <f>noHypo2CI_2-(RDS2CLD_2*noHypo2CI_2)</f>
        <v>2.1141683406990762E-2</v>
      </c>
      <c r="R731" s="47"/>
      <c r="T731" s="80"/>
      <c r="Z731" s="42"/>
      <c r="AA731" s="6"/>
    </row>
    <row r="732" spans="13:27" x14ac:dyDescent="0.3">
      <c r="M732" s="42"/>
      <c r="O732" s="48"/>
      <c r="Q732" s="48">
        <f>c_cog+c_hosp_fu+c_CSG</f>
        <v>15766</v>
      </c>
      <c r="R732" s="48"/>
      <c r="T732" s="80"/>
      <c r="Z732" s="42"/>
      <c r="AA732" s="6"/>
    </row>
    <row r="733" spans="13:27" x14ac:dyDescent="0.3">
      <c r="M733" s="42"/>
      <c r="Q733" s="19" t="s">
        <v>369</v>
      </c>
      <c r="R733" s="19"/>
      <c r="T733" s="80"/>
      <c r="U733">
        <f>$K$704*$I$693*$G$717*$E$754*$C$600*$A$555*$M$719*$O$731*Q734</f>
        <v>1.3877803488116707E-4</v>
      </c>
      <c r="V733">
        <v>4.1026628810359768E-4</v>
      </c>
      <c r="W733" s="42">
        <f>$K$705+$I$694+$G$718+$E$755+$C$601+$A$556+$M$720+$O$732+Q735</f>
        <v>315350.06900239998</v>
      </c>
      <c r="X733">
        <f>u_ChronicResp+u_CongnitiveImpairement</f>
        <v>17.805052694763283</v>
      </c>
      <c r="Z733" s="42">
        <f>U733*W733</f>
        <v>43.763662875793507</v>
      </c>
      <c r="AA733" s="6">
        <f>U733*X733</f>
        <v>2.4709502239348767E-3</v>
      </c>
    </row>
    <row r="734" spans="13:27" x14ac:dyDescent="0.3">
      <c r="M734" s="42"/>
      <c r="Q734" s="47">
        <f>RDS2CLD_2*noHypo2CI_2</f>
        <v>1.1943893129770991E-2</v>
      </c>
      <c r="R734" s="47"/>
      <c r="T734" s="80"/>
      <c r="Z734" s="42"/>
      <c r="AA734" s="6"/>
    </row>
    <row r="735" spans="13:27" x14ac:dyDescent="0.3">
      <c r="M735" s="42"/>
      <c r="Q735" s="48">
        <f>c_cog+c_lung+c_hosp_fu+c_CSG</f>
        <v>58348.510902399998</v>
      </c>
      <c r="R735" s="48"/>
      <c r="T735" s="80"/>
      <c r="Z735" s="42"/>
      <c r="AA735" s="6"/>
    </row>
    <row r="736" spans="13:27" x14ac:dyDescent="0.3">
      <c r="M736" s="42"/>
      <c r="Q736" s="19" t="s">
        <v>370</v>
      </c>
      <c r="R736" s="19"/>
      <c r="T736" s="80"/>
      <c r="U736">
        <f>$K$704*$I$693*$G$717*$E$754*$C$600*$A$555*$M$719*$O$731*Q737</f>
        <v>7.1789961681788658E-3</v>
      </c>
      <c r="V736">
        <v>2.1223099986613134E-2</v>
      </c>
      <c r="W736" s="42">
        <f>$K$705+$I$694+$G$718+$E$755+$C$601+$A$556+$M$720+$O$732+Q738</f>
        <v>271404.55809999997</v>
      </c>
      <c r="X736">
        <f>u_Healthy</f>
        <v>0</v>
      </c>
      <c r="Z736" s="42">
        <f>U736*W736</f>
        <v>1948.412282626178</v>
      </c>
      <c r="AA736" s="6">
        <f>U736*X736</f>
        <v>0</v>
      </c>
    </row>
    <row r="737" spans="3:27" x14ac:dyDescent="0.3">
      <c r="M737" s="42"/>
      <c r="Q737" s="47">
        <f>1-Q734-Q731-Q728</f>
        <v>0.61785831659300938</v>
      </c>
      <c r="R737" s="47"/>
      <c r="T737" s="80"/>
      <c r="Z737" s="42"/>
      <c r="AA737" s="6"/>
    </row>
    <row r="738" spans="3:27" x14ac:dyDescent="0.3">
      <c r="C738" s="42"/>
      <c r="M738" s="42"/>
      <c r="Q738" s="48">
        <f>c_clinic_fu+c_CSG</f>
        <v>14403</v>
      </c>
      <c r="R738" s="48"/>
      <c r="T738" s="80"/>
      <c r="Z738" s="42"/>
      <c r="AA738" s="6"/>
    </row>
    <row r="739" spans="3:27" x14ac:dyDescent="0.3">
      <c r="M739" s="42"/>
      <c r="Q739" s="42"/>
      <c r="R739" s="42"/>
      <c r="T739" s="80"/>
      <c r="Z739" s="42"/>
      <c r="AA739" s="6"/>
    </row>
    <row r="740" spans="3:27" x14ac:dyDescent="0.3">
      <c r="K740" s="19" t="s">
        <v>165</v>
      </c>
      <c r="L740" s="19"/>
      <c r="M740" s="19"/>
      <c r="N740" s="19"/>
      <c r="O740" s="19"/>
      <c r="P740" s="19"/>
      <c r="Q740" s="19"/>
      <c r="R740" s="19"/>
      <c r="T740" s="80"/>
      <c r="U740">
        <f>$K$741*$I$749*$G$717*$E$754*$C$600*$A$555</f>
        <v>9.9829560214462038E-6</v>
      </c>
      <c r="V740">
        <v>0</v>
      </c>
      <c r="W740" s="42">
        <f>$K$742+$I$750+$G$718+$E$755+$C$601+$A$556</f>
        <v>258793.55809999997</v>
      </c>
      <c r="X740">
        <f>u_Death</f>
        <v>19.181538114427529</v>
      </c>
      <c r="Z740" s="42">
        <f>U740*W740</f>
        <v>2.5835247091458826</v>
      </c>
      <c r="AA740" s="6">
        <f>U740*X740</f>
        <v>1.9148845142002416E-4</v>
      </c>
    </row>
    <row r="741" spans="3:27" x14ac:dyDescent="0.3">
      <c r="K741" s="47">
        <f>AGA_term_2d_2</f>
        <v>5.6536333333333339E-3</v>
      </c>
      <c r="T741" s="80"/>
      <c r="Z741" s="42"/>
      <c r="AA741" s="6"/>
    </row>
    <row r="742" spans="3:27" x14ac:dyDescent="0.3">
      <c r="K742" s="48">
        <f>c_SB</f>
        <v>1792</v>
      </c>
      <c r="T742" s="80"/>
      <c r="Z742" s="42"/>
      <c r="AA742" s="6"/>
    </row>
    <row r="743" spans="3:27" x14ac:dyDescent="0.3">
      <c r="T743" s="80"/>
      <c r="Z743" s="42"/>
      <c r="AA743" s="6"/>
    </row>
    <row r="744" spans="3:27" x14ac:dyDescent="0.3">
      <c r="Q744" s="19" t="s">
        <v>368</v>
      </c>
      <c r="R744" s="19"/>
      <c r="T744" s="80"/>
      <c r="U744">
        <f>$K$760*$I$749*$G$717*$E$754*$C$600*$A$555*$M$755*$O$750*Q745</f>
        <v>0</v>
      </c>
      <c r="V744">
        <v>0</v>
      </c>
      <c r="W744" s="42">
        <f>$K$761+$I$750+$G$718+$E$755+$C$601+$A$556+$M$756+$O$751+Q746</f>
        <v>345062.93955060566</v>
      </c>
      <c r="X744">
        <f>u_ChronicResp</f>
        <v>0.53465956747782661</v>
      </c>
      <c r="Z744" s="42">
        <f>U744*W744</f>
        <v>0</v>
      </c>
      <c r="AA744" s="6">
        <f t="shared" ref="AA744:AA775" si="103">U744*X744</f>
        <v>0</v>
      </c>
    </row>
    <row r="745" spans="3:27" x14ac:dyDescent="0.3">
      <c r="Q745" s="47">
        <f>RDS2CLD_2-(Hypo2CI_2*RDS2CLD_2)</f>
        <v>0.34246866666666664</v>
      </c>
      <c r="R745" s="47"/>
      <c r="T745" s="80"/>
      <c r="Z745" s="42"/>
      <c r="AA745" s="6">
        <f t="shared" si="103"/>
        <v>0</v>
      </c>
    </row>
    <row r="746" spans="3:27" x14ac:dyDescent="0.3">
      <c r="Q746" s="48">
        <f>c_lung+c_hosp_fu+c_CSG</f>
        <v>54529.510902399998</v>
      </c>
      <c r="R746" s="48"/>
      <c r="T746" s="80"/>
      <c r="Z746" s="42"/>
      <c r="AA746" s="6">
        <f t="shared" si="103"/>
        <v>0</v>
      </c>
    </row>
    <row r="747" spans="3:27" x14ac:dyDescent="0.3">
      <c r="Q747" s="19" t="s">
        <v>226</v>
      </c>
      <c r="R747" s="19"/>
      <c r="T747" s="80"/>
      <c r="U747">
        <f>$K$760*$I$749*$G$717*$E$754*$C$600*$A$555*$M$755*$O$750*Q748</f>
        <v>0</v>
      </c>
      <c r="V747">
        <v>0</v>
      </c>
      <c r="W747" s="42">
        <f>$K$761+$I$750+$G$718+$E$755+$C$601+$A$556+$M$756+$O$751+Q749</f>
        <v>306299.42864820565</v>
      </c>
      <c r="X747">
        <f>u_CongnitiveImpairement</f>
        <v>17.270393127285455</v>
      </c>
      <c r="Z747" s="42">
        <f>U747*W747</f>
        <v>0</v>
      </c>
      <c r="AA747" s="6">
        <f t="shared" si="103"/>
        <v>0</v>
      </c>
    </row>
    <row r="748" spans="3:27" x14ac:dyDescent="0.3">
      <c r="I748" s="19" t="s">
        <v>425</v>
      </c>
      <c r="Q748" s="47">
        <f>Hypo2CI_2-(Hypo2CI_2*RDS2CLD_2)</f>
        <v>3.2801999999999998E-2</v>
      </c>
      <c r="R748" s="47"/>
      <c r="T748" s="80"/>
      <c r="Z748" s="42"/>
      <c r="AA748" s="6">
        <f t="shared" si="103"/>
        <v>0</v>
      </c>
    </row>
    <row r="749" spans="3:27" x14ac:dyDescent="0.3">
      <c r="I749" s="47">
        <f>LBW_term_2AGA_2</f>
        <v>9.9999999999999978E-2</v>
      </c>
      <c r="O749" s="19" t="s">
        <v>161</v>
      </c>
      <c r="Q749" s="48">
        <f>c_cog+c_hosp_fu+c_CSG</f>
        <v>15766</v>
      </c>
      <c r="R749" s="48"/>
      <c r="T749" s="80"/>
      <c r="Z749" s="42"/>
      <c r="AA749" s="6">
        <f t="shared" si="103"/>
        <v>0</v>
      </c>
    </row>
    <row r="750" spans="3:27" x14ac:dyDescent="0.3">
      <c r="I750" s="48"/>
      <c r="O750" s="47">
        <f>AGA_term_2hypoglycaemia_2</f>
        <v>0</v>
      </c>
      <c r="Q750" s="19" t="s">
        <v>369</v>
      </c>
      <c r="R750" s="19"/>
      <c r="T750" s="80"/>
      <c r="U750">
        <f>$K$760*$I$749*$G$717*$E$754*$C$600*$A$555*$M$755*$O$750*Q751</f>
        <v>0</v>
      </c>
      <c r="V750">
        <v>0</v>
      </c>
      <c r="W750" s="42">
        <f>$K$761+$I$750+$G$718+$E$755+$C$601+$A$556+$M$756+$O$751+Q752</f>
        <v>348881.93955060566</v>
      </c>
      <c r="X750">
        <f>u_ChronicResp+u_CongnitiveImpairement</f>
        <v>17.805052694763283</v>
      </c>
      <c r="Z750" s="42">
        <f>U750*W750</f>
        <v>0</v>
      </c>
      <c r="AA750" s="6">
        <f t="shared" si="103"/>
        <v>0</v>
      </c>
    </row>
    <row r="751" spans="3:27" x14ac:dyDescent="0.3">
      <c r="O751" s="48">
        <f>c_hypo</f>
        <v>2936.2604000000001</v>
      </c>
      <c r="Q751" s="47">
        <f>Hypo2CI_2*RDS2CLD_2</f>
        <v>1.8531333333333334E-2</v>
      </c>
      <c r="R751" s="47"/>
      <c r="T751" s="80"/>
      <c r="Z751" s="42"/>
      <c r="AA751" s="6">
        <f t="shared" si="103"/>
        <v>0</v>
      </c>
    </row>
    <row r="752" spans="3:27" x14ac:dyDescent="0.3">
      <c r="M752" s="42"/>
      <c r="Q752" s="48">
        <f>c_lung+c_cog+c_hosp_fu+c_CSG</f>
        <v>58348.510902399998</v>
      </c>
      <c r="R752" s="48"/>
      <c r="T752" s="80"/>
      <c r="Z752" s="42"/>
      <c r="AA752" s="6">
        <f t="shared" si="103"/>
        <v>0</v>
      </c>
    </row>
    <row r="753" spans="5:27" x14ac:dyDescent="0.3">
      <c r="E753" s="19" t="s">
        <v>11</v>
      </c>
      <c r="Q753" s="19" t="s">
        <v>370</v>
      </c>
      <c r="R753" s="19"/>
      <c r="T753" s="80"/>
      <c r="U753">
        <f>$K$760*$I$749*$G$717*$E$754*$C$600*$A$555*$M$755*$O$750*Q754</f>
        <v>0</v>
      </c>
      <c r="V753">
        <v>0</v>
      </c>
      <c r="W753" s="42">
        <f>$K$761+$I$750+$G$718+$E$755+$C$601+$A$556+$M$756+$O$751+Q755</f>
        <v>304936.42864820565</v>
      </c>
      <c r="X753">
        <f>u_Healthy</f>
        <v>0</v>
      </c>
      <c r="Z753" s="42">
        <f>U753*W753</f>
        <v>0</v>
      </c>
      <c r="AA753" s="6">
        <f t="shared" si="103"/>
        <v>0</v>
      </c>
    </row>
    <row r="754" spans="5:27" x14ac:dyDescent="0.3">
      <c r="E754" s="47">
        <f>LB2term_2</f>
        <v>0.86823117338003497</v>
      </c>
      <c r="M754" s="19" t="s">
        <v>9</v>
      </c>
      <c r="Q754" s="47">
        <f>1-Q745-Q748-Q751</f>
        <v>0.60619800000000001</v>
      </c>
      <c r="R754" s="47"/>
      <c r="T754" s="80"/>
      <c r="Z754" s="42"/>
      <c r="AA754" s="6">
        <f t="shared" si="103"/>
        <v>0</v>
      </c>
    </row>
    <row r="755" spans="5:27" x14ac:dyDescent="0.3">
      <c r="E755" s="48"/>
      <c r="K755" s="42"/>
      <c r="M755" s="47">
        <f>S_term_2RDS_2</f>
        <v>0</v>
      </c>
      <c r="Q755" s="48">
        <f>c_clinic_fu+c_CSG</f>
        <v>14403</v>
      </c>
      <c r="R755" s="48"/>
      <c r="T755" s="80"/>
      <c r="Z755" s="42"/>
      <c r="AA755" s="6">
        <f t="shared" si="103"/>
        <v>0</v>
      </c>
    </row>
    <row r="756" spans="5:27" x14ac:dyDescent="0.3">
      <c r="K756" s="42"/>
      <c r="M756" s="48">
        <f>c_RDS</f>
        <v>30595.610148205637</v>
      </c>
      <c r="Q756" s="42"/>
      <c r="R756" s="42"/>
      <c r="T756" s="80"/>
      <c r="Z756" s="42"/>
      <c r="AA756" s="6">
        <f t="shared" si="103"/>
        <v>0</v>
      </c>
    </row>
    <row r="757" spans="5:27" x14ac:dyDescent="0.3">
      <c r="Q757" s="19" t="s">
        <v>368</v>
      </c>
      <c r="R757" s="19"/>
      <c r="T757" s="80"/>
      <c r="U757">
        <f>$K$760*$I$749*$G$717*$E$754*$C$600*$A$555*$M$755*$O$760*Q758</f>
        <v>0</v>
      </c>
      <c r="V757">
        <v>0</v>
      </c>
      <c r="W757" s="42">
        <f>$K$761+$I$750+$G$718+$E$755+$C$601+$A$556+$M$756+$O$761+Q759</f>
        <v>342126.67915060563</v>
      </c>
      <c r="X757">
        <f>u_ChronicResp</f>
        <v>0.53465956747782661</v>
      </c>
      <c r="Z757" s="42">
        <f>U757*W757</f>
        <v>0</v>
      </c>
      <c r="AA757" s="6">
        <f t="shared" si="103"/>
        <v>0</v>
      </c>
    </row>
    <row r="758" spans="5:27" x14ac:dyDescent="0.3">
      <c r="Q758" s="47">
        <f>RDS2CLD_2-(RDS2CLD_2*noHypo2CI_2)</f>
        <v>0.34905610687022898</v>
      </c>
      <c r="R758" s="47"/>
      <c r="T758" s="80"/>
      <c r="Z758" s="42"/>
      <c r="AA758" s="6">
        <f t="shared" si="103"/>
        <v>0</v>
      </c>
    </row>
    <row r="759" spans="5:27" x14ac:dyDescent="0.3">
      <c r="K759" s="19" t="s">
        <v>37</v>
      </c>
      <c r="M759" s="42"/>
      <c r="O759" s="19" t="s">
        <v>371</v>
      </c>
      <c r="Q759" s="48">
        <f>c_lung+c_hosp_fu+c_CSG</f>
        <v>54529.510902399998</v>
      </c>
      <c r="R759" s="48"/>
      <c r="T759" s="80"/>
      <c r="Z759" s="42"/>
      <c r="AA759" s="6">
        <f t="shared" si="103"/>
        <v>0</v>
      </c>
    </row>
    <row r="760" spans="5:27" x14ac:dyDescent="0.3">
      <c r="K760" s="47">
        <f>AGA_term_2s_2</f>
        <v>0.99434636666666665</v>
      </c>
      <c r="O760" s="47">
        <f>AGA_term_2normoglycaemia_2</f>
        <v>1</v>
      </c>
      <c r="Q760" s="19" t="s">
        <v>226</v>
      </c>
      <c r="R760" s="19"/>
      <c r="T760" s="80"/>
      <c r="U760">
        <f>$K$760*$I$749*$G$717*$E$754*$C$600*$A$555*$M$755*$O$760*Q761</f>
        <v>0</v>
      </c>
      <c r="V760">
        <v>0</v>
      </c>
      <c r="W760" s="42">
        <f>$K$761+$I$750+$G$718+$E$755+$C$601+$A$556+$M$756+$O$761+Q762</f>
        <v>303363.16824820562</v>
      </c>
      <c r="X760">
        <f>u_CongnitiveImpairement</f>
        <v>17.270393127285455</v>
      </c>
      <c r="Z760" s="42">
        <f>U760*W760</f>
        <v>0</v>
      </c>
      <c r="AA760" s="6">
        <f t="shared" si="103"/>
        <v>0</v>
      </c>
    </row>
    <row r="761" spans="5:27" x14ac:dyDescent="0.3">
      <c r="K761" s="48"/>
      <c r="O761" s="48"/>
      <c r="Q761" s="47">
        <f>noHypo2CI_2-(RDS2CLD_2*noHypo2CI_2)</f>
        <v>2.1141683406990762E-2</v>
      </c>
      <c r="R761" s="47"/>
      <c r="T761" s="80"/>
      <c r="Z761" s="42"/>
      <c r="AA761" s="6">
        <f t="shared" si="103"/>
        <v>0</v>
      </c>
    </row>
    <row r="762" spans="5:27" x14ac:dyDescent="0.3">
      <c r="Q762" s="48">
        <f>c_cog+c_hosp_fu+c_CSG</f>
        <v>15766</v>
      </c>
      <c r="R762" s="48"/>
      <c r="T762" s="80"/>
      <c r="Z762" s="42"/>
      <c r="AA762" s="6">
        <f t="shared" si="103"/>
        <v>0</v>
      </c>
    </row>
    <row r="763" spans="5:27" x14ac:dyDescent="0.3">
      <c r="Q763" s="19" t="s">
        <v>369</v>
      </c>
      <c r="R763" s="19"/>
      <c r="T763" s="80"/>
      <c r="U763">
        <f>$K$760*$I$749*$G$717*$E$754*$C$600*$A$555*$M$755*$O$760*Q764</f>
        <v>0</v>
      </c>
      <c r="V763">
        <v>0</v>
      </c>
      <c r="W763" s="42">
        <f>$K$761+$I$750+$G$718+$E$755+$C$601+$A$556+$M$756+$O$761+Q765</f>
        <v>345945.67915060563</v>
      </c>
      <c r="X763">
        <f>u_ChronicResp+u_CongnitiveImpairement</f>
        <v>17.805052694763283</v>
      </c>
      <c r="Z763" s="42">
        <f>U763*W763</f>
        <v>0</v>
      </c>
      <c r="AA763" s="6">
        <f t="shared" si="103"/>
        <v>0</v>
      </c>
    </row>
    <row r="764" spans="5:27" x14ac:dyDescent="0.3">
      <c r="Q764" s="47">
        <f>RDS2CLD_2*noHypo2CI_2</f>
        <v>1.1943893129770991E-2</v>
      </c>
      <c r="R764" s="47"/>
      <c r="T764" s="80"/>
      <c r="Z764" s="42"/>
      <c r="AA764" s="6">
        <f t="shared" si="103"/>
        <v>0</v>
      </c>
    </row>
    <row r="765" spans="5:27" x14ac:dyDescent="0.3">
      <c r="Q765" s="48">
        <f>c_cog+c_lung+c_hosp_fu+c_CSG</f>
        <v>58348.510902399998</v>
      </c>
      <c r="R765" s="48"/>
      <c r="T765" s="80"/>
      <c r="Z765" s="42"/>
      <c r="AA765" s="6">
        <f t="shared" si="103"/>
        <v>0</v>
      </c>
    </row>
    <row r="766" spans="5:27" x14ac:dyDescent="0.3">
      <c r="Q766" s="19" t="s">
        <v>370</v>
      </c>
      <c r="R766" s="19"/>
      <c r="T766" s="80"/>
      <c r="U766">
        <f>$K$760*$I$749*$G$717*$E$754*$C$600*$A$555*$M$755*$O$760*Q767</f>
        <v>0</v>
      </c>
      <c r="V766">
        <v>0</v>
      </c>
      <c r="W766" s="42">
        <f>$K$761+$I$750+$G$718+$E$755+$C$601+$A$556+$M$756+$O$761+Q768</f>
        <v>302000.16824820562</v>
      </c>
      <c r="X766">
        <f>u_Healthy</f>
        <v>0</v>
      </c>
      <c r="Z766" s="42">
        <f>U766*W766</f>
        <v>0</v>
      </c>
      <c r="AA766" s="6">
        <f t="shared" si="103"/>
        <v>0</v>
      </c>
    </row>
    <row r="767" spans="5:27" x14ac:dyDescent="0.3">
      <c r="Q767" s="47">
        <f>1-Q764-Q761-Q758</f>
        <v>0.61785831659300938</v>
      </c>
      <c r="R767" s="47"/>
      <c r="T767" s="80"/>
      <c r="Z767" s="42"/>
      <c r="AA767" s="6">
        <f t="shared" si="103"/>
        <v>0</v>
      </c>
    </row>
    <row r="768" spans="5:27" x14ac:dyDescent="0.3">
      <c r="Q768" s="48">
        <f>c_clinic_fu+c_CSG</f>
        <v>14403</v>
      </c>
      <c r="R768" s="48"/>
      <c r="T768" s="80"/>
      <c r="Z768" s="42"/>
      <c r="AA768" s="6">
        <f t="shared" si="103"/>
        <v>0</v>
      </c>
    </row>
    <row r="769" spans="13:27" x14ac:dyDescent="0.3">
      <c r="Q769" s="42"/>
      <c r="R769" s="42"/>
      <c r="T769" s="80"/>
      <c r="Z769" s="42"/>
      <c r="AA769" s="6">
        <f t="shared" si="103"/>
        <v>0</v>
      </c>
    </row>
    <row r="770" spans="13:27" x14ac:dyDescent="0.3">
      <c r="Q770" s="19" t="s">
        <v>368</v>
      </c>
      <c r="R770" s="19"/>
      <c r="T770" s="80"/>
      <c r="U770">
        <f>$K$760*$I$749*$G$717*$E$754*$C$600*$A$555*$M$775*$O$773*Q771</f>
        <v>0</v>
      </c>
      <c r="V770">
        <v>0</v>
      </c>
      <c r="W770" s="42">
        <f>$K$761+$I$750+$G$718+$E$755+$C$601+$A$556+$M$776+$O$774+Q772</f>
        <v>314467.32940239995</v>
      </c>
      <c r="X770">
        <f>u_ChronicResp</f>
        <v>0.53465956747782661</v>
      </c>
      <c r="Z770" s="42">
        <f>U770*W770</f>
        <v>0</v>
      </c>
      <c r="AA770" s="6">
        <f t="shared" si="103"/>
        <v>0</v>
      </c>
    </row>
    <row r="771" spans="13:27" x14ac:dyDescent="0.3">
      <c r="Q771" s="47">
        <f>RDS2CLD_2-(Hypo2CI_2*RDS2CLD_2)</f>
        <v>0.34246866666666664</v>
      </c>
      <c r="R771" s="47"/>
      <c r="T771" s="80"/>
      <c r="Z771" s="42"/>
      <c r="AA771" s="6">
        <f t="shared" si="103"/>
        <v>0</v>
      </c>
    </row>
    <row r="772" spans="13:27" x14ac:dyDescent="0.3">
      <c r="O772" s="19" t="s">
        <v>161</v>
      </c>
      <c r="Q772" s="48">
        <f>c_lung+c_hosp_fu+c_CSG</f>
        <v>54529.510902399998</v>
      </c>
      <c r="R772" s="48"/>
      <c r="T772" s="80"/>
      <c r="Z772" s="42"/>
      <c r="AA772" s="6">
        <f t="shared" si="103"/>
        <v>0</v>
      </c>
    </row>
    <row r="773" spans="13:27" x14ac:dyDescent="0.3">
      <c r="O773" s="47">
        <f>AGA_term_2hypoglycaemia_2</f>
        <v>0</v>
      </c>
      <c r="Q773" s="19" t="s">
        <v>226</v>
      </c>
      <c r="R773" s="19"/>
      <c r="T773" s="80"/>
      <c r="U773">
        <f>$K$760*$I$749*$G$717*$E$754*$C$600*$A$555*$M$775*$O$773*Q774</f>
        <v>0</v>
      </c>
      <c r="V773">
        <v>0</v>
      </c>
      <c r="W773" s="42">
        <f>$K$761+$I$750+$G$718+$E$755+$C$601+$A$556+$M$776+$O$774+Q775</f>
        <v>275703.81849999994</v>
      </c>
      <c r="X773">
        <f>u_CongnitiveImpairement</f>
        <v>17.270393127285455</v>
      </c>
      <c r="Z773" s="42">
        <f>U773*W773</f>
        <v>0</v>
      </c>
      <c r="AA773" s="6">
        <f t="shared" si="103"/>
        <v>0</v>
      </c>
    </row>
    <row r="774" spans="13:27" x14ac:dyDescent="0.3">
      <c r="M774" s="19" t="s">
        <v>203</v>
      </c>
      <c r="O774" s="48">
        <f>c_hypo</f>
        <v>2936.2604000000001</v>
      </c>
      <c r="Q774" s="47">
        <f>Hypo2CI_2-(Hypo2CI_2*RDS2CLD_2)</f>
        <v>3.2801999999999998E-2</v>
      </c>
      <c r="R774" s="47"/>
      <c r="T774" s="80"/>
      <c r="Z774" s="42"/>
      <c r="AA774" s="6">
        <f t="shared" si="103"/>
        <v>0</v>
      </c>
    </row>
    <row r="775" spans="13:27" x14ac:dyDescent="0.3">
      <c r="M775" s="47">
        <f>S_term_2noRDS_2</f>
        <v>1</v>
      </c>
      <c r="Q775" s="48">
        <f>c_cog+c_hosp_fu+c_CSG</f>
        <v>15766</v>
      </c>
      <c r="R775" s="48"/>
      <c r="T775" s="80"/>
      <c r="Z775" s="42"/>
      <c r="AA775" s="6">
        <f t="shared" si="103"/>
        <v>0</v>
      </c>
    </row>
    <row r="776" spans="13:27" x14ac:dyDescent="0.3">
      <c r="M776" s="48"/>
      <c r="O776" s="42"/>
      <c r="Q776" s="19" t="s">
        <v>369</v>
      </c>
      <c r="R776" s="19"/>
      <c r="T776" s="80"/>
      <c r="U776">
        <f>$K$760*$I$749*$G$717*$E$754*$C$600*$A$555*$M$775*$O$773*Q777</f>
        <v>0</v>
      </c>
      <c r="V776">
        <v>0</v>
      </c>
      <c r="W776" s="42">
        <f>$K$761+$I$750+$G$718+$E$755+$C$601+$A$556+$M$776+$O$774+Q778</f>
        <v>318286.32940239995</v>
      </c>
      <c r="X776">
        <f>u_ChronicResp+u_CongnitiveImpairement</f>
        <v>17.805052694763283</v>
      </c>
      <c r="Z776" s="42">
        <f>U776*W776</f>
        <v>0</v>
      </c>
      <c r="AA776" s="6">
        <f t="shared" ref="AA776:AA807" si="104">U776*X776</f>
        <v>0</v>
      </c>
    </row>
    <row r="777" spans="13:27" x14ac:dyDescent="0.3">
      <c r="M777" s="42"/>
      <c r="Q777" s="47">
        <f>Hypo2CI_2*RDS2CLD_2</f>
        <v>1.8531333333333334E-2</v>
      </c>
      <c r="R777" s="47"/>
      <c r="T777" s="80"/>
      <c r="Z777" s="42"/>
      <c r="AA777" s="6">
        <f t="shared" si="104"/>
        <v>0</v>
      </c>
    </row>
    <row r="778" spans="13:27" x14ac:dyDescent="0.3">
      <c r="M778" s="42"/>
      <c r="Q778" s="48">
        <f>c_lung+c_cog+c_hosp_fu+c_CSG</f>
        <v>58348.510902399998</v>
      </c>
      <c r="R778" s="48"/>
      <c r="T778" s="80"/>
      <c r="Z778" s="42"/>
      <c r="AA778" s="6">
        <f t="shared" si="104"/>
        <v>0</v>
      </c>
    </row>
    <row r="779" spans="13:27" x14ac:dyDescent="0.3">
      <c r="M779" s="42"/>
      <c r="Q779" s="19" t="s">
        <v>370</v>
      </c>
      <c r="R779" s="19"/>
      <c r="T779" s="80"/>
      <c r="U779">
        <f>$K$760*$I$749*$G$717*$E$754*$C$600*$A$555*$M$775*$O$773*Q780</f>
        <v>0</v>
      </c>
      <c r="V779">
        <v>0</v>
      </c>
      <c r="W779" s="42">
        <f>$K$761+$I$750+$G$718+$E$755+$C$601+$A$556+$M$776+$O$774+Q781</f>
        <v>274340.81849999994</v>
      </c>
      <c r="X779">
        <f>u_Healthy</f>
        <v>0</v>
      </c>
      <c r="Z779" s="42">
        <f>U779*W779</f>
        <v>0</v>
      </c>
      <c r="AA779" s="6">
        <f t="shared" si="104"/>
        <v>0</v>
      </c>
    </row>
    <row r="780" spans="13:27" x14ac:dyDescent="0.3">
      <c r="M780" s="42"/>
      <c r="O780" s="42"/>
      <c r="Q780" s="47">
        <f>1-Q771-Q774-Q777</f>
        <v>0.60619800000000001</v>
      </c>
      <c r="R780" s="47"/>
      <c r="T780" s="80"/>
      <c r="Z780" s="42"/>
      <c r="AA780" s="6">
        <f t="shared" si="104"/>
        <v>0</v>
      </c>
    </row>
    <row r="781" spans="13:27" x14ac:dyDescent="0.3">
      <c r="M781" s="42"/>
      <c r="Q781" s="48">
        <f>c_clinic_fu+c_CSG</f>
        <v>14403</v>
      </c>
      <c r="R781" s="48"/>
      <c r="T781" s="80"/>
      <c r="Z781" s="42"/>
      <c r="AA781" s="6">
        <f t="shared" si="104"/>
        <v>0</v>
      </c>
    </row>
    <row r="782" spans="13:27" x14ac:dyDescent="0.3">
      <c r="M782" s="42"/>
      <c r="Q782" s="42"/>
      <c r="R782" s="42"/>
      <c r="S782" s="96"/>
      <c r="T782" s="80"/>
      <c r="Z782" s="42"/>
      <c r="AA782" s="6">
        <f t="shared" si="104"/>
        <v>0</v>
      </c>
    </row>
    <row r="783" spans="13:27" x14ac:dyDescent="0.3">
      <c r="M783" s="42"/>
      <c r="Q783" s="19" t="s">
        <v>368</v>
      </c>
      <c r="R783" s="19"/>
      <c r="T783" s="80"/>
      <c r="U783">
        <f>$K$760*$I$749*$G$717*$E$754*$C$600*$A$555*$M$775*$O$787*Q784</f>
        <v>6.128644788921452E-4</v>
      </c>
      <c r="V783">
        <v>0</v>
      </c>
      <c r="W783" s="42">
        <f>$K$761+$I$750+$G$718+$E$755+$C$601+$A$556+$M$776+$O$788+Q785</f>
        <v>311531.06900239998</v>
      </c>
      <c r="X783">
        <f>u_ChronicResp</f>
        <v>0.53465956747782661</v>
      </c>
      <c r="Z783" s="42">
        <f>U783*W783</f>
        <v>190.9263262628688</v>
      </c>
      <c r="AA783" s="6">
        <f t="shared" si="104"/>
        <v>3.2767385720699793E-4</v>
      </c>
    </row>
    <row r="784" spans="13:27" x14ac:dyDescent="0.3">
      <c r="M784" s="42"/>
      <c r="Q784" s="47">
        <f>RDS2CLD_2-(RDS2CLD_2*noHypo2CI_2)</f>
        <v>0.34905610687022898</v>
      </c>
      <c r="R784" s="47"/>
      <c r="T784" s="80"/>
      <c r="Z784" s="42"/>
      <c r="AA784" s="6">
        <f t="shared" si="104"/>
        <v>0</v>
      </c>
    </row>
    <row r="785" spans="11:27" x14ac:dyDescent="0.3">
      <c r="M785" s="42"/>
      <c r="Q785" s="48">
        <f>c_lung+c_hosp_fu+c_CSG</f>
        <v>54529.510902399998</v>
      </c>
      <c r="R785" s="48"/>
      <c r="T785" s="80"/>
      <c r="Z785" s="42"/>
      <c r="AA785" s="6">
        <f t="shared" si="104"/>
        <v>0</v>
      </c>
    </row>
    <row r="786" spans="11:27" x14ac:dyDescent="0.3">
      <c r="M786" s="42"/>
      <c r="O786" s="19" t="s">
        <v>371</v>
      </c>
      <c r="Q786" s="19" t="s">
        <v>226</v>
      </c>
      <c r="R786" s="19"/>
      <c r="T786" s="80"/>
      <c r="U786">
        <f>$K$760*$I$749*$G$717*$E$754*$C$600*$A$555*$M$775*$O$787*Q787</f>
        <v>3.7120069035048325E-5</v>
      </c>
      <c r="V786">
        <v>0</v>
      </c>
      <c r="W786" s="42">
        <f>$K$761+$I$750+$G$718+$E$755+$C$601+$A$556+$M$776+$O$788+Q788</f>
        <v>272767.55809999997</v>
      </c>
      <c r="X786">
        <f>u_CongnitiveImpairement</f>
        <v>17.270393127285455</v>
      </c>
      <c r="Z786" s="42">
        <f>U786*W786</f>
        <v>10.125150587193554</v>
      </c>
      <c r="AA786" s="6">
        <f t="shared" si="104"/>
        <v>6.4107818514726027E-4</v>
      </c>
    </row>
    <row r="787" spans="11:27" x14ac:dyDescent="0.3">
      <c r="M787" s="42"/>
      <c r="O787" s="47">
        <f>AGA_term_2normoglycaemia_2</f>
        <v>1</v>
      </c>
      <c r="Q787" s="47">
        <f>noHypo2CI_2-(RDS2CLD_2*noHypo2CI_2)</f>
        <v>2.1141683406990762E-2</v>
      </c>
      <c r="R787" s="47"/>
      <c r="T787" s="80"/>
      <c r="Z787" s="42"/>
      <c r="AA787" s="6">
        <f t="shared" si="104"/>
        <v>0</v>
      </c>
    </row>
    <row r="788" spans="11:27" x14ac:dyDescent="0.3">
      <c r="M788" s="42"/>
      <c r="O788" s="48"/>
      <c r="Q788" s="48">
        <f>c_cog+c_hosp_fu+c_CSG</f>
        <v>15766</v>
      </c>
      <c r="R788" s="48"/>
      <c r="T788" s="80"/>
      <c r="Z788" s="42"/>
      <c r="AA788" s="6">
        <f t="shared" si="104"/>
        <v>0</v>
      </c>
    </row>
    <row r="789" spans="11:27" x14ac:dyDescent="0.3">
      <c r="M789" s="42"/>
      <c r="Q789" s="19" t="s">
        <v>369</v>
      </c>
      <c r="R789" s="19"/>
      <c r="T789" s="80"/>
      <c r="U789">
        <f>$K$760*$I$749*$G$717*$E$754*$C$600*$A$555*$M$775*$O$787*Q790</f>
        <v>2.0970805824182227E-5</v>
      </c>
      <c r="V789">
        <v>0</v>
      </c>
      <c r="W789" s="42">
        <f>$K$761+$I$750+$G$718+$E$755+$C$601+$A$556+$M$776+$O$788+Q791</f>
        <v>315350.06900239998</v>
      </c>
      <c r="X789">
        <f>u_ChronicResp+u_CongnitiveImpairement</f>
        <v>17.805052694763283</v>
      </c>
      <c r="Z789" s="42">
        <f>U789*W789</f>
        <v>6.613145063691797</v>
      </c>
      <c r="AA789" s="6">
        <f t="shared" si="104"/>
        <v>3.7338630275121333E-4</v>
      </c>
    </row>
    <row r="790" spans="11:27" x14ac:dyDescent="0.3">
      <c r="Q790" s="47">
        <f>RDS2CLD_2*noHypo2CI_2</f>
        <v>1.1943893129770991E-2</v>
      </c>
      <c r="R790" s="47"/>
      <c r="T790" s="80"/>
      <c r="Z790" s="42"/>
      <c r="AA790" s="6">
        <f t="shared" si="104"/>
        <v>0</v>
      </c>
    </row>
    <row r="791" spans="11:27" x14ac:dyDescent="0.3">
      <c r="Q791" s="48">
        <f>c_cog+c_lung+c_hosp_fu+c_CSG</f>
        <v>58348.510902399998</v>
      </c>
      <c r="R791" s="48"/>
      <c r="T791" s="80"/>
      <c r="Z791" s="42"/>
      <c r="AA791" s="6">
        <f t="shared" si="104"/>
        <v>0</v>
      </c>
    </row>
    <row r="792" spans="11:27" x14ac:dyDescent="0.3">
      <c r="M792" s="42"/>
      <c r="Q792" s="19" t="s">
        <v>370</v>
      </c>
      <c r="R792" s="19"/>
      <c r="T792" s="80"/>
      <c r="U792">
        <f>$K$760*$I$749*$G$717*$E$754*$C$600*$A$555*$M$775*$O$787*Q793</f>
        <v>1.0848210582052101E-3</v>
      </c>
      <c r="V792">
        <v>0</v>
      </c>
      <c r="W792" s="42">
        <f>$K$761+$I$750+$G$718+$E$755+$C$601+$A$556+$M$776+$O$788+Q794</f>
        <v>271404.55809999997</v>
      </c>
      <c r="X792">
        <f>u_Healthy</f>
        <v>0</v>
      </c>
      <c r="Z792" s="42">
        <f>U792*W792</f>
        <v>294.42537991975939</v>
      </c>
      <c r="AA792" s="6">
        <f t="shared" si="104"/>
        <v>0</v>
      </c>
    </row>
    <row r="793" spans="11:27" x14ac:dyDescent="0.3">
      <c r="M793" s="42"/>
      <c r="Q793" s="47">
        <f>1-Q790-Q787-Q784</f>
        <v>0.61785831659300938</v>
      </c>
      <c r="R793" s="47"/>
      <c r="T793" s="80"/>
      <c r="Z793" s="42"/>
      <c r="AA793" s="6">
        <f t="shared" si="104"/>
        <v>0</v>
      </c>
    </row>
    <row r="794" spans="11:27" x14ac:dyDescent="0.3">
      <c r="M794" s="42"/>
      <c r="Q794" s="48">
        <f>c_clinic_fu+c_CSG</f>
        <v>14403</v>
      </c>
      <c r="R794" s="48"/>
      <c r="T794" s="80"/>
      <c r="Z794" s="42"/>
      <c r="AA794" s="6">
        <f t="shared" si="104"/>
        <v>0</v>
      </c>
    </row>
    <row r="795" spans="11:27" x14ac:dyDescent="0.3">
      <c r="M795" s="42"/>
      <c r="Q795" s="42"/>
      <c r="R795" s="42"/>
      <c r="T795" s="80"/>
      <c r="Z795" s="42"/>
      <c r="AA795" s="6">
        <f t="shared" si="104"/>
        <v>0</v>
      </c>
    </row>
    <row r="796" spans="11:27" x14ac:dyDescent="0.3">
      <c r="K796" s="19" t="s">
        <v>165</v>
      </c>
      <c r="L796" s="19"/>
      <c r="M796" s="19"/>
      <c r="N796" s="19"/>
      <c r="O796" s="19"/>
      <c r="P796" s="19"/>
      <c r="Q796" s="19"/>
      <c r="R796" s="19"/>
      <c r="T796" s="80"/>
      <c r="U796">
        <f>$K$797*$I$805*$G$826*$E$754*$C$600*$A$555</f>
        <v>1.1026319415992274E-4</v>
      </c>
      <c r="V796">
        <v>2.2128110844283128E-4</v>
      </c>
      <c r="W796" s="42">
        <f>$K$798+$I$806+$G$827+$E$755+$C$601+$A$556</f>
        <v>5347.2</v>
      </c>
      <c r="X796">
        <f>u_Death</f>
        <v>19.181538114427529</v>
      </c>
      <c r="Z796" s="42">
        <f>U796*W796</f>
        <v>0.5895993518119389</v>
      </c>
      <c r="AA796" s="6">
        <f t="shared" si="104"/>
        <v>2.1150176613970811E-3</v>
      </c>
    </row>
    <row r="797" spans="11:27" x14ac:dyDescent="0.3">
      <c r="K797" s="47">
        <f>SGA_term_2d_2</f>
        <v>1.1972400000000001E-2</v>
      </c>
      <c r="T797" s="80"/>
      <c r="Z797" s="42"/>
      <c r="AA797" s="6">
        <f t="shared" si="104"/>
        <v>0</v>
      </c>
    </row>
    <row r="798" spans="11:27" x14ac:dyDescent="0.3">
      <c r="K798" s="48">
        <f>c_SB</f>
        <v>1792</v>
      </c>
      <c r="T798" s="80"/>
      <c r="Z798" s="42"/>
      <c r="AA798" s="6">
        <f t="shared" si="104"/>
        <v>0</v>
      </c>
    </row>
    <row r="799" spans="11:27" x14ac:dyDescent="0.3">
      <c r="T799" s="80"/>
      <c r="Z799" s="42"/>
      <c r="AA799" s="6">
        <f t="shared" si="104"/>
        <v>0</v>
      </c>
    </row>
    <row r="800" spans="11:27" x14ac:dyDescent="0.3">
      <c r="Q800" s="19" t="s">
        <v>368</v>
      </c>
      <c r="R800" s="19"/>
      <c r="T800" s="80"/>
      <c r="U800">
        <f>$K$816*$I$805*$G$826*$E$754*$C$600*$A$555*$M$811*$O$806*Q801</f>
        <v>0</v>
      </c>
      <c r="V800">
        <v>0</v>
      </c>
      <c r="W800" s="42">
        <f>$K$817+$I$806+$G$827+$E$755+$C$601+$A$556+$M$812+$O$807+Q802</f>
        <v>91616.581450605634</v>
      </c>
      <c r="X800">
        <f>u_ChronicResp</f>
        <v>0.53465956747782661</v>
      </c>
      <c r="Z800" s="42">
        <f>U800*W800</f>
        <v>0</v>
      </c>
      <c r="AA800" s="6">
        <f t="shared" si="104"/>
        <v>0</v>
      </c>
    </row>
    <row r="801" spans="5:27" x14ac:dyDescent="0.3">
      <c r="Q801" s="47">
        <f>RDS2CLD_2-(Hypo2CI_2*RDS2CLD_2)</f>
        <v>0.34246866666666664</v>
      </c>
      <c r="R801" s="47"/>
      <c r="T801" s="80"/>
      <c r="Z801" s="42"/>
      <c r="AA801" s="6">
        <f t="shared" si="104"/>
        <v>0</v>
      </c>
    </row>
    <row r="802" spans="5:27" x14ac:dyDescent="0.3">
      <c r="Q802" s="48">
        <f>c_lung+c_hosp_fu+c_CSG</f>
        <v>54529.510902399998</v>
      </c>
      <c r="R802" s="48"/>
      <c r="T802" s="80"/>
      <c r="Z802" s="42"/>
      <c r="AA802" s="6">
        <f t="shared" si="104"/>
        <v>0</v>
      </c>
    </row>
    <row r="803" spans="5:27" x14ac:dyDescent="0.3">
      <c r="Q803" s="19" t="s">
        <v>226</v>
      </c>
      <c r="R803" s="19"/>
      <c r="T803" s="80"/>
      <c r="U803">
        <f>$K$816*$I$805*$G$826*$E$754*$C$600*$A$555*$M$811*$O$806*Q804</f>
        <v>0</v>
      </c>
      <c r="V803">
        <v>0</v>
      </c>
      <c r="W803" s="42">
        <f>$K$817+$I$806+$G$827+$E$755+$C$601+$A$556+$M$812+$O$807+Q805</f>
        <v>52853.070548205636</v>
      </c>
      <c r="X803">
        <f>u_CongnitiveImpairement</f>
        <v>17.270393127285455</v>
      </c>
      <c r="Z803" s="42">
        <f>U803*W803</f>
        <v>0</v>
      </c>
      <c r="AA803" s="6">
        <f t="shared" si="104"/>
        <v>0</v>
      </c>
    </row>
    <row r="804" spans="5:27" x14ac:dyDescent="0.3">
      <c r="I804" s="19" t="s">
        <v>164</v>
      </c>
      <c r="Q804" s="47">
        <f>Hypo2CI_2-(Hypo2CI_2*RDS2CLD_2)</f>
        <v>3.2801999999999998E-2</v>
      </c>
      <c r="R804" s="47"/>
      <c r="T804" s="80"/>
      <c r="Z804" s="42"/>
      <c r="AA804" s="6">
        <f t="shared" si="104"/>
        <v>0</v>
      </c>
    </row>
    <row r="805" spans="5:27" x14ac:dyDescent="0.3">
      <c r="I805" s="47">
        <f>NBW_term_2SGA_2</f>
        <v>0.17096075860597004</v>
      </c>
      <c r="O805" s="19" t="s">
        <v>161</v>
      </c>
      <c r="Q805" s="48">
        <f>c_cog+c_hosp_fu+c_CSG</f>
        <v>15766</v>
      </c>
      <c r="R805" s="48"/>
      <c r="T805" s="80"/>
      <c r="Z805" s="42"/>
      <c r="AA805" s="6">
        <f t="shared" si="104"/>
        <v>0</v>
      </c>
    </row>
    <row r="806" spans="5:27" x14ac:dyDescent="0.3">
      <c r="I806" s="48"/>
      <c r="O806" s="47">
        <f>SGA_term_2hypoglycaemia_2</f>
        <v>0.26</v>
      </c>
      <c r="Q806" s="19" t="s">
        <v>369</v>
      </c>
      <c r="R806" s="19"/>
      <c r="T806" s="80"/>
      <c r="U806">
        <f>$K$816*$I$805*$G$826*$E$754*$C$600*$A$555*$M$811*$O$806*Q807</f>
        <v>0</v>
      </c>
      <c r="V806">
        <v>0</v>
      </c>
      <c r="W806" s="42">
        <f>$K$817+$I$806+$G$827+$E$755+$C$601+$A$556+$M$812+$O$807+Q808</f>
        <v>95435.581450605634</v>
      </c>
      <c r="X806">
        <f>u_ChronicResp+u_CongnitiveImpairement</f>
        <v>17.805052694763283</v>
      </c>
      <c r="Z806" s="42">
        <f>U806*W806</f>
        <v>0</v>
      </c>
      <c r="AA806" s="6">
        <f t="shared" si="104"/>
        <v>0</v>
      </c>
    </row>
    <row r="807" spans="5:27" x14ac:dyDescent="0.3">
      <c r="O807" s="48">
        <f>c_hypo</f>
        <v>2936.2604000000001</v>
      </c>
      <c r="Q807" s="47">
        <f>Hypo2CI_2*RDS2CLD_2</f>
        <v>1.8531333333333334E-2</v>
      </c>
      <c r="R807" s="47"/>
      <c r="T807" s="80"/>
      <c r="Z807" s="42"/>
      <c r="AA807" s="6">
        <f t="shared" si="104"/>
        <v>0</v>
      </c>
    </row>
    <row r="808" spans="5:27" x14ac:dyDescent="0.3">
      <c r="M808" s="42"/>
      <c r="Q808" s="48">
        <f>c_lung+c_cog+c_hosp_fu+c_CSG</f>
        <v>58348.510902399998</v>
      </c>
      <c r="R808" s="48"/>
      <c r="T808" s="80"/>
      <c r="Z808" s="42"/>
      <c r="AA808" s="6">
        <f t="shared" ref="AA808:AA839" si="105">U808*X808</f>
        <v>0</v>
      </c>
    </row>
    <row r="809" spans="5:27" x14ac:dyDescent="0.3">
      <c r="Q809" s="19" t="s">
        <v>370</v>
      </c>
      <c r="R809" s="19"/>
      <c r="T809" s="80"/>
      <c r="U809">
        <f>$K$816*$I$805*$G$826*$E$754*$C$600*$A$555*$M$811*$O$806*Q810</f>
        <v>0</v>
      </c>
      <c r="V809">
        <v>0</v>
      </c>
      <c r="W809" s="42">
        <f>$K$817+$I$806+$G$827+$E$755+$C$601+$A$556+$M$812+$O$807+Q811</f>
        <v>51490.070548205636</v>
      </c>
      <c r="X809">
        <f>u_Healthy</f>
        <v>0</v>
      </c>
      <c r="Z809" s="42">
        <f>U809*W809</f>
        <v>0</v>
      </c>
      <c r="AA809" s="6">
        <f t="shared" si="105"/>
        <v>0</v>
      </c>
    </row>
    <row r="810" spans="5:27" x14ac:dyDescent="0.3">
      <c r="E810" s="42"/>
      <c r="M810" s="19" t="s">
        <v>9</v>
      </c>
      <c r="Q810" s="47">
        <f>1-Q801-Q804-Q807</f>
        <v>0.60619800000000001</v>
      </c>
      <c r="R810" s="47"/>
      <c r="T810" s="80"/>
      <c r="Z810" s="42"/>
      <c r="AA810" s="6">
        <f t="shared" si="105"/>
        <v>0</v>
      </c>
    </row>
    <row r="811" spans="5:27" x14ac:dyDescent="0.3">
      <c r="K811" s="42"/>
      <c r="M811" s="47">
        <f>S_term_2RDS_2</f>
        <v>0</v>
      </c>
      <c r="Q811" s="48">
        <f>c_clinic_fu+c_CSG</f>
        <v>14403</v>
      </c>
      <c r="R811" s="48"/>
      <c r="T811" s="80"/>
      <c r="Z811" s="42"/>
      <c r="AA811" s="6">
        <f t="shared" si="105"/>
        <v>0</v>
      </c>
    </row>
    <row r="812" spans="5:27" x14ac:dyDescent="0.3">
      <c r="K812" s="42"/>
      <c r="M812" s="48">
        <f>c_RDS</f>
        <v>30595.610148205637</v>
      </c>
      <c r="Q812" s="42"/>
      <c r="R812" s="42"/>
      <c r="T812" s="80"/>
      <c r="Z812" s="42"/>
      <c r="AA812" s="6">
        <f t="shared" si="105"/>
        <v>0</v>
      </c>
    </row>
    <row r="813" spans="5:27" x14ac:dyDescent="0.3">
      <c r="Q813" s="19" t="s">
        <v>368</v>
      </c>
      <c r="R813" s="19"/>
      <c r="T813" s="80"/>
      <c r="U813">
        <f>$K$816*$I$805*$G$826*$E$754*$C$600*$A$555*$M$811*$O$816*Q814</f>
        <v>0</v>
      </c>
      <c r="V813">
        <v>0</v>
      </c>
      <c r="W813" s="42">
        <f>$K$817+$I$806+$G$827+$E$755+$C$601+$A$556+$M$812+$O$817+Q815</f>
        <v>88680.321050605635</v>
      </c>
      <c r="X813">
        <f>u_ChronicResp</f>
        <v>0.53465956747782661</v>
      </c>
      <c r="Z813" s="42">
        <f>U813*W813</f>
        <v>0</v>
      </c>
      <c r="AA813" s="6">
        <f t="shared" si="105"/>
        <v>0</v>
      </c>
    </row>
    <row r="814" spans="5:27" x14ac:dyDescent="0.3">
      <c r="Q814" s="47">
        <f>RDS2CLD_2-(RDS2CLD_2*noHypo2CI_2)</f>
        <v>0.34905610687022898</v>
      </c>
      <c r="R814" s="47"/>
      <c r="T814" s="80"/>
      <c r="Z814" s="42"/>
      <c r="AA814" s="6">
        <f t="shared" si="105"/>
        <v>0</v>
      </c>
    </row>
    <row r="815" spans="5:27" x14ac:dyDescent="0.3">
      <c r="K815" s="19" t="s">
        <v>37</v>
      </c>
      <c r="M815" s="42"/>
      <c r="O815" s="19" t="s">
        <v>371</v>
      </c>
      <c r="Q815" s="48">
        <f>c_lung+c_hosp_fu+c_CSG</f>
        <v>54529.510902399998</v>
      </c>
      <c r="R815" s="48"/>
      <c r="T815" s="80"/>
      <c r="Z815" s="42"/>
      <c r="AA815" s="6">
        <f t="shared" si="105"/>
        <v>0</v>
      </c>
    </row>
    <row r="816" spans="5:27" x14ac:dyDescent="0.3">
      <c r="K816" s="47">
        <f>SGA_term_2s_2</f>
        <v>0.98802760000000001</v>
      </c>
      <c r="O816" s="47">
        <f>SGA_term_2normoglycaemia_2</f>
        <v>0.74</v>
      </c>
      <c r="Q816" s="19" t="s">
        <v>226</v>
      </c>
      <c r="R816" s="19"/>
      <c r="T816" s="80"/>
      <c r="U816">
        <f>$K$816*$I$805*$G$826*$E$754*$C$600*$A$555*$M$811*$O$816*Q817</f>
        <v>0</v>
      </c>
      <c r="V816">
        <v>0</v>
      </c>
      <c r="W816" s="42">
        <f>$K$817+$I$806+$G$827+$E$755+$C$601+$A$556+$M$812+$O$817+Q818</f>
        <v>49916.810148205637</v>
      </c>
      <c r="X816">
        <f>u_CongnitiveImpairement</f>
        <v>17.270393127285455</v>
      </c>
      <c r="Z816" s="42">
        <f>U816*W816</f>
        <v>0</v>
      </c>
      <c r="AA816" s="6">
        <f t="shared" si="105"/>
        <v>0</v>
      </c>
    </row>
    <row r="817" spans="7:27" x14ac:dyDescent="0.3">
      <c r="K817" s="48"/>
      <c r="O817" s="48"/>
      <c r="Q817" s="47">
        <f>noHypo2CI_2-(RDS2CLD_2*noHypo2CI_2)</f>
        <v>2.1141683406990762E-2</v>
      </c>
      <c r="R817" s="47"/>
      <c r="T817" s="80"/>
      <c r="Z817" s="42"/>
      <c r="AA817" s="6">
        <f t="shared" si="105"/>
        <v>0</v>
      </c>
    </row>
    <row r="818" spans="7:27" x14ac:dyDescent="0.3">
      <c r="Q818" s="48">
        <f>c_cog+c_hosp_fu+c_CSG</f>
        <v>15766</v>
      </c>
      <c r="R818" s="48"/>
      <c r="T818" s="80"/>
      <c r="Z818" s="42"/>
      <c r="AA818" s="6">
        <f t="shared" si="105"/>
        <v>0</v>
      </c>
    </row>
    <row r="819" spans="7:27" x14ac:dyDescent="0.3">
      <c r="Q819" s="19" t="s">
        <v>369</v>
      </c>
      <c r="R819" s="19"/>
      <c r="T819" s="80"/>
      <c r="U819">
        <f>$K$816*$I$805*$G$826*$E$754*$C$600*$A$555*$M$811*$O$816*Q820</f>
        <v>0</v>
      </c>
      <c r="V819">
        <v>0</v>
      </c>
      <c r="W819" s="42">
        <f>$K$817+$I$806+$G$827+$E$755+$C$601+$A$556+$M$812+$O$817+Q821</f>
        <v>92499.321050605635</v>
      </c>
      <c r="X819">
        <f>u_ChronicResp+u_CongnitiveImpairement</f>
        <v>17.805052694763283</v>
      </c>
      <c r="Z819" s="42">
        <f>U819*W819</f>
        <v>0</v>
      </c>
      <c r="AA819" s="6">
        <f t="shared" si="105"/>
        <v>0</v>
      </c>
    </row>
    <row r="820" spans="7:27" x14ac:dyDescent="0.3">
      <c r="Q820" s="47">
        <f>RDS2CLD_2*noHypo2CI_2</f>
        <v>1.1943893129770991E-2</v>
      </c>
      <c r="R820" s="47"/>
      <c r="T820" s="80"/>
      <c r="Z820" s="42"/>
      <c r="AA820" s="6">
        <f t="shared" si="105"/>
        <v>0</v>
      </c>
    </row>
    <row r="821" spans="7:27" x14ac:dyDescent="0.3">
      <c r="Q821" s="48">
        <f>c_cog+c_lung+c_hosp_fu+c_CSG</f>
        <v>58348.510902399998</v>
      </c>
      <c r="R821" s="48"/>
      <c r="T821" s="80"/>
      <c r="Z821" s="42"/>
      <c r="AA821" s="6">
        <f t="shared" si="105"/>
        <v>0</v>
      </c>
    </row>
    <row r="822" spans="7:27" x14ac:dyDescent="0.3">
      <c r="Q822" s="19" t="s">
        <v>370</v>
      </c>
      <c r="R822" s="19"/>
      <c r="T822" s="80"/>
      <c r="U822">
        <f>$K$816*$I$805*$G$826*$E$754*$C$600*$A$555*$M$811*$O$816*Q823</f>
        <v>0</v>
      </c>
      <c r="V822">
        <v>0</v>
      </c>
      <c r="W822" s="42">
        <f>$K$817+$I$806+$G$827+$E$755+$C$601+$A$556+$M$812+$O$817+Q824</f>
        <v>48553.810148205637</v>
      </c>
      <c r="X822">
        <f>u_Healthy</f>
        <v>0</v>
      </c>
      <c r="Z822" s="42">
        <f>U822*W822</f>
        <v>0</v>
      </c>
      <c r="AA822" s="6">
        <f t="shared" si="105"/>
        <v>0</v>
      </c>
    </row>
    <row r="823" spans="7:27" x14ac:dyDescent="0.3">
      <c r="Q823" s="47">
        <f>1-Q820-Q817-Q814</f>
        <v>0.61785831659300938</v>
      </c>
      <c r="R823" s="47"/>
      <c r="T823" s="80"/>
      <c r="Z823" s="42"/>
      <c r="AA823" s="6">
        <f t="shared" si="105"/>
        <v>0</v>
      </c>
    </row>
    <row r="824" spans="7:27" x14ac:dyDescent="0.3">
      <c r="Q824" s="48">
        <f>c_clinic_fu+c_CSG</f>
        <v>14403</v>
      </c>
      <c r="R824" s="48"/>
      <c r="T824" s="80"/>
      <c r="Z824" s="42"/>
      <c r="AA824" s="6">
        <f t="shared" si="105"/>
        <v>0</v>
      </c>
    </row>
    <row r="825" spans="7:27" x14ac:dyDescent="0.3">
      <c r="G825" s="19" t="s">
        <v>372</v>
      </c>
      <c r="Q825" s="42"/>
      <c r="R825" s="42"/>
      <c r="T825" s="80"/>
      <c r="V825">
        <v>1.4729694475272028E-3</v>
      </c>
      <c r="Z825" s="42"/>
      <c r="AA825" s="6">
        <f t="shared" si="105"/>
        <v>0</v>
      </c>
    </row>
    <row r="826" spans="7:27" x14ac:dyDescent="0.3">
      <c r="G826" s="47">
        <f>Term2NBW_2</f>
        <v>0.75313846153846153</v>
      </c>
      <c r="Q826" s="19" t="s">
        <v>368</v>
      </c>
      <c r="R826" s="19"/>
      <c r="T826" s="80"/>
      <c r="U826">
        <f>$K$816*$I$805*$G$826*$E$754*$C$600*$A$555*$M$831*$O$829*Q827</f>
        <v>8.1023801997796179E-4</v>
      </c>
      <c r="W826" s="42">
        <f>$K$817+$I$806+$G$827+$E$755+$C$601+$A$556+$M$832+$O$830+Q828</f>
        <v>61020.971302399994</v>
      </c>
      <c r="X826">
        <f>u_ChronicResp</f>
        <v>0.53465956747782661</v>
      </c>
      <c r="Z826" s="42">
        <f>U826*W826</f>
        <v>49.441510965188598</v>
      </c>
      <c r="AA826" s="6">
        <f t="shared" si="105"/>
        <v>4.3320150931550771E-4</v>
      </c>
    </row>
    <row r="827" spans="7:27" x14ac:dyDescent="0.3">
      <c r="G827" s="48">
        <f>c_NICU_NBW</f>
        <v>1255.2</v>
      </c>
      <c r="Q827" s="47">
        <f>RDS2CLD_2-(Hypo2CI_2*RDS2CLD_2)</f>
        <v>0.34246866666666664</v>
      </c>
      <c r="R827" s="47"/>
      <c r="T827" s="80"/>
      <c r="Z827" s="42"/>
      <c r="AA827" s="6">
        <f t="shared" si="105"/>
        <v>0</v>
      </c>
    </row>
    <row r="828" spans="7:27" x14ac:dyDescent="0.3">
      <c r="O828" s="19" t="s">
        <v>161</v>
      </c>
      <c r="Q828" s="48">
        <f>c_lung+c_hosp_fu+c_CSG</f>
        <v>54529.510902399998</v>
      </c>
      <c r="R828" s="48"/>
      <c r="T828" s="80"/>
      <c r="V828">
        <v>1.4108252380593643E-4</v>
      </c>
      <c r="Z828" s="42"/>
      <c r="AA828" s="6">
        <f t="shared" si="105"/>
        <v>0</v>
      </c>
    </row>
    <row r="829" spans="7:27" x14ac:dyDescent="0.3">
      <c r="O829" s="47">
        <f>SGA_term_2hypoglycaemia_2</f>
        <v>0.26</v>
      </c>
      <c r="Q829" s="19" t="s">
        <v>226</v>
      </c>
      <c r="R829" s="19"/>
      <c r="T829" s="80"/>
      <c r="U829">
        <f>$K$816*$I$805*$G$826*$E$754*$C$600*$A$555*$M$831*$O$829*Q830</f>
        <v>7.7605428227936482E-5</v>
      </c>
      <c r="W829" s="42">
        <f>$K$817+$I$806+$G$827+$E$755+$C$601+$A$556+$M$832+$O$830+Q831</f>
        <v>22257.4604</v>
      </c>
      <c r="X829">
        <f>u_CongnitiveImpairement</f>
        <v>17.270393127285455</v>
      </c>
      <c r="Z829" s="42">
        <f>U829*W829</f>
        <v>1.7272997456083383</v>
      </c>
      <c r="AA829" s="6">
        <f t="shared" si="105"/>
        <v>1.3402762543077988E-3</v>
      </c>
    </row>
    <row r="830" spans="7:27" x14ac:dyDescent="0.3">
      <c r="M830" s="19" t="s">
        <v>203</v>
      </c>
      <c r="O830" s="48">
        <f>c_hypo</f>
        <v>2936.2604000000001</v>
      </c>
      <c r="Q830" s="47">
        <f>Hypo2CI_2-(Hypo2CI_2*RDS2CLD_2)</f>
        <v>3.2801999999999998E-2</v>
      </c>
      <c r="R830" s="47"/>
      <c r="T830" s="80"/>
      <c r="Z830" s="42"/>
      <c r="AA830" s="6">
        <f t="shared" si="105"/>
        <v>0</v>
      </c>
    </row>
    <row r="831" spans="7:27" x14ac:dyDescent="0.3">
      <c r="M831" s="47">
        <f>S_term_2noRDS_2</f>
        <v>1</v>
      </c>
      <c r="Q831" s="48">
        <f>c_cog+c_hosp_fu+c_CSG</f>
        <v>15766</v>
      </c>
      <c r="R831" s="48"/>
      <c r="T831" s="80"/>
      <c r="V831">
        <v>7.9703898425575979E-5</v>
      </c>
      <c r="Z831" s="42"/>
      <c r="AA831" s="6">
        <f t="shared" si="105"/>
        <v>0</v>
      </c>
    </row>
    <row r="832" spans="7:27" x14ac:dyDescent="0.3">
      <c r="G832" s="42"/>
      <c r="M832" s="48"/>
      <c r="O832" s="42"/>
      <c r="Q832" s="19" t="s">
        <v>369</v>
      </c>
      <c r="R832" s="19"/>
      <c r="T832" s="80"/>
      <c r="U832">
        <f>$K$816*$I$805*$G$826*$E$754*$C$600*$A$555*$M$831*$O$829*Q833</f>
        <v>4.3842816260227031E-5</v>
      </c>
      <c r="W832" s="42">
        <f>$K$817+$I$806+$G$827+$E$755+$C$601+$A$556+$M$832+$O$830+Q834</f>
        <v>64839.971302399994</v>
      </c>
      <c r="X832">
        <f>u_ChronicResp+u_CongnitiveImpairement</f>
        <v>17.805052694763283</v>
      </c>
      <c r="Z832" s="42">
        <f>U832*W832</f>
        <v>2.8427669481295164</v>
      </c>
      <c r="AA832" s="6">
        <f t="shared" si="105"/>
        <v>7.8062365380016682E-4</v>
      </c>
    </row>
    <row r="833" spans="1:27" x14ac:dyDescent="0.3">
      <c r="M833" s="42"/>
      <c r="Q833" s="47">
        <f>Hypo2CI_2*RDS2CLD_2</f>
        <v>1.8531333333333334E-2</v>
      </c>
      <c r="R833" s="47"/>
      <c r="T833" s="80"/>
      <c r="Z833" s="42"/>
      <c r="AA833" s="6">
        <f t="shared" si="105"/>
        <v>0</v>
      </c>
    </row>
    <row r="834" spans="1:27" x14ac:dyDescent="0.3">
      <c r="A834" s="42"/>
      <c r="M834" s="42"/>
      <c r="Q834" s="48">
        <f>c_lung+c_cog+c_hosp_fu+c_CSG</f>
        <v>58348.510902399998</v>
      </c>
      <c r="R834" s="48"/>
      <c r="T834" s="80"/>
      <c r="V834">
        <v>2.6072783295564617E-3</v>
      </c>
      <c r="Z834" s="42"/>
      <c r="AA834" s="6">
        <f t="shared" si="105"/>
        <v>0</v>
      </c>
    </row>
    <row r="835" spans="1:27" x14ac:dyDescent="0.3">
      <c r="M835" s="42"/>
      <c r="Q835" s="19" t="s">
        <v>370</v>
      </c>
      <c r="R835" s="19"/>
      <c r="T835" s="80"/>
      <c r="U835">
        <f>$K$816*$I$805*$G$826*$E$754*$C$600*$A$555*$M$831*$O$829*Q836</f>
        <v>1.4341886281604367E-3</v>
      </c>
      <c r="W835" s="42">
        <f>$K$817+$I$806+$G$827+$E$755+$C$601+$A$556+$M$832+$O$830+Q837</f>
        <v>20894.4604</v>
      </c>
      <c r="X835">
        <f>u_Healthy</f>
        <v>0</v>
      </c>
      <c r="Z835" s="42">
        <f>U835*W835</f>
        <v>29.96659749722857</v>
      </c>
      <c r="AA835" s="6">
        <f t="shared" si="105"/>
        <v>0</v>
      </c>
    </row>
    <row r="836" spans="1:27" x14ac:dyDescent="0.3">
      <c r="M836" s="42"/>
      <c r="O836" s="42"/>
      <c r="Q836" s="47">
        <f>1-Q827-Q830-Q833</f>
        <v>0.60619800000000001</v>
      </c>
      <c r="R836" s="47"/>
      <c r="T836" s="80"/>
      <c r="Z836" s="42"/>
      <c r="AA836" s="6">
        <f t="shared" si="105"/>
        <v>0</v>
      </c>
    </row>
    <row r="837" spans="1:27" x14ac:dyDescent="0.3">
      <c r="M837" s="42"/>
      <c r="Q837" s="48">
        <f>c_clinic_fu+c_CSG</f>
        <v>14403</v>
      </c>
      <c r="R837" s="48"/>
      <c r="T837" s="80"/>
      <c r="Z837" s="42"/>
      <c r="AA837" s="6">
        <f t="shared" si="105"/>
        <v>0</v>
      </c>
    </row>
    <row r="838" spans="1:27" x14ac:dyDescent="0.3">
      <c r="M838" s="42"/>
      <c r="Q838" s="42"/>
      <c r="R838" s="42"/>
      <c r="S838" s="96"/>
      <c r="T838" s="80"/>
      <c r="V838">
        <v>4.2729371819815939E-3</v>
      </c>
      <c r="Z838" s="42"/>
      <c r="AA838" s="6">
        <f t="shared" si="105"/>
        <v>0</v>
      </c>
    </row>
    <row r="839" spans="1:27" x14ac:dyDescent="0.3">
      <c r="M839" s="42"/>
      <c r="Q839" s="19" t="s">
        <v>368</v>
      </c>
      <c r="R839" s="19"/>
      <c r="T839" s="80"/>
      <c r="U839">
        <f>$K$816*$I$805*$G$826*$E$754*$C$600*$A$555*$M$831*$O$843*Q840</f>
        <v>2.3504195335694771E-3</v>
      </c>
      <c r="W839" s="42">
        <f>$K$817+$I$806+$G$827+$E$755+$C$601+$A$556+$M$832+$O$844+Q841</f>
        <v>58084.710902399995</v>
      </c>
      <c r="X839">
        <f>u_ChronicResp</f>
        <v>0.53465956747782661</v>
      </c>
      <c r="Z839" s="42">
        <f>U839*W839</f>
        <v>136.52343910673693</v>
      </c>
      <c r="AA839" s="6">
        <f t="shared" si="105"/>
        <v>1.2566742912096915E-3</v>
      </c>
    </row>
    <row r="840" spans="1:27" x14ac:dyDescent="0.3">
      <c r="M840" s="42"/>
      <c r="Q840" s="47">
        <f>RDS2CLD_2-(RDS2CLD_2*noHypo2CI_2)</f>
        <v>0.34905610687022898</v>
      </c>
      <c r="R840" s="47"/>
      <c r="T840" s="80"/>
      <c r="Z840" s="42"/>
      <c r="AA840" s="6">
        <f t="shared" ref="AA840:AA871" si="106">U840*X840</f>
        <v>0</v>
      </c>
    </row>
    <row r="841" spans="1:27" x14ac:dyDescent="0.3">
      <c r="M841" s="42"/>
      <c r="Q841" s="48">
        <f>c_lung+c_hosp_fu+c_CSG</f>
        <v>54529.510902399998</v>
      </c>
      <c r="R841" s="48"/>
      <c r="T841" s="80"/>
      <c r="V841">
        <v>2.5880390957605959E-4</v>
      </c>
      <c r="Z841" s="42"/>
      <c r="AA841" s="6">
        <f t="shared" si="106"/>
        <v>0</v>
      </c>
    </row>
    <row r="842" spans="1:27" x14ac:dyDescent="0.3">
      <c r="M842" s="42"/>
      <c r="O842" s="19" t="s">
        <v>371</v>
      </c>
      <c r="Q842" s="19" t="s">
        <v>226</v>
      </c>
      <c r="R842" s="19"/>
      <c r="T842" s="80"/>
      <c r="U842">
        <f>$K$816*$I$805*$G$826*$E$754*$C$600*$A$555*$M$831*$O$843*Q843</f>
        <v>1.4236056804130647E-4</v>
      </c>
      <c r="W842" s="42">
        <f>$K$817+$I$806+$G$827+$E$755+$C$601+$A$556+$M$832+$O$844+Q844</f>
        <v>19321.2</v>
      </c>
      <c r="X842">
        <f>u_CongnitiveImpairement</f>
        <v>17.270393127285455</v>
      </c>
      <c r="Z842" s="42">
        <f>U842*W842</f>
        <v>2.7505770072396905</v>
      </c>
      <c r="AA842" s="6">
        <f t="shared" si="106"/>
        <v>2.4586229758970326E-3</v>
      </c>
    </row>
    <row r="843" spans="1:27" x14ac:dyDescent="0.3">
      <c r="M843" s="42"/>
      <c r="O843" s="47">
        <f>SGA_term_2normoglycaemia_2</f>
        <v>0.74</v>
      </c>
      <c r="Q843" s="47">
        <f>noHypo2CI_2-(RDS2CLD_2*noHypo2CI_2)</f>
        <v>2.1141683406990762E-2</v>
      </c>
      <c r="R843" s="47"/>
      <c r="T843" s="80"/>
      <c r="Z843" s="42"/>
      <c r="AA843" s="6">
        <f t="shared" si="106"/>
        <v>0</v>
      </c>
    </row>
    <row r="844" spans="1:27" x14ac:dyDescent="0.3">
      <c r="M844" s="42"/>
      <c r="O844" s="48"/>
      <c r="Q844" s="48">
        <f>c_cog+c_hosp_fu+c_CSG</f>
        <v>15766</v>
      </c>
      <c r="R844" s="48"/>
      <c r="T844" s="80"/>
      <c r="V844">
        <v>1.4621003342246867E-4</v>
      </c>
      <c r="Z844" s="42"/>
      <c r="AA844" s="6">
        <f t="shared" si="106"/>
        <v>0</v>
      </c>
    </row>
    <row r="845" spans="1:27" x14ac:dyDescent="0.3">
      <c r="M845" s="42"/>
      <c r="Q845" s="19" t="s">
        <v>369</v>
      </c>
      <c r="R845" s="19"/>
      <c r="T845" s="80"/>
      <c r="U845">
        <f>$K$816*$I$805*$G$826*$E$754*$C$600*$A$555*$M$831*$O$843*Q846</f>
        <v>8.0425923416137138E-5</v>
      </c>
      <c r="W845" s="42">
        <f>$K$817+$I$806+$G$827+$E$755+$C$601+$A$556+$M$832+$O$844+Q847</f>
        <v>61903.710902399995</v>
      </c>
      <c r="X845">
        <f>u_ChronicResp+u_CongnitiveImpairement</f>
        <v>17.805052694763283</v>
      </c>
      <c r="Z845" s="42">
        <f>U845*W845</f>
        <v>4.9786631122111151</v>
      </c>
      <c r="AA845" s="6">
        <f t="shared" si="106"/>
        <v>1.4319878044493179E-3</v>
      </c>
    </row>
    <row r="846" spans="1:27" x14ac:dyDescent="0.3">
      <c r="M846" s="42"/>
      <c r="Q846" s="47">
        <f>RDS2CLD_2*noHypo2CI_2</f>
        <v>1.1943893129770991E-2</v>
      </c>
      <c r="R846" s="47"/>
      <c r="T846" s="80"/>
      <c r="Z846" s="42"/>
      <c r="AA846" s="6">
        <f t="shared" si="106"/>
        <v>0</v>
      </c>
    </row>
    <row r="847" spans="1:27" x14ac:dyDescent="0.3">
      <c r="M847" s="42"/>
      <c r="Q847" s="48">
        <f>c_cog+c_lung+c_hosp_fu+c_CSG</f>
        <v>58348.510902399998</v>
      </c>
      <c r="R847" s="48"/>
      <c r="T847" s="80"/>
      <c r="V847">
        <v>7.563453903839998E-3</v>
      </c>
      <c r="Z847" s="42"/>
      <c r="AA847" s="6">
        <f t="shared" si="106"/>
        <v>0</v>
      </c>
    </row>
    <row r="848" spans="1:27" x14ac:dyDescent="0.3">
      <c r="M848" s="42"/>
      <c r="Q848" s="19" t="s">
        <v>370</v>
      </c>
      <c r="R848" s="19"/>
      <c r="T848" s="80"/>
      <c r="U848">
        <f>$K$816*$I$805*$G$826*$E$754*$C$600*$A$555*$M$831*$O$843*Q849</f>
        <v>4.1604379001409873E-3</v>
      </c>
      <c r="W848" s="42">
        <f>$K$817+$I$806+$G$827+$E$755+$C$601+$A$556+$M$832+$O$844+Q850</f>
        <v>17958.2</v>
      </c>
      <c r="X848">
        <f>u_Healthy</f>
        <v>0</v>
      </c>
      <c r="Z848" s="42">
        <f>U848*W848</f>
        <v>74.713975898311887</v>
      </c>
      <c r="AA848" s="6">
        <f t="shared" si="106"/>
        <v>0</v>
      </c>
    </row>
    <row r="849" spans="9:27" x14ac:dyDescent="0.3">
      <c r="M849" s="42"/>
      <c r="Q849" s="47">
        <f>1-Q846-Q843-Q840</f>
        <v>0.61785831659300938</v>
      </c>
      <c r="R849" s="47"/>
      <c r="T849" s="80"/>
      <c r="Z849" s="42"/>
      <c r="AA849" s="6">
        <f t="shared" si="106"/>
        <v>0</v>
      </c>
    </row>
    <row r="850" spans="9:27" x14ac:dyDescent="0.3">
      <c r="M850" s="42"/>
      <c r="Q850" s="48">
        <f>c_clinic_fu+c_CSG</f>
        <v>14403</v>
      </c>
      <c r="R850" s="48"/>
      <c r="T850" s="80"/>
      <c r="Z850" s="42"/>
      <c r="AA850" s="6">
        <f t="shared" si="106"/>
        <v>0</v>
      </c>
    </row>
    <row r="851" spans="9:27" x14ac:dyDescent="0.3">
      <c r="M851" s="42"/>
      <c r="Q851" s="42"/>
      <c r="R851" s="42"/>
      <c r="T851" s="80"/>
      <c r="V851">
        <v>4.4560004697704594E-4</v>
      </c>
      <c r="Z851" s="42"/>
      <c r="AA851" s="6">
        <f t="shared" si="106"/>
        <v>0</v>
      </c>
    </row>
    <row r="852" spans="9:27" x14ac:dyDescent="0.3">
      <c r="K852" s="19" t="s">
        <v>165</v>
      </c>
      <c r="L852" s="19"/>
      <c r="M852" s="19"/>
      <c r="N852" s="19"/>
      <c r="O852" s="19"/>
      <c r="P852" s="19"/>
      <c r="Q852" s="19"/>
      <c r="R852" s="19"/>
      <c r="T852" s="80"/>
      <c r="U852">
        <f>$K$853*$I$861*$G$826*$E$754*$C$600*$A$555</f>
        <v>2.5249666209173599E-4</v>
      </c>
      <c r="W852" s="42">
        <f>$K$854+$I$862+$G$827+$E$755+$C$601+$A$556</f>
        <v>5347.2</v>
      </c>
      <c r="X852">
        <f>u_Death</f>
        <v>19.181538114427529</v>
      </c>
      <c r="Z852" s="42">
        <f>U852*W852</f>
        <v>1.3501501515369305</v>
      </c>
      <c r="AA852" s="6">
        <f t="shared" si="106"/>
        <v>4.8432743476783625E-3</v>
      </c>
    </row>
    <row r="853" spans="9:27" x14ac:dyDescent="0.3">
      <c r="K853" s="47">
        <f>AGA_term_2d_2</f>
        <v>5.6536333333333339E-3</v>
      </c>
      <c r="T853" s="80"/>
      <c r="Z853" s="42"/>
      <c r="AA853" s="6">
        <f t="shared" si="106"/>
        <v>0</v>
      </c>
    </row>
    <row r="854" spans="9:27" x14ac:dyDescent="0.3">
      <c r="K854" s="48">
        <f>c_SB</f>
        <v>1792</v>
      </c>
      <c r="T854" s="80"/>
      <c r="Z854" s="42"/>
      <c r="AA854" s="6">
        <f t="shared" si="106"/>
        <v>0</v>
      </c>
    </row>
    <row r="855" spans="9:27" x14ac:dyDescent="0.3">
      <c r="T855" s="80"/>
      <c r="Z855" s="42"/>
      <c r="AA855" s="6">
        <f t="shared" si="106"/>
        <v>0</v>
      </c>
    </row>
    <row r="856" spans="9:27" x14ac:dyDescent="0.3">
      <c r="Q856" s="19" t="s">
        <v>368</v>
      </c>
      <c r="R856" s="19"/>
      <c r="T856" s="80"/>
      <c r="U856">
        <f>$K$872*$I$861*$G$826*$E$754*$C$600*$A$555*$M$867*$O$862*Q857</f>
        <v>0</v>
      </c>
      <c r="V856">
        <v>0</v>
      </c>
      <c r="W856" s="42">
        <f>$K$873+$I$862+$G$827+$E$755+$C$601+$A$556+$M$868+$O$863+Q858</f>
        <v>91616.581450605634</v>
      </c>
      <c r="X856">
        <f>u_ChronicResp</f>
        <v>0.53465956747782661</v>
      </c>
      <c r="Z856" s="42">
        <f>U856*W856</f>
        <v>0</v>
      </c>
      <c r="AA856" s="6">
        <f t="shared" si="106"/>
        <v>0</v>
      </c>
    </row>
    <row r="857" spans="9:27" x14ac:dyDescent="0.3">
      <c r="Q857" s="47">
        <f>RDS2CLD_2-(Hypo2CI_2*RDS2CLD_2)</f>
        <v>0.34246866666666664</v>
      </c>
      <c r="R857" s="47"/>
      <c r="T857" s="80"/>
      <c r="Z857" s="42"/>
      <c r="AA857" s="6">
        <f t="shared" si="106"/>
        <v>0</v>
      </c>
    </row>
    <row r="858" spans="9:27" x14ac:dyDescent="0.3">
      <c r="Q858" s="48">
        <f>c_lung+c_hosp_fu+c_CSG</f>
        <v>54529.510902399998</v>
      </c>
      <c r="R858" s="48"/>
      <c r="T858" s="80"/>
      <c r="Z858" s="42"/>
      <c r="AA858" s="6">
        <f t="shared" si="106"/>
        <v>0</v>
      </c>
    </row>
    <row r="859" spans="9:27" x14ac:dyDescent="0.3">
      <c r="Q859" s="19" t="s">
        <v>226</v>
      </c>
      <c r="R859" s="19"/>
      <c r="T859" s="80"/>
      <c r="U859">
        <f>$K$872*$I$861*$G$826*$E$754*$C$600*$A$555*$M$867*$O$862*Q860</f>
        <v>0</v>
      </c>
      <c r="V859">
        <v>0</v>
      </c>
      <c r="W859" s="42">
        <f>$K$873+$I$862+$G$827+$E$755+$C$601+$A$556+$M$868+$O$863+Q861</f>
        <v>52853.070548205636</v>
      </c>
      <c r="X859">
        <f>u_CongnitiveImpairement</f>
        <v>17.270393127285455</v>
      </c>
      <c r="Z859" s="42">
        <f>U859*W859</f>
        <v>0</v>
      </c>
      <c r="AA859" s="6">
        <f t="shared" si="106"/>
        <v>0</v>
      </c>
    </row>
    <row r="860" spans="9:27" x14ac:dyDescent="0.3">
      <c r="I860" s="19" t="s">
        <v>425</v>
      </c>
      <c r="Q860" s="47">
        <f>Hypo2CI_2-(Hypo2CI_2*RDS2CLD_2)</f>
        <v>3.2801999999999998E-2</v>
      </c>
      <c r="R860" s="47"/>
      <c r="T860" s="80"/>
      <c r="Z860" s="42"/>
      <c r="AA860" s="6">
        <f t="shared" si="106"/>
        <v>0</v>
      </c>
    </row>
    <row r="861" spans="9:27" x14ac:dyDescent="0.3">
      <c r="I861" s="47">
        <f>NBW_term_2AGA_2</f>
        <v>0.82903924139402996</v>
      </c>
      <c r="O861" s="19" t="s">
        <v>161</v>
      </c>
      <c r="Q861" s="48">
        <f>c_cog+c_hosp_fu+c_CSG</f>
        <v>15766</v>
      </c>
      <c r="R861" s="48"/>
      <c r="T861" s="80"/>
      <c r="Z861" s="42"/>
      <c r="AA861" s="6">
        <f t="shared" si="106"/>
        <v>0</v>
      </c>
    </row>
    <row r="862" spans="9:27" x14ac:dyDescent="0.3">
      <c r="I862" s="48"/>
      <c r="O862" s="47">
        <f>AGA_term_2hypoglycaemia_2</f>
        <v>0</v>
      </c>
      <c r="Q862" s="19" t="s">
        <v>369</v>
      </c>
      <c r="R862" s="19"/>
      <c r="T862" s="80"/>
      <c r="U862">
        <f>$K$872*$I$861*$G$826*$E$754*$C$600*$A$555*$M$867*$O$862*Q863</f>
        <v>0</v>
      </c>
      <c r="V862">
        <v>0</v>
      </c>
      <c r="W862" s="42">
        <f>$K$873+$I$862+$G$827+$E$755+$C$601+$A$556+$M$868+$O$863+Q864</f>
        <v>95435.581450605634</v>
      </c>
      <c r="X862">
        <f>u_ChronicResp+u_CongnitiveImpairement</f>
        <v>17.805052694763283</v>
      </c>
      <c r="Z862" s="42">
        <f>U862*W862</f>
        <v>0</v>
      </c>
      <c r="AA862" s="6">
        <f t="shared" si="106"/>
        <v>0</v>
      </c>
    </row>
    <row r="863" spans="9:27" x14ac:dyDescent="0.3">
      <c r="O863" s="48">
        <f>c_hypo</f>
        <v>2936.2604000000001</v>
      </c>
      <c r="Q863" s="47">
        <f>Hypo2CI_2*RDS2CLD_2</f>
        <v>1.8531333333333334E-2</v>
      </c>
      <c r="R863" s="47"/>
      <c r="T863" s="80"/>
      <c r="Z863" s="42"/>
      <c r="AA863" s="6">
        <f t="shared" si="106"/>
        <v>0</v>
      </c>
    </row>
    <row r="864" spans="9:27" x14ac:dyDescent="0.3">
      <c r="M864" s="42"/>
      <c r="Q864" s="48">
        <f>c_lung+c_cog+c_hosp_fu+c_CSG</f>
        <v>58348.510902399998</v>
      </c>
      <c r="R864" s="48"/>
      <c r="T864" s="80"/>
      <c r="Z864" s="42"/>
      <c r="AA864" s="6">
        <f t="shared" si="106"/>
        <v>0</v>
      </c>
    </row>
    <row r="865" spans="3:27" x14ac:dyDescent="0.3">
      <c r="Q865" s="19" t="s">
        <v>370</v>
      </c>
      <c r="R865" s="19"/>
      <c r="T865" s="80"/>
      <c r="U865">
        <f>$K$872*$I$861*$G$826*$E$754*$C$600*$A$555*$M$867*$O$862*Q866</f>
        <v>0</v>
      </c>
      <c r="V865">
        <v>0</v>
      </c>
      <c r="W865" s="42">
        <f>$K$873+$I$862+$G$827+$E$755+$C$601+$A$556+$M$868+$O$863+Q867</f>
        <v>51490.070548205636</v>
      </c>
      <c r="X865">
        <f>u_Healthy</f>
        <v>0</v>
      </c>
      <c r="Z865" s="42">
        <f>U865*W865</f>
        <v>0</v>
      </c>
      <c r="AA865" s="6">
        <f t="shared" si="106"/>
        <v>0</v>
      </c>
    </row>
    <row r="866" spans="3:27" x14ac:dyDescent="0.3">
      <c r="M866" s="19" t="s">
        <v>9</v>
      </c>
      <c r="Q866" s="47">
        <f>1-Q857-Q860-Q863</f>
        <v>0.60619800000000001</v>
      </c>
      <c r="R866" s="47"/>
      <c r="T866" s="80"/>
      <c r="Z866" s="42"/>
      <c r="AA866" s="6">
        <f t="shared" si="106"/>
        <v>0</v>
      </c>
    </row>
    <row r="867" spans="3:27" x14ac:dyDescent="0.3">
      <c r="K867" s="42"/>
      <c r="M867" s="47">
        <f>S_term_2RDS_2</f>
        <v>0</v>
      </c>
      <c r="Q867" s="48">
        <f>c_clinic_fu+c_CSG</f>
        <v>14403</v>
      </c>
      <c r="R867" s="48"/>
      <c r="T867" s="80"/>
      <c r="Z867" s="42"/>
      <c r="AA867" s="6">
        <f t="shared" si="106"/>
        <v>0</v>
      </c>
    </row>
    <row r="868" spans="3:27" x14ac:dyDescent="0.3">
      <c r="K868" s="42"/>
      <c r="M868" s="48">
        <f>c_RDS</f>
        <v>30595.610148205637</v>
      </c>
      <c r="Q868" s="42"/>
      <c r="R868" s="42"/>
      <c r="T868" s="80"/>
      <c r="Z868" s="42"/>
      <c r="AA868" s="6">
        <f t="shared" si="106"/>
        <v>0</v>
      </c>
    </row>
    <row r="869" spans="3:27" x14ac:dyDescent="0.3">
      <c r="Q869" s="19" t="s">
        <v>368</v>
      </c>
      <c r="R869" s="19"/>
      <c r="T869" s="80"/>
      <c r="U869">
        <f>$K$872*$I$861*$G$826*$E$754*$C$600*$A$555*$M$867*$O$872*Q870</f>
        <v>0</v>
      </c>
      <c r="V869">
        <v>0</v>
      </c>
      <c r="W869" s="42">
        <f>$K$873+$I$862+$G$827+$E$755+$C$601+$A$556+$M$868+$O$873+Q871</f>
        <v>88680.321050605635</v>
      </c>
      <c r="X869">
        <f>u_ChronicResp</f>
        <v>0.53465956747782661</v>
      </c>
      <c r="Z869" s="42">
        <f>U869*W869</f>
        <v>0</v>
      </c>
      <c r="AA869" s="6">
        <f t="shared" si="106"/>
        <v>0</v>
      </c>
    </row>
    <row r="870" spans="3:27" x14ac:dyDescent="0.3">
      <c r="Q870" s="47">
        <f>RDS2CLD_2-(RDS2CLD_2*noHypo2CI_2)</f>
        <v>0.34905610687022898</v>
      </c>
      <c r="R870" s="47"/>
      <c r="T870" s="80"/>
      <c r="Z870" s="42"/>
      <c r="AA870" s="6">
        <f t="shared" si="106"/>
        <v>0</v>
      </c>
    </row>
    <row r="871" spans="3:27" x14ac:dyDescent="0.3">
      <c r="K871" s="19" t="s">
        <v>37</v>
      </c>
      <c r="M871" s="42"/>
      <c r="O871" s="19" t="s">
        <v>371</v>
      </c>
      <c r="Q871" s="48">
        <f>c_lung+c_hosp_fu+c_CSG</f>
        <v>54529.510902399998</v>
      </c>
      <c r="R871" s="48"/>
      <c r="T871" s="80"/>
      <c r="Z871" s="42"/>
      <c r="AA871" s="6">
        <f t="shared" si="106"/>
        <v>0</v>
      </c>
    </row>
    <row r="872" spans="3:27" x14ac:dyDescent="0.3">
      <c r="K872" s="47">
        <f>AGA_term_2s_2</f>
        <v>0.99434636666666665</v>
      </c>
      <c r="O872" s="47">
        <f>AGA_term_2normoglycaemia_2</f>
        <v>1</v>
      </c>
      <c r="Q872" s="19" t="s">
        <v>226</v>
      </c>
      <c r="R872" s="19"/>
      <c r="T872" s="80"/>
      <c r="U872">
        <f>$K$872*$I$861*$G$826*$E$754*$C$600*$A$555*$M$867*$O$872*Q873</f>
        <v>0</v>
      </c>
      <c r="V872">
        <v>0</v>
      </c>
      <c r="W872" s="42">
        <f>$K$873+$I$862+$G$827+$E$755+$C$601+$A$556+$M$868+$O$873+Q874</f>
        <v>49916.810148205637</v>
      </c>
      <c r="X872">
        <f>u_CongnitiveImpairement</f>
        <v>17.270393127285455</v>
      </c>
      <c r="Z872" s="42">
        <f>U872*W872</f>
        <v>0</v>
      </c>
      <c r="AA872" s="6">
        <f t="shared" ref="AA872:AA907" si="107">U872*X872</f>
        <v>0</v>
      </c>
    </row>
    <row r="873" spans="3:27" x14ac:dyDescent="0.3">
      <c r="K873" s="48"/>
      <c r="O873" s="48"/>
      <c r="Q873" s="47">
        <f>noHypo2CI_2-(RDS2CLD_2*noHypo2CI_2)</f>
        <v>2.1141683406990762E-2</v>
      </c>
      <c r="R873" s="47"/>
      <c r="T873" s="80"/>
      <c r="Z873" s="42"/>
      <c r="AA873" s="6">
        <f t="shared" si="107"/>
        <v>0</v>
      </c>
    </row>
    <row r="874" spans="3:27" x14ac:dyDescent="0.3">
      <c r="Q874" s="48">
        <f>c_cog+c_hosp_fu+c_CSG</f>
        <v>15766</v>
      </c>
      <c r="R874" s="48"/>
      <c r="T874" s="80"/>
      <c r="Z874" s="42"/>
      <c r="AA874" s="6">
        <f t="shared" si="107"/>
        <v>0</v>
      </c>
    </row>
    <row r="875" spans="3:27" x14ac:dyDescent="0.3">
      <c r="Q875" s="19" t="s">
        <v>369</v>
      </c>
      <c r="R875" s="19"/>
      <c r="T875" s="80"/>
      <c r="U875">
        <f>$K$872*$I$861*$G$826*$E$754*$C$600*$A$555*$M$867*$O$872*Q876</f>
        <v>0</v>
      </c>
      <c r="V875">
        <v>0</v>
      </c>
      <c r="W875" s="42">
        <f>$K$873+$I$862+$G$827+$E$755+$C$601+$A$556+$M$868+$O$873+Q877</f>
        <v>92499.321050605635</v>
      </c>
      <c r="X875">
        <f>u_ChronicResp+u_CongnitiveImpairement</f>
        <v>17.805052694763283</v>
      </c>
      <c r="Z875" s="42">
        <f>U875*W875</f>
        <v>0</v>
      </c>
      <c r="AA875" s="6">
        <f t="shared" si="107"/>
        <v>0</v>
      </c>
    </row>
    <row r="876" spans="3:27" x14ac:dyDescent="0.3">
      <c r="Q876" s="47">
        <f>RDS2CLD_2*noHypo2CI_2</f>
        <v>1.1943893129770991E-2</v>
      </c>
      <c r="R876" s="47"/>
      <c r="T876" s="80"/>
      <c r="Z876" s="42"/>
      <c r="AA876" s="6">
        <f t="shared" si="107"/>
        <v>0</v>
      </c>
    </row>
    <row r="877" spans="3:27" x14ac:dyDescent="0.3">
      <c r="Q877" s="48">
        <f>c_cog+c_lung+c_hosp_fu+c_CSG</f>
        <v>58348.510902399998</v>
      </c>
      <c r="R877" s="48"/>
      <c r="T877" s="80"/>
      <c r="Z877" s="42"/>
      <c r="AA877" s="6">
        <f t="shared" si="107"/>
        <v>0</v>
      </c>
    </row>
    <row r="878" spans="3:27" x14ac:dyDescent="0.3">
      <c r="Q878" s="19" t="s">
        <v>370</v>
      </c>
      <c r="R878" s="19"/>
      <c r="T878" s="80"/>
      <c r="U878">
        <f>$K$872*$I$861*$G$826*$E$754*$C$600*$A$555*$M$867*$O$872*Q879</f>
        <v>0</v>
      </c>
      <c r="V878">
        <v>0</v>
      </c>
      <c r="W878" s="42">
        <f>$K$873+$I$862+$G$827+$E$755+$C$601+$A$556+$M$868+$O$873+Q880</f>
        <v>48553.810148205637</v>
      </c>
      <c r="X878">
        <f>u_Healthy</f>
        <v>0</v>
      </c>
      <c r="Z878" s="42">
        <f>U878*W878</f>
        <v>0</v>
      </c>
      <c r="AA878" s="6">
        <f t="shared" si="107"/>
        <v>0</v>
      </c>
    </row>
    <row r="879" spans="3:27" x14ac:dyDescent="0.3">
      <c r="C879" s="42"/>
      <c r="Q879" s="47">
        <f>1-Q876-Q873-Q870</f>
        <v>0.61785831659300938</v>
      </c>
      <c r="R879" s="47"/>
      <c r="T879" s="80"/>
      <c r="Z879" s="42"/>
      <c r="AA879" s="6">
        <f t="shared" si="107"/>
        <v>0</v>
      </c>
    </row>
    <row r="880" spans="3:27" x14ac:dyDescent="0.3">
      <c r="Q880" s="48">
        <f>c_clinic_fu+c_CSG</f>
        <v>14403</v>
      </c>
      <c r="R880" s="48"/>
      <c r="T880" s="80"/>
      <c r="Z880" s="42"/>
      <c r="AA880" s="6">
        <f t="shared" si="107"/>
        <v>0</v>
      </c>
    </row>
    <row r="881" spans="13:27" x14ac:dyDescent="0.3">
      <c r="Q881" s="42"/>
      <c r="R881" s="42"/>
      <c r="T881" s="80"/>
      <c r="Z881" s="42"/>
      <c r="AA881" s="6">
        <f t="shared" si="107"/>
        <v>0</v>
      </c>
    </row>
    <row r="882" spans="13:27" x14ac:dyDescent="0.3">
      <c r="Q882" s="19" t="s">
        <v>368</v>
      </c>
      <c r="R882" s="19"/>
      <c r="T882" s="80"/>
      <c r="U882">
        <f>$K$872*$I$861*$G$826*$E$754*$C$600*$A$555*$M$887*$O$885*Q883</f>
        <v>0</v>
      </c>
      <c r="V882">
        <v>0</v>
      </c>
      <c r="W882" s="42">
        <f>$K$873+$I$862+$G$827+$E$755+$C$601+$A$556+$M$888+$O$886+Q884</f>
        <v>61020.971302399994</v>
      </c>
      <c r="X882">
        <f>u_ChronicResp</f>
        <v>0.53465956747782661</v>
      </c>
      <c r="Z882" s="42">
        <f>U882*W882</f>
        <v>0</v>
      </c>
      <c r="AA882" s="6">
        <f t="shared" si="107"/>
        <v>0</v>
      </c>
    </row>
    <row r="883" spans="13:27" x14ac:dyDescent="0.3">
      <c r="Q883" s="47">
        <f>RDS2CLD_2-(Hypo2CI_2*RDS2CLD_2)</f>
        <v>0.34246866666666664</v>
      </c>
      <c r="R883" s="47"/>
      <c r="T883" s="80"/>
      <c r="Z883" s="42"/>
      <c r="AA883" s="6">
        <f t="shared" si="107"/>
        <v>0</v>
      </c>
    </row>
    <row r="884" spans="13:27" x14ac:dyDescent="0.3">
      <c r="O884" s="19" t="s">
        <v>161</v>
      </c>
      <c r="Q884" s="48">
        <f>c_lung+c_hosp_fu+c_CSG</f>
        <v>54529.510902399998</v>
      </c>
      <c r="R884" s="48"/>
      <c r="T884" s="80"/>
      <c r="Z884" s="42"/>
      <c r="AA884" s="6">
        <f t="shared" si="107"/>
        <v>0</v>
      </c>
    </row>
    <row r="885" spans="13:27" x14ac:dyDescent="0.3">
      <c r="O885" s="47">
        <f>AGA_term_2hypoglycaemia_2</f>
        <v>0</v>
      </c>
      <c r="Q885" s="19" t="s">
        <v>226</v>
      </c>
      <c r="R885" s="19"/>
      <c r="T885" s="80"/>
      <c r="U885">
        <f>$K$872*$I$861*$G$826*$E$754*$C$600*$A$555*$M$887*$O$885*Q886</f>
        <v>0</v>
      </c>
      <c r="V885">
        <v>0</v>
      </c>
      <c r="W885" s="42">
        <f>$K$873+$I$862+$G$827+$E$755+$C$601+$A$556+$M$888+$O$886+Q887</f>
        <v>22257.4604</v>
      </c>
      <c r="X885">
        <f>u_CongnitiveImpairement</f>
        <v>17.270393127285455</v>
      </c>
      <c r="Z885" s="42">
        <f>U885*W885</f>
        <v>0</v>
      </c>
      <c r="AA885" s="6">
        <f t="shared" si="107"/>
        <v>0</v>
      </c>
    </row>
    <row r="886" spans="13:27" x14ac:dyDescent="0.3">
      <c r="M886" s="19" t="s">
        <v>203</v>
      </c>
      <c r="O886" s="48">
        <f>c_hypo</f>
        <v>2936.2604000000001</v>
      </c>
      <c r="Q886" s="47">
        <f>Hypo2CI_2-(Hypo2CI_2*RDS2CLD_2)</f>
        <v>3.2801999999999998E-2</v>
      </c>
      <c r="R886" s="47"/>
      <c r="T886" s="80"/>
      <c r="Z886" s="42"/>
      <c r="AA886" s="6">
        <f t="shared" si="107"/>
        <v>0</v>
      </c>
    </row>
    <row r="887" spans="13:27" x14ac:dyDescent="0.3">
      <c r="M887" s="47">
        <f>S_term_2noRDS_2</f>
        <v>1</v>
      </c>
      <c r="Q887" s="48">
        <f>c_cog+c_hosp_fu+c_CSG</f>
        <v>15766</v>
      </c>
      <c r="R887" s="48"/>
      <c r="T887" s="80"/>
      <c r="Z887" s="42"/>
      <c r="AA887" s="6">
        <f t="shared" si="107"/>
        <v>0</v>
      </c>
    </row>
    <row r="888" spans="13:27" x14ac:dyDescent="0.3">
      <c r="M888" s="48"/>
      <c r="O888" s="42"/>
      <c r="Q888" s="19" t="s">
        <v>369</v>
      </c>
      <c r="R888" s="19"/>
      <c r="T888" s="80"/>
      <c r="U888">
        <f>$K$872*$I$861*$G$826*$E$754*$C$600*$A$555*$M$887*$O$885*Q889</f>
        <v>0</v>
      </c>
      <c r="V888">
        <v>0</v>
      </c>
      <c r="W888" s="42">
        <f>$K$873+$I$862+$G$827+$E$755+$C$601+$A$556+$M$888+$O$886+Q890</f>
        <v>64839.971302399994</v>
      </c>
      <c r="X888">
        <f>u_ChronicResp+u_CongnitiveImpairement</f>
        <v>17.805052694763283</v>
      </c>
      <c r="Z888" s="42">
        <f>U888*W888</f>
        <v>0</v>
      </c>
      <c r="AA888" s="6">
        <f t="shared" si="107"/>
        <v>0</v>
      </c>
    </row>
    <row r="889" spans="13:27" x14ac:dyDescent="0.3">
      <c r="M889" s="42"/>
      <c r="Q889" s="47">
        <f>Hypo2CI_2*RDS2CLD_2</f>
        <v>1.8531333333333334E-2</v>
      </c>
      <c r="R889" s="47"/>
      <c r="T889" s="80"/>
      <c r="Z889" s="42"/>
      <c r="AA889" s="6">
        <f t="shared" si="107"/>
        <v>0</v>
      </c>
    </row>
    <row r="890" spans="13:27" x14ac:dyDescent="0.3">
      <c r="M890" s="42"/>
      <c r="Q890" s="48">
        <f>c_lung+c_cog+c_hosp_fu+c_CSG</f>
        <v>58348.510902399998</v>
      </c>
      <c r="R890" s="48"/>
      <c r="T890" s="80"/>
      <c r="Z890" s="42"/>
      <c r="AA890" s="6">
        <f t="shared" si="107"/>
        <v>0</v>
      </c>
    </row>
    <row r="891" spans="13:27" x14ac:dyDescent="0.3">
      <c r="M891" s="42"/>
      <c r="Q891" s="19" t="s">
        <v>370</v>
      </c>
      <c r="R891" s="19"/>
      <c r="T891" s="80"/>
      <c r="U891">
        <f>$K$872*$I$861*$G$826*$E$754*$C$600*$A$555*$M$887*$O$885*Q892</f>
        <v>0</v>
      </c>
      <c r="V891">
        <v>0</v>
      </c>
      <c r="W891" s="42">
        <f>$K$873+$I$862+$G$827+$E$755+$C$601+$A$556+$M$888+$O$886+Q893</f>
        <v>20894.4604</v>
      </c>
      <c r="X891">
        <f>u_Healthy</f>
        <v>0</v>
      </c>
      <c r="Z891" s="42">
        <f>U891*W891</f>
        <v>0</v>
      </c>
      <c r="AA891" s="6">
        <f t="shared" si="107"/>
        <v>0</v>
      </c>
    </row>
    <row r="892" spans="13:27" x14ac:dyDescent="0.3">
      <c r="M892" s="42"/>
      <c r="O892" s="42"/>
      <c r="Q892" s="47">
        <f>1-Q883-Q886-Q889</f>
        <v>0.60619800000000001</v>
      </c>
      <c r="R892" s="47"/>
      <c r="T892" s="80"/>
      <c r="Z892" s="42"/>
      <c r="AA892" s="6">
        <f t="shared" si="107"/>
        <v>0</v>
      </c>
    </row>
    <row r="893" spans="13:27" x14ac:dyDescent="0.3">
      <c r="M893" s="42"/>
      <c r="Q893" s="48">
        <f>c_clinic_fu+c_CSG</f>
        <v>14403</v>
      </c>
      <c r="R893" s="48"/>
      <c r="T893" s="80"/>
      <c r="Z893" s="42"/>
      <c r="AA893" s="6">
        <f t="shared" si="107"/>
        <v>0</v>
      </c>
    </row>
    <row r="894" spans="13:27" x14ac:dyDescent="0.3">
      <c r="M894" s="42"/>
      <c r="Q894" s="42"/>
      <c r="R894" s="42"/>
      <c r="S894" s="96"/>
      <c r="T894" s="80"/>
      <c r="Z894" s="42"/>
      <c r="AA894" s="6">
        <f t="shared" si="107"/>
        <v>0</v>
      </c>
    </row>
    <row r="895" spans="13:27" x14ac:dyDescent="0.3">
      <c r="M895" s="42"/>
      <c r="Q895" s="19" t="s">
        <v>368</v>
      </c>
      <c r="R895" s="19"/>
      <c r="T895" s="80"/>
      <c r="U895">
        <f>$K$872*$I$861*$G$826*$E$754*$C$600*$A$555*$M$887*$O$899*Q896</f>
        <v>1.5501043468730038E-2</v>
      </c>
      <c r="V895">
        <v>2.4797308328744445E-2</v>
      </c>
      <c r="W895" s="42">
        <f>$K$873+$I$862+$G$827+$E$755+$C$601+$A$556+$M$888+$O$900+Q897</f>
        <v>58084.710902399995</v>
      </c>
      <c r="X895">
        <f>u_ChronicResp</f>
        <v>0.53465956747782661</v>
      </c>
      <c r="Z895" s="42">
        <f>U895*W895</f>
        <v>900.37362856671984</v>
      </c>
      <c r="AA895" s="6">
        <f t="shared" si="107"/>
        <v>8.2877811964461919E-3</v>
      </c>
    </row>
    <row r="896" spans="13:27" x14ac:dyDescent="0.3">
      <c r="M896" s="42"/>
      <c r="Q896" s="47">
        <f>RDS2CLD_2-(RDS2CLD_2*noHypo2CI_2)</f>
        <v>0.34905610687022898</v>
      </c>
      <c r="R896" s="47"/>
      <c r="T896" s="80"/>
      <c r="Z896" s="42"/>
      <c r="AA896" s="6">
        <f t="shared" si="107"/>
        <v>0</v>
      </c>
    </row>
    <row r="897" spans="1:27" x14ac:dyDescent="0.3">
      <c r="M897" s="42"/>
      <c r="Q897" s="48">
        <f>c_lung+c_hosp_fu+c_CSG</f>
        <v>54529.510902399998</v>
      </c>
      <c r="R897" s="48"/>
      <c r="T897" s="80"/>
      <c r="Z897" s="42"/>
      <c r="AA897" s="6">
        <f t="shared" si="107"/>
        <v>0</v>
      </c>
    </row>
    <row r="898" spans="1:27" x14ac:dyDescent="0.3">
      <c r="M898" s="42"/>
      <c r="O898" s="19" t="s">
        <v>371</v>
      </c>
      <c r="Q898" s="19" t="s">
        <v>226</v>
      </c>
      <c r="R898" s="19"/>
      <c r="T898" s="80"/>
      <c r="U898">
        <f>$K$872*$I$861*$G$826*$E$754*$C$600*$A$555*$M$887*$O$899*Q899</f>
        <v>9.3886956006110052E-4</v>
      </c>
      <c r="V898">
        <v>1.5019271449869143E-3</v>
      </c>
      <c r="W898" s="42">
        <f>$K$873+$I$862+$G$827+$E$755+$C$601+$A$556+$M$888+$O$900+Q900</f>
        <v>19321.2</v>
      </c>
      <c r="X898">
        <f>u_CongnitiveImpairement</f>
        <v>17.270393127285455</v>
      </c>
      <c r="Z898" s="42">
        <f>U898*W898</f>
        <v>18.140086543852536</v>
      </c>
      <c r="AA898" s="6">
        <f t="shared" si="107"/>
        <v>1.621464639749675E-2</v>
      </c>
    </row>
    <row r="899" spans="1:27" x14ac:dyDescent="0.3">
      <c r="M899" s="42"/>
      <c r="O899" s="47">
        <f>AGA_term_2normoglycaemia_2</f>
        <v>1</v>
      </c>
      <c r="Q899" s="47">
        <f>noHypo2CI_2-(RDS2CLD_2*noHypo2CI_2)</f>
        <v>2.1141683406990762E-2</v>
      </c>
      <c r="R899" s="47"/>
      <c r="T899" s="80"/>
      <c r="Z899" s="42"/>
      <c r="AA899" s="6">
        <f t="shared" si="107"/>
        <v>0</v>
      </c>
    </row>
    <row r="900" spans="1:27" x14ac:dyDescent="0.3">
      <c r="M900" s="42"/>
      <c r="O900" s="48"/>
      <c r="Q900" s="48">
        <f>c_cog+c_hosp_fu+c_CSG</f>
        <v>15766</v>
      </c>
      <c r="R900" s="48"/>
      <c r="T900" s="80"/>
      <c r="Z900" s="42"/>
      <c r="AA900" s="6">
        <f t="shared" si="107"/>
        <v>0</v>
      </c>
    </row>
    <row r="901" spans="1:27" x14ac:dyDescent="0.3">
      <c r="G901" s="42"/>
      <c r="M901" s="42"/>
      <c r="Q901" s="19" t="s">
        <v>369</v>
      </c>
      <c r="R901" s="19"/>
      <c r="T901" s="80"/>
      <c r="U901">
        <f>$K$872*$I$861*$G$826*$E$754*$C$600*$A$555*$M$887*$O$899*Q902</f>
        <v>5.3040987665423664E-4</v>
      </c>
      <c r="V901">
        <v>8.4850657173752111E-4</v>
      </c>
      <c r="W901" s="42">
        <f>$K$873+$I$862+$G$827+$E$755+$C$601+$A$556+$M$888+$O$900+Q903</f>
        <v>61903.710902399995</v>
      </c>
      <c r="X901">
        <f>u_ChronicResp+u_CongnitiveImpairement</f>
        <v>17.805052694763283</v>
      </c>
      <c r="Z901" s="42">
        <f>U901*W901</f>
        <v>32.834339664181506</v>
      </c>
      <c r="AA901" s="6">
        <f t="shared" si="107"/>
        <v>9.4439758036515761E-3</v>
      </c>
    </row>
    <row r="902" spans="1:27" x14ac:dyDescent="0.3">
      <c r="Q902" s="47">
        <f>RDS2CLD_2*noHypo2CI_2</f>
        <v>1.1943893129770991E-2</v>
      </c>
      <c r="R902" s="47"/>
      <c r="T902" s="80"/>
      <c r="Z902" s="42"/>
      <c r="AA902" s="6">
        <f t="shared" si="107"/>
        <v>0</v>
      </c>
    </row>
    <row r="903" spans="1:27" x14ac:dyDescent="0.3">
      <c r="Q903" s="48">
        <f>c_cog+c_lung+c_hosp_fu+c_CSG</f>
        <v>58348.510902399998</v>
      </c>
      <c r="R903" s="48"/>
      <c r="T903" s="80"/>
      <c r="Z903" s="42"/>
      <c r="AA903" s="6">
        <f t="shared" si="107"/>
        <v>0</v>
      </c>
    </row>
    <row r="904" spans="1:27" x14ac:dyDescent="0.3">
      <c r="M904" s="42"/>
      <c r="Q904" s="19" t="s">
        <v>370</v>
      </c>
      <c r="R904" s="19"/>
      <c r="T904" s="80"/>
      <c r="U904">
        <f>$K$872*$I$861*$G$826*$E$754*$C$600*$A$555*$M$887*$O$899*Q905</f>
        <v>2.7438135115009688E-2</v>
      </c>
      <c r="V904">
        <v>4.3893296460021346E-2</v>
      </c>
      <c r="W904" s="42">
        <f>$K$873+$I$862+$G$827+$E$755+$C$601+$A$556+$M$888+$O$900+Q906</f>
        <v>17958.2</v>
      </c>
      <c r="X904">
        <f>u_Healthy</f>
        <v>0</v>
      </c>
      <c r="Z904" s="42">
        <f>U904*W904</f>
        <v>492.73951802236701</v>
      </c>
      <c r="AA904" s="6">
        <f t="shared" si="107"/>
        <v>0</v>
      </c>
    </row>
    <row r="905" spans="1:27" x14ac:dyDescent="0.3">
      <c r="M905" s="42"/>
      <c r="Q905" s="47">
        <f>1-Q902-Q899-Q896</f>
        <v>0.61785831659300938</v>
      </c>
      <c r="R905" s="47"/>
      <c r="T905" s="80"/>
      <c r="Z905" s="42"/>
      <c r="AA905" s="6">
        <f t="shared" si="107"/>
        <v>0</v>
      </c>
    </row>
    <row r="906" spans="1:27" x14ac:dyDescent="0.3">
      <c r="M906" s="42"/>
      <c r="Q906" s="48">
        <f>c_clinic_fu+c_CSG</f>
        <v>14403</v>
      </c>
      <c r="R906" s="48"/>
      <c r="T906" s="80"/>
      <c r="Z906" s="42"/>
      <c r="AA906" s="6">
        <f t="shared" si="107"/>
        <v>0</v>
      </c>
    </row>
    <row r="907" spans="1:27" x14ac:dyDescent="0.3">
      <c r="A907" s="83"/>
      <c r="B907" s="83"/>
      <c r="C907" s="83"/>
      <c r="D907" s="83"/>
      <c r="E907" s="83"/>
      <c r="F907" s="83"/>
      <c r="G907" s="83"/>
      <c r="H907" s="83"/>
      <c r="I907" s="83"/>
      <c r="J907" s="83"/>
      <c r="K907" s="83"/>
      <c r="L907" s="83"/>
      <c r="M907" s="85"/>
      <c r="N907" s="83"/>
      <c r="O907" s="83"/>
      <c r="P907" s="83"/>
      <c r="Q907" s="85"/>
      <c r="R907" s="85"/>
      <c r="S907" s="97"/>
      <c r="T907" s="80"/>
      <c r="Z907" s="42"/>
      <c r="AA907" s="6">
        <f t="shared" si="107"/>
        <v>0</v>
      </c>
    </row>
    <row r="908" spans="1:27" x14ac:dyDescent="0.3">
      <c r="A908" s="20" t="s">
        <v>5</v>
      </c>
      <c r="B908" s="20"/>
      <c r="C908" s="20"/>
      <c r="D908" s="20"/>
      <c r="E908" s="20"/>
      <c r="F908" s="20"/>
      <c r="G908" s="20"/>
      <c r="H908" s="20"/>
      <c r="I908" s="20"/>
      <c r="J908" s="20"/>
      <c r="K908" s="20"/>
      <c r="L908" s="20"/>
      <c r="M908" s="20"/>
      <c r="N908" s="20"/>
      <c r="O908" s="20"/>
      <c r="P908" s="20"/>
      <c r="Q908" s="20"/>
      <c r="R908" s="20"/>
      <c r="T908" s="102" t="s">
        <v>716</v>
      </c>
      <c r="U908" s="103">
        <f>SUM(U3:U904)</f>
        <v>1.0000000000000002</v>
      </c>
      <c r="V908" s="103">
        <f>SUM(U909:U1357)</f>
        <v>0.83099999999999996</v>
      </c>
      <c r="W908" s="103">
        <f>SUM(W3:W904)</f>
        <v>49038741.642780259</v>
      </c>
      <c r="X908" s="103">
        <f>SUM(X3:X904)</f>
        <v>2624.314430989391</v>
      </c>
      <c r="Y908" s="103"/>
      <c r="Z908" s="103">
        <f t="shared" ref="Z908" si="108">SUM(Z3:Z904)</f>
        <v>91072.43856734017</v>
      </c>
      <c r="AA908" s="104">
        <f>SUM(AA3:AA904)</f>
        <v>1.1803022965259311</v>
      </c>
    </row>
    <row r="909" spans="1:27" x14ac:dyDescent="0.3">
      <c r="C909" s="19" t="s">
        <v>3</v>
      </c>
      <c r="D909" s="19"/>
      <c r="E909" s="19"/>
      <c r="F909" s="19"/>
      <c r="G909" s="19"/>
      <c r="H909" s="19"/>
      <c r="I909" s="19"/>
      <c r="J909" s="19"/>
      <c r="K909" s="19"/>
      <c r="L909" s="19"/>
      <c r="M909" s="19"/>
      <c r="N909" s="19"/>
      <c r="O909" s="19"/>
      <c r="P909" s="19"/>
      <c r="Q909" s="19"/>
      <c r="R909" s="19"/>
      <c r="T909" s="80"/>
      <c r="U909">
        <f>C910*A1008</f>
        <v>1.3647512999999971E-2</v>
      </c>
      <c r="V909">
        <v>1.3647347965249199E-2</v>
      </c>
      <c r="W909" s="42">
        <f>C911+A1009</f>
        <v>1969</v>
      </c>
      <c r="X909">
        <f>u_Death</f>
        <v>19.181538114427529</v>
      </c>
      <c r="Z909" s="42">
        <f>U909*W909</f>
        <v>26.871953096999942</v>
      </c>
      <c r="AA909" s="6">
        <f t="shared" ref="AA909:AA972" si="109">U909*X909</f>
        <v>0.26178029077664461</v>
      </c>
    </row>
    <row r="910" spans="1:27" x14ac:dyDescent="0.3">
      <c r="C910" s="47">
        <f>ANC2SB_3</f>
        <v>1.6422999999999965E-2</v>
      </c>
      <c r="T910" s="80"/>
      <c r="Z910" s="42"/>
      <c r="AA910" s="6">
        <f t="shared" si="109"/>
        <v>0</v>
      </c>
    </row>
    <row r="911" spans="1:27" x14ac:dyDescent="0.3">
      <c r="C911" s="48">
        <f>c_SB</f>
        <v>1792</v>
      </c>
      <c r="T911" s="80"/>
      <c r="Z911" s="42">
        <f t="shared" ref="Z911:Z974" si="110">U911*W911</f>
        <v>0</v>
      </c>
      <c r="AA911" s="6">
        <f t="shared" si="109"/>
        <v>0</v>
      </c>
    </row>
    <row r="912" spans="1:27" x14ac:dyDescent="0.3">
      <c r="C912" s="48"/>
      <c r="T912" s="80"/>
      <c r="Z912" s="42">
        <f t="shared" si="110"/>
        <v>0</v>
      </c>
      <c r="AA912" s="6">
        <f t="shared" si="109"/>
        <v>0</v>
      </c>
    </row>
    <row r="913" spans="9:27" x14ac:dyDescent="0.3">
      <c r="K913" s="19" t="s">
        <v>165</v>
      </c>
      <c r="L913" s="19"/>
      <c r="M913" s="19"/>
      <c r="N913" s="19"/>
      <c r="O913" s="19"/>
      <c r="P913" s="19"/>
      <c r="Q913" s="19"/>
      <c r="R913" s="19"/>
      <c r="T913" s="80"/>
      <c r="U913">
        <f>$K$914*$I$922*$G$946*$E$984*$C$1053*$A$1008</f>
        <v>3.6347045044111416E-3</v>
      </c>
      <c r="V913">
        <v>3.6347052383081582E-3</v>
      </c>
      <c r="W913" s="42">
        <f>$K$915+$I$923+$G$947+$E$985+$C$1054+$A$1009</f>
        <v>257248.45980810808</v>
      </c>
      <c r="X913">
        <f>u_Death</f>
        <v>19.181538114427529</v>
      </c>
      <c r="Z913" s="42">
        <f t="shared" si="110"/>
        <v>935.02213561735891</v>
      </c>
      <c r="AA913" s="6">
        <f t="shared" si="109"/>
        <v>6.971922298604373E-2</v>
      </c>
    </row>
    <row r="914" spans="9:27" x14ac:dyDescent="0.3">
      <c r="K914" s="47">
        <f>SGA_prem_2d_3</f>
        <v>8.4066666666666665E-2</v>
      </c>
      <c r="T914" s="80"/>
      <c r="Z914" s="42">
        <f t="shared" si="110"/>
        <v>0</v>
      </c>
      <c r="AA914" s="6">
        <f t="shared" si="109"/>
        <v>0</v>
      </c>
    </row>
    <row r="915" spans="9:27" x14ac:dyDescent="0.3">
      <c r="K915" s="48">
        <f>c_SB</f>
        <v>1792</v>
      </c>
      <c r="T915" s="80"/>
      <c r="Z915" s="42">
        <f t="shared" si="110"/>
        <v>0</v>
      </c>
      <c r="AA915" s="6">
        <f t="shared" si="109"/>
        <v>0</v>
      </c>
    </row>
    <row r="916" spans="9:27" x14ac:dyDescent="0.3">
      <c r="T916" s="80"/>
      <c r="Z916" s="42">
        <f t="shared" si="110"/>
        <v>0</v>
      </c>
      <c r="AA916" s="6">
        <f t="shared" si="109"/>
        <v>0</v>
      </c>
    </row>
    <row r="917" spans="9:27" x14ac:dyDescent="0.3">
      <c r="Q917" s="19" t="s">
        <v>368</v>
      </c>
      <c r="R917" s="19"/>
      <c r="T917" s="80"/>
      <c r="U917">
        <f>$K$933*$I$922*$G$946*$E$984*$C$1053*$A$1008*$M$928*$O$923*Q918</f>
        <v>1.315193874132544E-3</v>
      </c>
      <c r="V917">
        <v>1.3151941396883436E-3</v>
      </c>
      <c r="W917" s="42">
        <f>$K$934+$I$923+$G$947+$E$985+$C$1054+$A$1009+$M$929+$O$924+Q919</f>
        <v>343517.84125871374</v>
      </c>
      <c r="X917">
        <f>u_ChronicResp</f>
        <v>0.53465956747782661</v>
      </c>
      <c r="Z917" s="42">
        <f t="shared" si="110"/>
        <v>451.79256047869598</v>
      </c>
      <c r="AA917" s="6">
        <f t="shared" si="109"/>
        <v>7.0318098789319311E-4</v>
      </c>
    </row>
    <row r="918" spans="9:27" x14ac:dyDescent="0.3">
      <c r="Q918" s="47">
        <f>RDS2CLD_3-(Hypo2CI_3*RDS2CLD_3)</f>
        <v>0.34246866666666664</v>
      </c>
      <c r="R918" s="47"/>
      <c r="T918" s="80"/>
      <c r="Z918" s="42">
        <f t="shared" si="110"/>
        <v>0</v>
      </c>
      <c r="AA918" s="6">
        <f t="shared" si="109"/>
        <v>0</v>
      </c>
    </row>
    <row r="919" spans="9:27" x14ac:dyDescent="0.3">
      <c r="Q919" s="48">
        <f>c_lung+c_hosp_fu+c_CSG</f>
        <v>54529.510902399998</v>
      </c>
      <c r="R919" s="48"/>
      <c r="T919" s="80"/>
      <c r="Z919" s="42">
        <f t="shared" si="110"/>
        <v>0</v>
      </c>
      <c r="AA919" s="6">
        <f t="shared" si="109"/>
        <v>0</v>
      </c>
    </row>
    <row r="920" spans="9:27" x14ac:dyDescent="0.3">
      <c r="Q920" s="19" t="s">
        <v>226</v>
      </c>
      <c r="R920" s="19"/>
      <c r="T920" s="80"/>
      <c r="U920">
        <f>$K$933*$I$922*$G$946*$E$984*$C$1053*$A$1008*$M$928*$O$923*Q921</f>
        <v>1.2597061763108949E-4</v>
      </c>
      <c r="V920">
        <v>1.2597064306629622E-4</v>
      </c>
      <c r="W920" s="42">
        <f>$K$934+$I$923+$G$947+$E$985+$C$1054+$A$1009+$M$929+$O$924+Q922</f>
        <v>304754.33035631373</v>
      </c>
      <c r="X920">
        <f>u_CongnitiveImpairement</f>
        <v>17.270393127285455</v>
      </c>
      <c r="Z920" s="42">
        <f t="shared" si="110"/>
        <v>38.390091220733922</v>
      </c>
      <c r="AA920" s="6">
        <f t="shared" si="109"/>
        <v>2.1755620889758721E-3</v>
      </c>
    </row>
    <row r="921" spans="9:27" x14ac:dyDescent="0.3">
      <c r="I921" s="19" t="s">
        <v>164</v>
      </c>
      <c r="Q921" s="47">
        <f>Hypo2CI_3-(Hypo2CI_3*RDS2CLD_3)</f>
        <v>3.2801999999999998E-2</v>
      </c>
      <c r="R921" s="47"/>
      <c r="T921" s="80"/>
      <c r="Z921" s="42">
        <f t="shared" si="110"/>
        <v>0</v>
      </c>
      <c r="AA921" s="6">
        <f t="shared" si="109"/>
        <v>0</v>
      </c>
    </row>
    <row r="922" spans="9:27" x14ac:dyDescent="0.3">
      <c r="I922" s="47">
        <f>LBW_prem_2SGA_3</f>
        <v>0.44409547738693467</v>
      </c>
      <c r="O922" s="19" t="s">
        <v>161</v>
      </c>
      <c r="Q922" s="48">
        <f>c_cog+c_hosp_fu+c_CSG</f>
        <v>15766</v>
      </c>
      <c r="R922" s="48"/>
      <c r="T922" s="80"/>
      <c r="Z922" s="42">
        <f t="shared" si="110"/>
        <v>0</v>
      </c>
      <c r="AA922" s="6">
        <f t="shared" si="109"/>
        <v>0</v>
      </c>
    </row>
    <row r="923" spans="9:27" x14ac:dyDescent="0.3">
      <c r="I923" s="48"/>
      <c r="O923" s="47">
        <f>SGA_prem_2hypoglycaemia_3</f>
        <v>0.2155</v>
      </c>
      <c r="Q923" s="19" t="s">
        <v>369</v>
      </c>
      <c r="R923" s="19"/>
      <c r="T923" s="80"/>
      <c r="U923">
        <f>$K$933*$I$922*$G$946*$E$984*$C$1053*$A$1008*$M$928*$O$923*Q924</f>
        <v>7.1166499162477793E-5</v>
      </c>
      <c r="V923">
        <v>7.1166513531976426E-5</v>
      </c>
      <c r="W923" s="42">
        <f>$K$934+$I$923+$G$947+$E$985+$C$1054+$A$1009+$M$929+$O$924+Q925</f>
        <v>347336.84125871374</v>
      </c>
      <c r="X923">
        <f>u_ChronicResp+u_CongnitiveImpairement</f>
        <v>17.805052694763283</v>
      </c>
      <c r="Z923" s="42">
        <f t="shared" si="110"/>
        <v>24.718747022535933</v>
      </c>
      <c r="AA923" s="6">
        <f t="shared" si="109"/>
        <v>1.2671232676897443E-3</v>
      </c>
    </row>
    <row r="924" spans="9:27" x14ac:dyDescent="0.3">
      <c r="O924" s="48">
        <f>c_hypo</f>
        <v>2936.2604000000001</v>
      </c>
      <c r="Q924" s="47">
        <f>Hypo2CI_3*RDS2CLD_3</f>
        <v>1.8531333333333334E-2</v>
      </c>
      <c r="R924" s="47"/>
      <c r="T924" s="80"/>
      <c r="Z924" s="42">
        <f t="shared" si="110"/>
        <v>0</v>
      </c>
      <c r="AA924" s="6">
        <f t="shared" si="109"/>
        <v>0</v>
      </c>
    </row>
    <row r="925" spans="9:27" x14ac:dyDescent="0.3">
      <c r="M925" s="42"/>
      <c r="Q925" s="48">
        <f>c_lung+c_cog+c_hosp_fu+c_CSG</f>
        <v>58348.510902399998</v>
      </c>
      <c r="R925" s="48"/>
      <c r="T925" s="80"/>
      <c r="Z925" s="42">
        <f t="shared" si="110"/>
        <v>0</v>
      </c>
      <c r="AA925" s="6">
        <f t="shared" si="109"/>
        <v>0</v>
      </c>
    </row>
    <row r="926" spans="9:27" x14ac:dyDescent="0.3">
      <c r="Q926" s="19" t="s">
        <v>370</v>
      </c>
      <c r="R926" s="19"/>
      <c r="T926" s="80"/>
      <c r="U926">
        <f>$K$933*$I$922*$G$946*$E$984*$C$1053*$A$1008*$M$928*$O$923*Q927</f>
        <v>2.3280024531044203E-3</v>
      </c>
      <c r="V926">
        <v>2.3280029231602536E-3</v>
      </c>
      <c r="W926" s="42">
        <f>$K$934+$I$923+$G$947+$E$985+$C$1054+$A$1009+$M$929+$O$924+Q928</f>
        <v>303391.33035631373</v>
      </c>
      <c r="X926">
        <f>u_Healthy</f>
        <v>0</v>
      </c>
      <c r="Z926" s="42">
        <f t="shared" si="110"/>
        <v>706.29576132011198</v>
      </c>
      <c r="AA926" s="6">
        <f t="shared" si="109"/>
        <v>0</v>
      </c>
    </row>
    <row r="927" spans="9:27" x14ac:dyDescent="0.3">
      <c r="M927" s="19" t="s">
        <v>9</v>
      </c>
      <c r="Q927" s="47">
        <f>1-Q918-Q921-Q924</f>
        <v>0.60619800000000001</v>
      </c>
      <c r="R927" s="47"/>
      <c r="T927" s="80"/>
      <c r="Z927" s="42">
        <f t="shared" si="110"/>
        <v>0</v>
      </c>
      <c r="AA927" s="6">
        <f t="shared" si="109"/>
        <v>0</v>
      </c>
    </row>
    <row r="928" spans="9:27" x14ac:dyDescent="0.3">
      <c r="K928" s="42"/>
      <c r="M928" s="47">
        <f>S_prem_2RDS_3</f>
        <v>0.45</v>
      </c>
      <c r="Q928" s="48">
        <f>c_clinic_fu+c_CSG</f>
        <v>14403</v>
      </c>
      <c r="R928" s="48"/>
      <c r="T928" s="80"/>
      <c r="Z928" s="42">
        <f t="shared" si="110"/>
        <v>0</v>
      </c>
      <c r="AA928" s="6">
        <f t="shared" si="109"/>
        <v>0</v>
      </c>
    </row>
    <row r="929" spans="7:27" x14ac:dyDescent="0.3">
      <c r="K929" s="42"/>
      <c r="M929" s="48">
        <f>c_RDS</f>
        <v>30595.610148205637</v>
      </c>
      <c r="Q929" s="42"/>
      <c r="R929" s="42"/>
      <c r="T929" s="80"/>
      <c r="Z929" s="42">
        <f t="shared" si="110"/>
        <v>0</v>
      </c>
      <c r="AA929" s="6">
        <f t="shared" si="109"/>
        <v>0</v>
      </c>
    </row>
    <row r="930" spans="7:27" x14ac:dyDescent="0.3">
      <c r="Q930" s="19" t="s">
        <v>368</v>
      </c>
      <c r="R930" s="19"/>
      <c r="T930" s="80"/>
      <c r="U930">
        <f>$K$933*$I$922*$G$946*$E$984*$C$1053*$A$1008*$M$928*$O$933*Q931</f>
        <v>4.8798879318287126E-3</v>
      </c>
      <c r="V930">
        <v>4.879888917145454E-3</v>
      </c>
      <c r="W930" s="42">
        <f>$K$934+$I$923+$G$947+$E$985+$C$1054+$A$1009+$M$929+$O$934+Q932</f>
        <v>340581.58085871371</v>
      </c>
      <c r="X930">
        <f>u_ChronicResp</f>
        <v>0.53465956747782661</v>
      </c>
      <c r="Z930" s="42">
        <f t="shared" si="110"/>
        <v>1661.999946235582</v>
      </c>
      <c r="AA930" s="6">
        <f t="shared" si="109"/>
        <v>2.6090787709718054E-3</v>
      </c>
    </row>
    <row r="931" spans="7:27" x14ac:dyDescent="0.3">
      <c r="Q931" s="47">
        <f>RDS2CLD_3-(RDS2CLD_3*noHypo2CI_3)</f>
        <v>0.34905610687022898</v>
      </c>
      <c r="R931" s="47"/>
      <c r="T931" s="80"/>
      <c r="Z931" s="42">
        <f t="shared" si="110"/>
        <v>0</v>
      </c>
      <c r="AA931" s="6">
        <f t="shared" si="109"/>
        <v>0</v>
      </c>
    </row>
    <row r="932" spans="7:27" x14ac:dyDescent="0.3">
      <c r="K932" s="19" t="s">
        <v>37</v>
      </c>
      <c r="M932" s="42"/>
      <c r="O932" s="19" t="s">
        <v>371</v>
      </c>
      <c r="Q932" s="48">
        <f>c_lung+c_hosp_fu+c_CSG</f>
        <v>54529.510902399998</v>
      </c>
      <c r="R932" s="48"/>
      <c r="T932" s="80"/>
      <c r="Z932" s="42">
        <f t="shared" si="110"/>
        <v>0</v>
      </c>
      <c r="AA932" s="6">
        <f t="shared" si="109"/>
        <v>0</v>
      </c>
    </row>
    <row r="933" spans="7:27" x14ac:dyDescent="0.3">
      <c r="K933" s="47">
        <f>SGA_prem_2s_3</f>
        <v>0.91593333333333338</v>
      </c>
      <c r="O933" s="47">
        <f>SGA_prem_2normoglycaemia_3</f>
        <v>0.78449999999999998</v>
      </c>
      <c r="Q933" s="19" t="s">
        <v>226</v>
      </c>
      <c r="R933" s="19"/>
      <c r="T933" s="80"/>
      <c r="U933">
        <f>$K$933*$I$922*$G$946*$E$984*$C$1053*$A$1008*$M$928*$O$933*Q934</f>
        <v>2.9556579497024368E-4</v>
      </c>
      <c r="V933">
        <v>2.9556585464905798E-4</v>
      </c>
      <c r="W933" s="42">
        <f>$K$934+$I$923+$G$947+$E$985+$C$1054+$A$1009+$M$929+$O$934+Q935</f>
        <v>301818.0699563137</v>
      </c>
      <c r="X933">
        <f>u_CongnitiveImpairement</f>
        <v>17.270393127285455</v>
      </c>
      <c r="Z933" s="42">
        <f t="shared" si="110"/>
        <v>89.207097783022476</v>
      </c>
      <c r="AA933" s="6">
        <f t="shared" si="109"/>
        <v>5.1045374741147589E-3</v>
      </c>
    </row>
    <row r="934" spans="7:27" x14ac:dyDescent="0.3">
      <c r="K934" s="48"/>
      <c r="O934" s="48"/>
      <c r="Q934" s="47">
        <f>noHypo2CI_3-(RDS2CLD_3*noHypo2CI_3)</f>
        <v>2.1141683406990762E-2</v>
      </c>
      <c r="R934" s="47"/>
      <c r="T934" s="80"/>
      <c r="Z934" s="42">
        <f t="shared" si="110"/>
        <v>0</v>
      </c>
      <c r="AA934" s="6">
        <f t="shared" si="109"/>
        <v>0</v>
      </c>
    </row>
    <row r="935" spans="7:27" x14ac:dyDescent="0.3">
      <c r="Q935" s="48">
        <f>c_cog+c_hosp_fu+c_CSG</f>
        <v>15766</v>
      </c>
      <c r="R935" s="48"/>
      <c r="T935" s="80"/>
      <c r="Z935" s="42">
        <f t="shared" si="110"/>
        <v>0</v>
      </c>
      <c r="AA935" s="6">
        <f t="shared" si="109"/>
        <v>0</v>
      </c>
    </row>
    <row r="936" spans="7:27" x14ac:dyDescent="0.3">
      <c r="Q936" s="19" t="s">
        <v>369</v>
      </c>
      <c r="R936" s="19"/>
      <c r="T936" s="80"/>
      <c r="U936">
        <f>$K$933*$I$922*$G$946*$E$984*$C$1053*$A$1008*$M$928*$O$933*Q937</f>
        <v>1.6697848510838489E-4</v>
      </c>
      <c r="V936">
        <v>1.6697851882364618E-4</v>
      </c>
      <c r="W936" s="42">
        <f>$K$934+$I$923+$G$947+$E$985+$C$1054+$A$1009+$M$929+$O$934+Q938</f>
        <v>344400.58085871371</v>
      </c>
      <c r="X936">
        <f>u_ChronicResp+u_CongnitiveImpairement</f>
        <v>17.805052694763283</v>
      </c>
      <c r="Z936" s="42">
        <f t="shared" si="110"/>
        <v>57.507487262235834</v>
      </c>
      <c r="AA936" s="6">
        <f t="shared" si="109"/>
        <v>2.9730607262465391E-3</v>
      </c>
    </row>
    <row r="937" spans="7:27" x14ac:dyDescent="0.3">
      <c r="G937" s="42"/>
      <c r="Q937" s="47">
        <f>RDS2CLD_3*noHypo2CI_3</f>
        <v>1.1943893129770991E-2</v>
      </c>
      <c r="R937" s="47"/>
      <c r="T937" s="80"/>
      <c r="Z937" s="42">
        <f t="shared" si="110"/>
        <v>0</v>
      </c>
      <c r="AA937" s="6">
        <f t="shared" si="109"/>
        <v>0</v>
      </c>
    </row>
    <row r="938" spans="7:27" x14ac:dyDescent="0.3">
      <c r="G938" s="42"/>
      <c r="Q938" s="48">
        <f>c_cog+c_lung+c_hosp_fu+c_CSG</f>
        <v>58348.510902399998</v>
      </c>
      <c r="R938" s="48"/>
      <c r="T938" s="80"/>
      <c r="Z938" s="42">
        <f t="shared" si="110"/>
        <v>0</v>
      </c>
      <c r="AA938" s="6">
        <f t="shared" si="109"/>
        <v>0</v>
      </c>
    </row>
    <row r="939" spans="7:27" x14ac:dyDescent="0.3">
      <c r="Q939" s="19" t="s">
        <v>370</v>
      </c>
      <c r="R939" s="19"/>
      <c r="T939" s="80"/>
      <c r="U939">
        <f>$K$933*$I$922*$G$946*$E$984*$C$1053*$A$1008*$M$928*$O$933*Q940</f>
        <v>8.6378071701898838E-3</v>
      </c>
      <c r="V939">
        <v>8.6378089142823983E-3</v>
      </c>
      <c r="W939" s="42">
        <f>$K$934+$I$923+$G$947+$E$985+$C$1054+$A$1009+$M$929+$O$934+Q941</f>
        <v>300455.0699563137</v>
      </c>
      <c r="X939">
        <f>u_Healthy</f>
        <v>0</v>
      </c>
      <c r="Z939" s="42">
        <f t="shared" si="110"/>
        <v>2595.2729575885496</v>
      </c>
      <c r="AA939" s="6">
        <f t="shared" si="109"/>
        <v>0</v>
      </c>
    </row>
    <row r="940" spans="7:27" x14ac:dyDescent="0.3">
      <c r="Q940" s="47">
        <f>1-Q937-Q934-Q931</f>
        <v>0.61785831659300938</v>
      </c>
      <c r="R940" s="47"/>
      <c r="T940" s="80"/>
      <c r="Z940" s="42">
        <f t="shared" si="110"/>
        <v>0</v>
      </c>
      <c r="AA940" s="6">
        <f t="shared" si="109"/>
        <v>0</v>
      </c>
    </row>
    <row r="941" spans="7:27" x14ac:dyDescent="0.3">
      <c r="Q941" s="48">
        <f>c_clinic_fu+c_CSG</f>
        <v>14403</v>
      </c>
      <c r="R941" s="48"/>
      <c r="T941" s="80"/>
      <c r="Z941" s="42">
        <f t="shared" si="110"/>
        <v>0</v>
      </c>
      <c r="AA941" s="6">
        <f t="shared" si="109"/>
        <v>0</v>
      </c>
    </row>
    <row r="942" spans="7:27" x14ac:dyDescent="0.3">
      <c r="Q942" s="42"/>
      <c r="R942" s="42"/>
      <c r="T942" s="80"/>
      <c r="Z942" s="42">
        <f t="shared" si="110"/>
        <v>0</v>
      </c>
      <c r="AA942" s="6">
        <f t="shared" si="109"/>
        <v>0</v>
      </c>
    </row>
    <row r="943" spans="7:27" x14ac:dyDescent="0.3">
      <c r="Q943" s="19" t="s">
        <v>368</v>
      </c>
      <c r="R943" s="19"/>
      <c r="T943" s="80"/>
      <c r="U943">
        <f>$K$933*$I$922*$G$946*$E$984*$C$1053*$A$1008*$M$948*$O$946*Q944</f>
        <v>0</v>
      </c>
      <c r="V943">
        <v>0</v>
      </c>
      <c r="W943" s="42">
        <f>$K$934+$I$923+$G$947+$E$985+$C$1054+$A$1009+$M$949+$O$947+Q945</f>
        <v>312922.23111050809</v>
      </c>
      <c r="X943">
        <f>u_ChronicResp</f>
        <v>0.53465956747782661</v>
      </c>
      <c r="Z943" s="42">
        <f t="shared" si="110"/>
        <v>0</v>
      </c>
      <c r="AA943" s="6">
        <f t="shared" si="109"/>
        <v>0</v>
      </c>
    </row>
    <row r="944" spans="7:27" x14ac:dyDescent="0.3">
      <c r="Q944" s="47">
        <f>noRDS2CLD_3-(Hypo2CI_3*noRDS2CLD_3)</f>
        <v>0</v>
      </c>
      <c r="R944" s="47"/>
      <c r="T944" s="80"/>
      <c r="Z944" s="42">
        <f t="shared" si="110"/>
        <v>0</v>
      </c>
      <c r="AA944" s="6">
        <f t="shared" si="109"/>
        <v>0</v>
      </c>
    </row>
    <row r="945" spans="7:27" x14ac:dyDescent="0.3">
      <c r="G945" s="19" t="s">
        <v>8</v>
      </c>
      <c r="O945" s="19" t="s">
        <v>161</v>
      </c>
      <c r="Q945" s="48">
        <f>c_lung+c_hosp_fu+c_CSG</f>
        <v>54529.510902399998</v>
      </c>
      <c r="R945" s="48"/>
      <c r="T945" s="80"/>
      <c r="Z945" s="42">
        <f t="shared" si="110"/>
        <v>0</v>
      </c>
      <c r="AA945" s="6">
        <f t="shared" si="109"/>
        <v>0</v>
      </c>
    </row>
    <row r="946" spans="7:27" x14ac:dyDescent="0.3">
      <c r="G946" s="47">
        <f>Prem2LBW_3</f>
        <v>0.68135593220338986</v>
      </c>
      <c r="O946" s="47">
        <f>SGA_prem_2hypoglycaemia_3</f>
        <v>0.2155</v>
      </c>
      <c r="Q946" s="19" t="s">
        <v>226</v>
      </c>
      <c r="R946" s="19"/>
      <c r="T946" s="80"/>
      <c r="U946">
        <f>$K$933*$I$922*$G$946*$E$984*$C$1053*$A$1008*$M$948*$O$946*Q947</f>
        <v>2.409453649699156E-4</v>
      </c>
      <c r="V946">
        <v>2.4094541362011101E-4</v>
      </c>
      <c r="W946" s="42">
        <f>$K$934+$I$923+$G$947+$E$985+$C$1054+$A$1009+$M$949+$O$947+Q948</f>
        <v>274158.72020810808</v>
      </c>
      <c r="X946">
        <f>u_CongnitiveImpairement</f>
        <v>17.270393127285455</v>
      </c>
      <c r="Z946" s="42">
        <f t="shared" si="110"/>
        <v>66.057272900227574</v>
      </c>
      <c r="AA946" s="6">
        <f t="shared" si="109"/>
        <v>4.1612211752277157E-3</v>
      </c>
    </row>
    <row r="947" spans="7:27" x14ac:dyDescent="0.3">
      <c r="G947" s="48">
        <f>c_LBW</f>
        <v>254701.55809999997</v>
      </c>
      <c r="M947" s="19" t="s">
        <v>203</v>
      </c>
      <c r="O947" s="48">
        <f>c_hypo</f>
        <v>2936.2604000000001</v>
      </c>
      <c r="Q947" s="47">
        <f>Hypo2CI_3-(Hypo2CI_3*noRDS2CLD_3)</f>
        <v>5.1333333333333335E-2</v>
      </c>
      <c r="R947" s="47"/>
      <c r="T947" s="80"/>
      <c r="Z947" s="42">
        <f t="shared" si="110"/>
        <v>0</v>
      </c>
      <c r="AA947" s="6">
        <f t="shared" si="109"/>
        <v>0</v>
      </c>
    </row>
    <row r="948" spans="7:27" x14ac:dyDescent="0.3">
      <c r="M948" s="47">
        <f>S_prem_2noRDS_3</f>
        <v>0.55000000000000004</v>
      </c>
      <c r="Q948" s="48">
        <f>c_cog+c_hosp_fu+c_CSG</f>
        <v>15766</v>
      </c>
      <c r="R948" s="48"/>
      <c r="T948" s="80"/>
      <c r="Z948" s="42">
        <f t="shared" si="110"/>
        <v>0</v>
      </c>
      <c r="AA948" s="6">
        <f t="shared" si="109"/>
        <v>0</v>
      </c>
    </row>
    <row r="949" spans="7:27" x14ac:dyDescent="0.3">
      <c r="M949" s="48"/>
      <c r="O949" s="42"/>
      <c r="Q949" s="19" t="s">
        <v>369</v>
      </c>
      <c r="R949" s="19"/>
      <c r="T949" s="80"/>
      <c r="U949">
        <f>$K$933*$I$922*$G$946*$E$984*$C$1053*$A$1008*$M$948*$O$946*Q950</f>
        <v>0</v>
      </c>
      <c r="V949">
        <v>0</v>
      </c>
      <c r="W949" s="42">
        <f>$K$934+$I$923+$G$947+$E$985+$C$1054+$A$1009+$M$949+$O$947+Q951</f>
        <v>316741.23111050809</v>
      </c>
      <c r="X949">
        <f>u_ChronicResp+u_CongnitiveImpairement</f>
        <v>17.805052694763283</v>
      </c>
      <c r="Z949" s="42">
        <f t="shared" si="110"/>
        <v>0</v>
      </c>
      <c r="AA949" s="6">
        <f t="shared" si="109"/>
        <v>0</v>
      </c>
    </row>
    <row r="950" spans="7:27" x14ac:dyDescent="0.3">
      <c r="M950" s="42"/>
      <c r="Q950" s="47">
        <f>noRDS2CLD_3*Hypo2CI_3</f>
        <v>0</v>
      </c>
      <c r="R950" s="47"/>
      <c r="T950" s="80"/>
      <c r="Z950" s="42">
        <f t="shared" si="110"/>
        <v>0</v>
      </c>
      <c r="AA950" s="6">
        <f t="shared" si="109"/>
        <v>0</v>
      </c>
    </row>
    <row r="951" spans="7:27" x14ac:dyDescent="0.3">
      <c r="M951" s="42"/>
      <c r="Q951" s="48">
        <f>c_lung+c_cog+c_hosp_fu+c_CSG</f>
        <v>58348.510902399998</v>
      </c>
      <c r="R951" s="48"/>
      <c r="T951" s="80"/>
      <c r="Z951" s="42">
        <f t="shared" si="110"/>
        <v>0</v>
      </c>
      <c r="AA951" s="6">
        <f t="shared" si="109"/>
        <v>0</v>
      </c>
    </row>
    <row r="952" spans="7:27" x14ac:dyDescent="0.3">
      <c r="M952" s="42"/>
      <c r="Q952" s="19" t="s">
        <v>370</v>
      </c>
      <c r="R952" s="19"/>
      <c r="T952" s="80"/>
      <c r="U952">
        <f>$K$933*$I$922*$G$946*$E$984*$C$1053*$A$1008*$M$948*$O$946*Q953</f>
        <v>4.4527955110674009E-3</v>
      </c>
      <c r="V952">
        <v>4.4527964101482853E-3</v>
      </c>
      <c r="W952" s="42">
        <f>$K$934+$I$923+$G$947+$E$985+$C$1054+$A$1009+$M$949+$O$947+Q954</f>
        <v>272795.72020810808</v>
      </c>
      <c r="X952">
        <f>u_Healthy</f>
        <v>0</v>
      </c>
      <c r="Z952" s="42">
        <f t="shared" si="110"/>
        <v>1214.7035583810623</v>
      </c>
      <c r="AA952" s="6">
        <f t="shared" si="109"/>
        <v>0</v>
      </c>
    </row>
    <row r="953" spans="7:27" x14ac:dyDescent="0.3">
      <c r="M953" s="42"/>
      <c r="O953" s="42"/>
      <c r="Q953" s="47">
        <f>1-Q950-Q947-Q944</f>
        <v>0.94866666666666666</v>
      </c>
      <c r="R953" s="47"/>
      <c r="T953" s="80"/>
      <c r="Z953" s="42">
        <f t="shared" si="110"/>
        <v>0</v>
      </c>
      <c r="AA953" s="6">
        <f t="shared" si="109"/>
        <v>0</v>
      </c>
    </row>
    <row r="954" spans="7:27" x14ac:dyDescent="0.3">
      <c r="M954" s="42"/>
      <c r="Q954" s="48">
        <f>c_clinic_fu+c_CSG</f>
        <v>14403</v>
      </c>
      <c r="R954" s="48"/>
      <c r="T954" s="80"/>
      <c r="Z954" s="42">
        <f t="shared" si="110"/>
        <v>0</v>
      </c>
      <c r="AA954" s="6">
        <f t="shared" si="109"/>
        <v>0</v>
      </c>
    </row>
    <row r="955" spans="7:27" x14ac:dyDescent="0.3">
      <c r="M955" s="42"/>
      <c r="Q955" s="42"/>
      <c r="R955" s="42"/>
      <c r="S955" s="96"/>
      <c r="T955" s="80"/>
      <c r="Z955" s="42">
        <f t="shared" si="110"/>
        <v>0</v>
      </c>
      <c r="AA955" s="6">
        <f t="shared" si="109"/>
        <v>0</v>
      </c>
    </row>
    <row r="956" spans="7:27" x14ac:dyDescent="0.3">
      <c r="M956" s="42"/>
      <c r="Q956" s="19" t="s">
        <v>368</v>
      </c>
      <c r="R956" s="19"/>
      <c r="T956" s="80"/>
      <c r="U956">
        <f>$K$933*$I$922*$G$946*$E$984*$C$1053*$A$1008*$M$948*$O$960*Q957</f>
        <v>0</v>
      </c>
      <c r="V956">
        <v>0</v>
      </c>
      <c r="W956" s="42">
        <f>$K$934+$I$923+$G$947+$E$985+$C$1054+$A$1009+$M$949+$O$961+Q958</f>
        <v>312015.23111050809</v>
      </c>
      <c r="X956">
        <f>u_ChronicResp</f>
        <v>0.53465956747782661</v>
      </c>
      <c r="Z956" s="42">
        <f t="shared" si="110"/>
        <v>0</v>
      </c>
      <c r="AA956" s="6">
        <f t="shared" si="109"/>
        <v>0</v>
      </c>
    </row>
    <row r="957" spans="7:27" x14ac:dyDescent="0.3">
      <c r="M957" s="42"/>
      <c r="Q957" s="47">
        <f>noRDS2CLD_3-(noRDS2CLD_3*noHypo2CI_3)</f>
        <v>0</v>
      </c>
      <c r="R957" s="47"/>
      <c r="T957" s="80"/>
      <c r="Z957" s="42">
        <f t="shared" si="110"/>
        <v>0</v>
      </c>
      <c r="AA957" s="6">
        <f t="shared" si="109"/>
        <v>0</v>
      </c>
    </row>
    <row r="958" spans="7:27" x14ac:dyDescent="0.3">
      <c r="M958" s="42"/>
      <c r="Q958" s="48">
        <f>c_lung+c_hypo+c_CSG</f>
        <v>56558.771302399997</v>
      </c>
      <c r="R958" s="48"/>
      <c r="T958" s="80"/>
      <c r="Z958" s="42">
        <f t="shared" si="110"/>
        <v>0</v>
      </c>
      <c r="AA958" s="6">
        <f t="shared" si="109"/>
        <v>0</v>
      </c>
    </row>
    <row r="959" spans="7:27" x14ac:dyDescent="0.3">
      <c r="M959" s="42"/>
      <c r="O959" s="19" t="s">
        <v>371</v>
      </c>
      <c r="Q959" s="19" t="s">
        <v>226</v>
      </c>
      <c r="R959" s="19"/>
      <c r="T959" s="80"/>
      <c r="U959">
        <f>$K$933*$I$922*$G$946*$E$984*$C$1053*$A$1008*$M$948*$O$960*Q960</f>
        <v>5.6533189787387928E-4</v>
      </c>
      <c r="V959">
        <v>5.653320120221941E-4</v>
      </c>
      <c r="W959" s="42">
        <f>$K$934+$I$923+$G$947+$E$985+$C$1054+$A$1009+$M$949+$O$961+Q961</f>
        <v>271222.45980810805</v>
      </c>
      <c r="X959">
        <f>u_CongnitiveImpairement</f>
        <v>17.270393127285455</v>
      </c>
      <c r="Z959" s="42">
        <f t="shared" si="110"/>
        <v>153.33070794933965</v>
      </c>
      <c r="AA959" s="6">
        <f t="shared" si="109"/>
        <v>9.7635041236762872E-3</v>
      </c>
    </row>
    <row r="960" spans="7:27" x14ac:dyDescent="0.3">
      <c r="M960" s="42"/>
      <c r="O960" s="47">
        <f>SGA_prem_2normoglycaemia_3</f>
        <v>0.78449999999999998</v>
      </c>
      <c r="Q960" s="47">
        <f>noHypo2CI_3</f>
        <v>3.3085576536761752E-2</v>
      </c>
      <c r="R960" s="47"/>
      <c r="T960" s="80"/>
      <c r="Z960" s="42">
        <f t="shared" si="110"/>
        <v>0</v>
      </c>
      <c r="AA960" s="6">
        <f t="shared" si="109"/>
        <v>0</v>
      </c>
    </row>
    <row r="961" spans="11:27" x14ac:dyDescent="0.3">
      <c r="M961" s="42"/>
      <c r="O961" s="48"/>
      <c r="Q961" s="48">
        <f>c_cog+c_hosp_fu+c_CSG</f>
        <v>15766</v>
      </c>
      <c r="R961" s="48"/>
      <c r="T961" s="80"/>
      <c r="Z961" s="42">
        <f t="shared" si="110"/>
        <v>0</v>
      </c>
      <c r="AA961" s="6">
        <f t="shared" si="109"/>
        <v>0</v>
      </c>
    </row>
    <row r="962" spans="11:27" x14ac:dyDescent="0.3">
      <c r="M962" s="42"/>
      <c r="Q962" s="19" t="s">
        <v>369</v>
      </c>
      <c r="R962" s="19"/>
      <c r="T962" s="80"/>
      <c r="U962">
        <f>$K$933*$I$922*$G$946*$E$984*$C$1053*$A$1008*$M$948*$O$960*Q963</f>
        <v>0</v>
      </c>
      <c r="V962">
        <v>0</v>
      </c>
      <c r="W962" s="42">
        <f>$K$934+$I$923+$G$947+$E$985+$C$1054+$A$1009+$M$949+$O$961+Q964</f>
        <v>313804.97071050806</v>
      </c>
      <c r="X962">
        <f>u_ChronicResp+u_CongnitiveImpairement</f>
        <v>17.805052694763283</v>
      </c>
      <c r="Z962" s="42">
        <f t="shared" si="110"/>
        <v>0</v>
      </c>
      <c r="AA962" s="6">
        <f t="shared" si="109"/>
        <v>0</v>
      </c>
    </row>
    <row r="963" spans="11:27" x14ac:dyDescent="0.3">
      <c r="M963" s="42"/>
      <c r="Q963" s="47">
        <f>noRDS2CLD_3*noHypo2CI_3</f>
        <v>0</v>
      </c>
      <c r="R963" s="47"/>
      <c r="T963" s="80"/>
      <c r="Z963" s="42">
        <f t="shared" si="110"/>
        <v>0</v>
      </c>
      <c r="AA963" s="6">
        <f t="shared" si="109"/>
        <v>0</v>
      </c>
    </row>
    <row r="964" spans="11:27" x14ac:dyDescent="0.3">
      <c r="M964" s="42"/>
      <c r="Q964" s="48">
        <f>c_cog+c_lung+c_hosp_fu+c_CSG</f>
        <v>58348.510902399998</v>
      </c>
      <c r="R964" s="48"/>
      <c r="T964" s="80"/>
      <c r="Z964" s="42">
        <f t="shared" si="110"/>
        <v>0</v>
      </c>
      <c r="AA964" s="6">
        <f t="shared" si="109"/>
        <v>0</v>
      </c>
    </row>
    <row r="965" spans="11:27" x14ac:dyDescent="0.3">
      <c r="M965" s="42"/>
      <c r="Q965" s="19" t="s">
        <v>370</v>
      </c>
      <c r="R965" s="19"/>
      <c r="T965" s="80"/>
      <c r="U965">
        <f>$K$933*$I$922*$G$946*$E$984*$C$1053*$A$1008*$M$948*$O$960*Q966</f>
        <v>1.6521627346911618E-2</v>
      </c>
      <c r="V965">
        <v>1.6521630682856264E-2</v>
      </c>
      <c r="W965" s="42">
        <f>$K$934+$I$923+$G$947+$E$985+$C$1054+$A$1009+$M$949+$O$961+Q967</f>
        <v>269859.45980810805</v>
      </c>
      <c r="X965">
        <f>u_Healthy</f>
        <v>0</v>
      </c>
      <c r="Z965" s="42">
        <f t="shared" si="110"/>
        <v>4458.5174309884342</v>
      </c>
      <c r="AA965" s="6">
        <f t="shared" si="109"/>
        <v>0</v>
      </c>
    </row>
    <row r="966" spans="11:27" x14ac:dyDescent="0.3">
      <c r="M966" s="42"/>
      <c r="Q966" s="47">
        <f>1-Q963-Q960-Q957</f>
        <v>0.9669144234632383</v>
      </c>
      <c r="R966" s="47"/>
      <c r="T966" s="80"/>
      <c r="Z966" s="42">
        <f t="shared" si="110"/>
        <v>0</v>
      </c>
      <c r="AA966" s="6">
        <f t="shared" si="109"/>
        <v>0</v>
      </c>
    </row>
    <row r="967" spans="11:27" x14ac:dyDescent="0.3">
      <c r="M967" s="42"/>
      <c r="Q967" s="48">
        <f>c_clinic_fu+c_CSG</f>
        <v>14403</v>
      </c>
      <c r="R967" s="48"/>
      <c r="T967" s="80"/>
      <c r="Z967" s="42">
        <f t="shared" si="110"/>
        <v>0</v>
      </c>
      <c r="AA967" s="6">
        <f t="shared" si="109"/>
        <v>0</v>
      </c>
    </row>
    <row r="968" spans="11:27" x14ac:dyDescent="0.3">
      <c r="M968" s="42"/>
      <c r="Q968" s="42"/>
      <c r="R968" s="42"/>
      <c r="T968" s="80"/>
      <c r="Z968" s="42">
        <f t="shared" si="110"/>
        <v>0</v>
      </c>
      <c r="AA968" s="6">
        <f t="shared" si="109"/>
        <v>0</v>
      </c>
    </row>
    <row r="969" spans="11:27" x14ac:dyDescent="0.3">
      <c r="K969" s="19" t="s">
        <v>165</v>
      </c>
      <c r="L969" s="19"/>
      <c r="M969" s="19"/>
      <c r="N969" s="19"/>
      <c r="O969" s="19"/>
      <c r="P969" s="19"/>
      <c r="Q969" s="19"/>
      <c r="R969" s="19"/>
      <c r="T969" s="80"/>
      <c r="U969">
        <f>$K$970*$I$978*$G$946*$E$984*$C$1053*$A$1008</f>
        <v>1.9037207546869993E-3</v>
      </c>
      <c r="V969">
        <v>1.9037211390745008E-3</v>
      </c>
      <c r="W969" s="42">
        <f>$K$971+$I$979+$G$947+$E$985+$C$1054+$A$1009</f>
        <v>257248.45980810808</v>
      </c>
      <c r="X969">
        <f>u_Death</f>
        <v>19.181538114427529</v>
      </c>
      <c r="Z969" s="42">
        <f t="shared" si="110"/>
        <v>489.72923204795973</v>
      </c>
      <c r="AA969" s="6">
        <f t="shared" si="109"/>
        <v>3.6516292215255416E-2</v>
      </c>
    </row>
    <row r="970" spans="11:27" x14ac:dyDescent="0.3">
      <c r="K970" s="47">
        <f>AGA_prem_2d_3</f>
        <v>3.5174999999999998E-2</v>
      </c>
      <c r="T970" s="80"/>
      <c r="Z970" s="42">
        <f t="shared" si="110"/>
        <v>0</v>
      </c>
      <c r="AA970" s="6">
        <f t="shared" si="109"/>
        <v>0</v>
      </c>
    </row>
    <row r="971" spans="11:27" x14ac:dyDescent="0.3">
      <c r="K971" s="48">
        <f>c_SB</f>
        <v>1792</v>
      </c>
      <c r="T971" s="80"/>
      <c r="Z971" s="42">
        <f t="shared" si="110"/>
        <v>0</v>
      </c>
      <c r="AA971" s="6">
        <f t="shared" si="109"/>
        <v>0</v>
      </c>
    </row>
    <row r="972" spans="11:27" x14ac:dyDescent="0.3">
      <c r="T972" s="80"/>
      <c r="Z972" s="42">
        <f t="shared" si="110"/>
        <v>0</v>
      </c>
      <c r="AA972" s="6">
        <f t="shared" si="109"/>
        <v>0</v>
      </c>
    </row>
    <row r="973" spans="11:27" x14ac:dyDescent="0.3">
      <c r="Q973" s="19" t="s">
        <v>368</v>
      </c>
      <c r="R973" s="19"/>
      <c r="T973" s="80"/>
      <c r="U973">
        <f>$K$989*$I$978*$G$946*$E$984*$C$1053*$A$1008*$M$984*$O$979*Q974</f>
        <v>1.2070973666218384E-3</v>
      </c>
      <c r="V973">
        <v>1.2070976103514609E-3</v>
      </c>
      <c r="W973" s="42">
        <f>$K$990+$I$979+$G$947+$E$985+$C$1054+$A$1009+$M$985+$O$980+Q975</f>
        <v>343517.84125871374</v>
      </c>
      <c r="X973">
        <f>u_ChronicResp</f>
        <v>0.53465956747782661</v>
      </c>
      <c r="Z973" s="42">
        <f t="shared" si="110"/>
        <v>414.65948157101207</v>
      </c>
      <c r="AA973" s="6">
        <f t="shared" ref="AA973:AA1036" si="111">U973*X973</f>
        <v>6.453861559416556E-4</v>
      </c>
    </row>
    <row r="974" spans="11:27" x14ac:dyDescent="0.3">
      <c r="Q974" s="47">
        <f>RDS2CLD_3-(Hypo2CI_3*RDS2CLD_3)</f>
        <v>0.34246866666666664</v>
      </c>
      <c r="R974" s="47"/>
      <c r="T974" s="80"/>
      <c r="Z974" s="42">
        <f t="shared" si="110"/>
        <v>0</v>
      </c>
      <c r="AA974" s="6">
        <f t="shared" si="111"/>
        <v>0</v>
      </c>
    </row>
    <row r="975" spans="11:27" x14ac:dyDescent="0.3">
      <c r="Q975" s="48">
        <f>c_lung+c_hosp_fu+c_CSG</f>
        <v>54529.510902399998</v>
      </c>
      <c r="R975" s="48"/>
      <c r="T975" s="80"/>
      <c r="Z975" s="42">
        <f t="shared" ref="Z975:Z1038" si="112">U975*W975</f>
        <v>0</v>
      </c>
      <c r="AA975" s="6">
        <f t="shared" si="111"/>
        <v>0</v>
      </c>
    </row>
    <row r="976" spans="11:27" x14ac:dyDescent="0.3">
      <c r="Q976" s="19" t="s">
        <v>226</v>
      </c>
      <c r="R976" s="19"/>
      <c r="T976" s="80"/>
      <c r="U976">
        <f>$K$989*$I$978*$G$946*$E$984*$C$1053*$A$1008*$M$984*$O$979*Q977</f>
        <v>1.1561702331871591E-4</v>
      </c>
      <c r="V976">
        <v>1.1561704666338901E-4</v>
      </c>
      <c r="W976" s="42">
        <f>$K$990+$I$979+$G$947+$E$985+$C$1054+$A$1009+$M$985+$O$980+Q978</f>
        <v>304754.33035631373</v>
      </c>
      <c r="X976">
        <f>u_CongnitiveImpairement</f>
        <v>17.270393127285455</v>
      </c>
      <c r="Z976" s="42">
        <f t="shared" si="112"/>
        <v>35.23478851928558</v>
      </c>
      <c r="AA976" s="6">
        <f t="shared" si="111"/>
        <v>1.9967514449207536E-3</v>
      </c>
    </row>
    <row r="977" spans="5:27" x14ac:dyDescent="0.3">
      <c r="I977" s="19" t="s">
        <v>425</v>
      </c>
      <c r="Q977" s="47">
        <f>Hypo2CI_3-(Hypo2CI_3*RDS2CLD_3)</f>
        <v>3.2801999999999998E-2</v>
      </c>
      <c r="R977" s="47"/>
      <c r="T977" s="80"/>
      <c r="Z977" s="42">
        <f t="shared" si="112"/>
        <v>0</v>
      </c>
      <c r="AA977" s="6">
        <f t="shared" si="111"/>
        <v>0</v>
      </c>
    </row>
    <row r="978" spans="5:27" x14ac:dyDescent="0.3">
      <c r="I978" s="47">
        <f>LBW_prem_2AGA_3</f>
        <v>0.55590452261306533</v>
      </c>
      <c r="O978" s="19" t="s">
        <v>161</v>
      </c>
      <c r="Q978" s="48">
        <f>c_cog+c_hosp_fu+c_CSG</f>
        <v>15766</v>
      </c>
      <c r="R978" s="48"/>
      <c r="T978" s="80"/>
      <c r="Z978" s="42">
        <f t="shared" si="112"/>
        <v>0</v>
      </c>
      <c r="AA978" s="6">
        <f t="shared" si="111"/>
        <v>0</v>
      </c>
    </row>
    <row r="979" spans="5:27" x14ac:dyDescent="0.3">
      <c r="I979" s="48"/>
      <c r="O979" s="47">
        <f>AGA_prem_2hypoglycaemia_3</f>
        <v>0.15</v>
      </c>
      <c r="Q979" s="19" t="s">
        <v>369</v>
      </c>
      <c r="R979" s="19"/>
      <c r="T979" s="80"/>
      <c r="U979">
        <f>$K$989*$I$978*$G$946*$E$984*$C$1053*$A$1008*$M$984*$O$979*Q980</f>
        <v>6.5317285474266742E-5</v>
      </c>
      <c r="V979">
        <v>6.531729866272839E-5</v>
      </c>
      <c r="W979" s="42">
        <f>$K$990+$I$979+$G$947+$E$985+$C$1054+$A$1009+$M$985+$O$980+Q981</f>
        <v>347336.84125871374</v>
      </c>
      <c r="X979">
        <f>u_ChronicResp+u_CongnitiveImpairement</f>
        <v>17.805052694763283</v>
      </c>
      <c r="Z979" s="42">
        <f t="shared" si="112"/>
        <v>22.687099616225478</v>
      </c>
      <c r="AA979" s="6">
        <f t="shared" si="111"/>
        <v>1.1629777097482156E-3</v>
      </c>
    </row>
    <row r="980" spans="5:27" x14ac:dyDescent="0.3">
      <c r="O980" s="48">
        <f>c_hypo</f>
        <v>2936.2604000000001</v>
      </c>
      <c r="Q980" s="47">
        <f>Hypo2CI_3*RDS2CLD_3</f>
        <v>1.8531333333333334E-2</v>
      </c>
      <c r="R980" s="47"/>
      <c r="T980" s="80"/>
      <c r="Z980" s="42">
        <f t="shared" si="112"/>
        <v>0</v>
      </c>
      <c r="AA980" s="6">
        <f t="shared" si="111"/>
        <v>0</v>
      </c>
    </row>
    <row r="981" spans="5:27" x14ac:dyDescent="0.3">
      <c r="M981" s="42"/>
      <c r="Q981" s="48">
        <f>c_lung+c_cog+c_hosp_fu+c_CSG</f>
        <v>58348.510902399998</v>
      </c>
      <c r="R981" s="48"/>
      <c r="T981" s="80"/>
      <c r="Z981" s="42">
        <f t="shared" si="112"/>
        <v>0</v>
      </c>
      <c r="AA981" s="6">
        <f t="shared" si="111"/>
        <v>0</v>
      </c>
    </row>
    <row r="982" spans="5:27" x14ac:dyDescent="0.3">
      <c r="Q982" s="19" t="s">
        <v>370</v>
      </c>
      <c r="R982" s="19"/>
      <c r="T982" s="80"/>
      <c r="U982">
        <f>$K$989*$I$978*$G$946*$E$984*$C$1053*$A$1008*$M$984*$O$979*Q983</f>
        <v>2.1366626517212045E-3</v>
      </c>
      <c r="V982">
        <v>2.1366630831428906E-3</v>
      </c>
      <c r="W982" s="42">
        <f>$K$990+$I$979+$G$947+$E$985+$C$1054+$A$1009+$M$985+$O$980+Q984</f>
        <v>303391.33035631373</v>
      </c>
      <c r="X982">
        <f>u_Healthy</f>
        <v>0</v>
      </c>
      <c r="Z982" s="42">
        <f t="shared" si="112"/>
        <v>648.24492442834526</v>
      </c>
      <c r="AA982" s="6">
        <f t="shared" si="111"/>
        <v>0</v>
      </c>
    </row>
    <row r="983" spans="5:27" x14ac:dyDescent="0.3">
      <c r="E983" s="19" t="s">
        <v>10</v>
      </c>
      <c r="M983" s="19" t="s">
        <v>9</v>
      </c>
      <c r="Q983" s="47">
        <f>1-Q974-Q977-Q980</f>
        <v>0.60619800000000001</v>
      </c>
      <c r="R983" s="47"/>
      <c r="T983" s="80"/>
      <c r="Z983" s="42">
        <f t="shared" si="112"/>
        <v>0</v>
      </c>
      <c r="AA983" s="6">
        <f t="shared" si="111"/>
        <v>0</v>
      </c>
    </row>
    <row r="984" spans="5:27" x14ac:dyDescent="0.3">
      <c r="E984" s="47">
        <f>LB2prem_3</f>
        <v>0.17481773997569866</v>
      </c>
      <c r="K984" s="42"/>
      <c r="M984" s="47">
        <f>S_prem_2RDS_3</f>
        <v>0.45</v>
      </c>
      <c r="Q984" s="48">
        <f>c_clinic_fu+c_CSG</f>
        <v>14403</v>
      </c>
      <c r="R984" s="48"/>
      <c r="T984" s="80"/>
      <c r="Z984" s="42">
        <f t="shared" si="112"/>
        <v>0</v>
      </c>
      <c r="AA984" s="6">
        <f t="shared" si="111"/>
        <v>0</v>
      </c>
    </row>
    <row r="985" spans="5:27" x14ac:dyDescent="0.3">
      <c r="E985" s="48">
        <f>c_prem</f>
        <v>577.9017081081081</v>
      </c>
      <c r="K985" s="42"/>
      <c r="M985" s="48">
        <f>c_RDS</f>
        <v>30595.610148205637</v>
      </c>
      <c r="Q985" s="42"/>
      <c r="R985" s="42"/>
      <c r="T985" s="80"/>
      <c r="Z985" s="42">
        <f t="shared" si="112"/>
        <v>0</v>
      </c>
      <c r="AA985" s="6">
        <f t="shared" si="111"/>
        <v>0</v>
      </c>
    </row>
    <row r="986" spans="5:27" x14ac:dyDescent="0.3">
      <c r="Q986" s="19" t="s">
        <v>368</v>
      </c>
      <c r="R986" s="19"/>
      <c r="T986" s="80"/>
      <c r="U986">
        <f>$K$989*$I$978*$G$946*$E$984*$C$1053*$A$1008*$M$984*$O$989*Q987</f>
        <v>6.9717911185135338E-3</v>
      </c>
      <c r="V986">
        <v>6.9717925262144063E-3</v>
      </c>
      <c r="W986" s="42">
        <f>$K$990+$I$979+$G$947+$E$985+$C$1054+$A$1009+$M$985+$O$990+Q988</f>
        <v>340581.58085871371</v>
      </c>
      <c r="X986">
        <f>u_ChronicResp</f>
        <v>0.53465956747782661</v>
      </c>
      <c r="Z986" s="42">
        <f t="shared" si="112"/>
        <v>2374.4636405600791</v>
      </c>
      <c r="AA986" s="6">
        <f t="shared" si="111"/>
        <v>3.7275348239701992E-3</v>
      </c>
    </row>
    <row r="987" spans="5:27" x14ac:dyDescent="0.3">
      <c r="Q987" s="47">
        <f>RDS2CLD_3-(RDS2CLD_3*noHypo2CI_3)</f>
        <v>0.34905610687022898</v>
      </c>
      <c r="R987" s="47"/>
      <c r="T987" s="80"/>
      <c r="Z987" s="42">
        <f t="shared" si="112"/>
        <v>0</v>
      </c>
      <c r="AA987" s="6">
        <f t="shared" si="111"/>
        <v>0</v>
      </c>
    </row>
    <row r="988" spans="5:27" x14ac:dyDescent="0.3">
      <c r="K988" s="19" t="s">
        <v>37</v>
      </c>
      <c r="M988" s="42"/>
      <c r="O988" s="19" t="s">
        <v>371</v>
      </c>
      <c r="Q988" s="48">
        <f>c_lung+c_hosp_fu+c_CSG</f>
        <v>54529.510902399998</v>
      </c>
      <c r="R988" s="48"/>
      <c r="T988" s="80"/>
      <c r="Z988" s="42">
        <f t="shared" si="112"/>
        <v>0</v>
      </c>
      <c r="AA988" s="6">
        <f t="shared" si="111"/>
        <v>0</v>
      </c>
    </row>
    <row r="989" spans="5:27" x14ac:dyDescent="0.3">
      <c r="K989" s="47">
        <f>AGA_prem_2s_3</f>
        <v>0.96482500000000004</v>
      </c>
      <c r="O989" s="47">
        <f>AGA_prem_2normoglycaemia_3</f>
        <v>0.85</v>
      </c>
      <c r="Q989" s="19" t="s">
        <v>226</v>
      </c>
      <c r="R989" s="19"/>
      <c r="T989" s="80"/>
      <c r="U989">
        <f>$K$989*$I$978*$G$946*$E$984*$C$1053*$A$1008*$M$984*$O$989*Q990</f>
        <v>4.2226850556744842E-4</v>
      </c>
      <c r="V989">
        <v>4.2226859082928909E-4</v>
      </c>
      <c r="W989" s="42">
        <f>$K$990+$I$979+$G$947+$E$985+$C$1054+$A$1009+$M$985+$O$990+Q991</f>
        <v>301818.0699563137</v>
      </c>
      <c r="X989">
        <f>u_CongnitiveImpairement</f>
        <v>17.270393127285455</v>
      </c>
      <c r="Z989" s="42">
        <f t="shared" si="112"/>
        <v>127.44826535370419</v>
      </c>
      <c r="AA989" s="6">
        <f t="shared" si="111"/>
        <v>7.292743096421161E-3</v>
      </c>
    </row>
    <row r="990" spans="5:27" x14ac:dyDescent="0.3">
      <c r="K990" s="48"/>
      <c r="O990" s="48"/>
      <c r="Q990" s="47">
        <f>noHypo2CI_3-(RDS2CLD_3*noHypo2CI_3)</f>
        <v>2.1141683406990762E-2</v>
      </c>
      <c r="R990" s="47"/>
      <c r="T990" s="80"/>
      <c r="Z990" s="42">
        <f t="shared" si="112"/>
        <v>0</v>
      </c>
      <c r="AA990" s="6">
        <f t="shared" si="111"/>
        <v>0</v>
      </c>
    </row>
    <row r="991" spans="5:27" x14ac:dyDescent="0.3">
      <c r="Q991" s="48">
        <f>c_cog+c_hosp_fu+c_CSG</f>
        <v>15766</v>
      </c>
      <c r="R991" s="48"/>
      <c r="T991" s="80"/>
      <c r="Z991" s="42">
        <f t="shared" si="112"/>
        <v>0</v>
      </c>
      <c r="AA991" s="6">
        <f t="shared" si="111"/>
        <v>0</v>
      </c>
    </row>
    <row r="992" spans="5:27" x14ac:dyDescent="0.3">
      <c r="Q992" s="19" t="s">
        <v>369</v>
      </c>
      <c r="R992" s="19"/>
      <c r="T992" s="80"/>
      <c r="U992">
        <f>$K$989*$I$978*$G$946*$E$984*$C$1053*$A$1008*$M$984*$O$989*Q993</f>
        <v>2.3855857669772903E-4</v>
      </c>
      <c r="V992">
        <v>2.3855862486599894E-4</v>
      </c>
      <c r="W992" s="42">
        <f>$K$990+$I$979+$G$947+$E$985+$C$1054+$A$1009+$M$985+$O$990+Q994</f>
        <v>344400.58085871371</v>
      </c>
      <c r="X992">
        <f>u_ChronicResp+u_CongnitiveImpairement</f>
        <v>17.805052694763283</v>
      </c>
      <c r="Z992" s="42">
        <f t="shared" si="112"/>
        <v>82.159712383525886</v>
      </c>
      <c r="AA992" s="6">
        <f t="shared" si="111"/>
        <v>4.2475480288907937E-3</v>
      </c>
    </row>
    <row r="993" spans="1:27" x14ac:dyDescent="0.3">
      <c r="Q993" s="47">
        <f>RDS2CLD_3*noHypo2CI_3</f>
        <v>1.1943893129770991E-2</v>
      </c>
      <c r="R993" s="47"/>
      <c r="T993" s="80"/>
      <c r="Z993" s="42">
        <f t="shared" si="112"/>
        <v>0</v>
      </c>
      <c r="AA993" s="6">
        <f t="shared" si="111"/>
        <v>0</v>
      </c>
    </row>
    <row r="994" spans="1:27" x14ac:dyDescent="0.3">
      <c r="Q994" s="48">
        <f>c_cog+c_lung+c_hosp_fu+c_CSG</f>
        <v>58348.510902399998</v>
      </c>
      <c r="R994" s="48"/>
      <c r="T994" s="80"/>
      <c r="Z994" s="42">
        <f t="shared" si="112"/>
        <v>0</v>
      </c>
      <c r="AA994" s="6">
        <f t="shared" si="111"/>
        <v>0</v>
      </c>
    </row>
    <row r="995" spans="1:27" x14ac:dyDescent="0.3">
      <c r="Q995" s="19" t="s">
        <v>370</v>
      </c>
      <c r="R995" s="19"/>
      <c r="T995" s="80"/>
      <c r="U995">
        <f>$K$989*$I$978*$G$946*$E$984*$C$1053*$A$1008*$M$984*$O$989*Q996</f>
        <v>1.2340649652992105E-2</v>
      </c>
      <c r="V995">
        <v>1.2340652144739632E-2</v>
      </c>
      <c r="W995" s="42">
        <f>$K$990+$I$979+$G$947+$E$985+$C$1054+$A$1009+$M$985+$O$990+Q997</f>
        <v>300455.0699563137</v>
      </c>
      <c r="X995">
        <f>u_Healthy</f>
        <v>0</v>
      </c>
      <c r="Z995" s="42">
        <f t="shared" si="112"/>
        <v>3707.8107547961013</v>
      </c>
      <c r="AA995" s="6">
        <f t="shared" si="111"/>
        <v>0</v>
      </c>
    </row>
    <row r="996" spans="1:27" x14ac:dyDescent="0.3">
      <c r="Q996" s="47">
        <f>1-Q993-Q990-Q987</f>
        <v>0.61785831659300938</v>
      </c>
      <c r="R996" s="47"/>
      <c r="T996" s="80"/>
      <c r="Z996" s="42">
        <f t="shared" si="112"/>
        <v>0</v>
      </c>
      <c r="AA996" s="6">
        <f t="shared" si="111"/>
        <v>0</v>
      </c>
    </row>
    <row r="997" spans="1:27" x14ac:dyDescent="0.3">
      <c r="Q997" s="48">
        <f>c_clinic_fu+c_CSG</f>
        <v>14403</v>
      </c>
      <c r="R997" s="48"/>
      <c r="T997" s="80"/>
      <c r="Z997" s="42">
        <f t="shared" si="112"/>
        <v>0</v>
      </c>
      <c r="AA997" s="6">
        <f t="shared" si="111"/>
        <v>0</v>
      </c>
    </row>
    <row r="998" spans="1:27" x14ac:dyDescent="0.3">
      <c r="Q998" s="42"/>
      <c r="R998" s="42"/>
      <c r="T998" s="80"/>
      <c r="Z998" s="42">
        <f t="shared" si="112"/>
        <v>0</v>
      </c>
      <c r="AA998" s="6">
        <f t="shared" si="111"/>
        <v>0</v>
      </c>
    </row>
    <row r="999" spans="1:27" x14ac:dyDescent="0.3">
      <c r="Q999" s="19" t="s">
        <v>368</v>
      </c>
      <c r="R999" s="19"/>
      <c r="T999" s="80"/>
      <c r="U999">
        <f>$K$989*$I$978*$G$946*$E$984*$C$1053*$A$1008*$M$1004*$O$1002*Q1000</f>
        <v>0</v>
      </c>
      <c r="W999" s="42">
        <f>$K$990+$I$979+$G$947+$E$985+$C$1054+$A$1009+$M$1005+$O$1003+Q1001</f>
        <v>312922.23111050809</v>
      </c>
      <c r="X999">
        <f>u_ChronicResp</f>
        <v>0.53465956747782661</v>
      </c>
      <c r="Z999" s="42">
        <f t="shared" si="112"/>
        <v>0</v>
      </c>
      <c r="AA999" s="6">
        <f t="shared" si="111"/>
        <v>0</v>
      </c>
    </row>
    <row r="1000" spans="1:27" x14ac:dyDescent="0.3">
      <c r="Q1000" s="47">
        <f>noRDS2CLD_3-(Hypo2CI_3*noRDS2CLD_3)</f>
        <v>0</v>
      </c>
      <c r="R1000" s="47"/>
      <c r="T1000" s="80"/>
      <c r="V1000">
        <v>0</v>
      </c>
      <c r="Z1000" s="42">
        <f t="shared" si="112"/>
        <v>0</v>
      </c>
      <c r="AA1000" s="6">
        <f t="shared" si="111"/>
        <v>0</v>
      </c>
    </row>
    <row r="1001" spans="1:27" x14ac:dyDescent="0.3">
      <c r="O1001" s="19" t="s">
        <v>161</v>
      </c>
      <c r="Q1001" s="48">
        <f>c_lung+c_hosp_fu+c_CSG</f>
        <v>54529.510902399998</v>
      </c>
      <c r="R1001" s="48"/>
      <c r="T1001" s="80"/>
      <c r="Z1001" s="42">
        <f t="shared" si="112"/>
        <v>0</v>
      </c>
      <c r="AA1001" s="6">
        <f t="shared" si="111"/>
        <v>0</v>
      </c>
    </row>
    <row r="1002" spans="1:27" x14ac:dyDescent="0.3">
      <c r="O1002" s="47">
        <f>AGA_prem_2hypoglycaemia_3</f>
        <v>0.15</v>
      </c>
      <c r="Q1002" s="19" t="s">
        <v>226</v>
      </c>
      <c r="R1002" s="19"/>
      <c r="T1002" s="80"/>
      <c r="U1002">
        <f>$K$989*$I$978*$G$946*$E$984*$C$1053*$A$1008*$M$1004*$O$1002*Q1003</f>
        <v>2.2114193296920103E-4</v>
      </c>
      <c r="V1002">
        <v>2.2114197762081018E-4</v>
      </c>
      <c r="W1002" s="42">
        <f>$K$990+$I$979+$G$947+$E$985+$C$1054+$A$1009+$M$1005+$O$1003+Q1004</f>
        <v>274158.72020810808</v>
      </c>
      <c r="X1002">
        <f>u_CongnitiveImpairement</f>
        <v>17.270393127285455</v>
      </c>
      <c r="Z1002" s="42">
        <f t="shared" si="112"/>
        <v>60.627989327183379</v>
      </c>
      <c r="AA1002" s="6">
        <f t="shared" si="111"/>
        <v>3.8192081193059104E-3</v>
      </c>
    </row>
    <row r="1003" spans="1:27" x14ac:dyDescent="0.3">
      <c r="M1003" s="19" t="s">
        <v>203</v>
      </c>
      <c r="O1003" s="48">
        <f>c_hypo</f>
        <v>2936.2604000000001</v>
      </c>
      <c r="Q1003" s="47">
        <f>Hypo2CI_3-(Hypo2CI_3*noRDS2CLD_3)</f>
        <v>5.1333333333333335E-2</v>
      </c>
      <c r="R1003" s="47"/>
      <c r="T1003" s="80"/>
      <c r="Z1003" s="42">
        <f t="shared" si="112"/>
        <v>0</v>
      </c>
      <c r="AA1003" s="6">
        <f t="shared" si="111"/>
        <v>0</v>
      </c>
    </row>
    <row r="1004" spans="1:27" x14ac:dyDescent="0.3">
      <c r="M1004" s="47">
        <f>S_prem_2noRDS_3</f>
        <v>0.55000000000000004</v>
      </c>
      <c r="Q1004" s="48">
        <f>c_cog+c_hosp_fu+c_CSG</f>
        <v>15766</v>
      </c>
      <c r="R1004" s="48"/>
      <c r="T1004" s="80"/>
      <c r="Z1004" s="42">
        <f t="shared" si="112"/>
        <v>0</v>
      </c>
      <c r="AA1004" s="6">
        <f t="shared" si="111"/>
        <v>0</v>
      </c>
    </row>
    <row r="1005" spans="1:27" x14ac:dyDescent="0.3">
      <c r="M1005" s="48"/>
      <c r="O1005" s="42"/>
      <c r="Q1005" s="19" t="s">
        <v>369</v>
      </c>
      <c r="R1005" s="19"/>
      <c r="T1005" s="80"/>
      <c r="U1005">
        <f>$K$989*$I$978*$G$946*$E$984*$C$1053*$A$1008*$M$1004*$O$1002*Q1006</f>
        <v>0</v>
      </c>
      <c r="V1005">
        <v>0</v>
      </c>
      <c r="W1005" s="42">
        <f>$K$990+$I$979+$G$947+$E$985+$C$1054+$A$1009+$M$1005+$O$1003+Q1007</f>
        <v>316741.23111050809</v>
      </c>
      <c r="X1005">
        <f>u_ChronicResp+u_CongnitiveImpairement</f>
        <v>17.805052694763283</v>
      </c>
      <c r="Z1005" s="42">
        <f t="shared" si="112"/>
        <v>0</v>
      </c>
      <c r="AA1005" s="6">
        <f t="shared" si="111"/>
        <v>0</v>
      </c>
    </row>
    <row r="1006" spans="1:27" x14ac:dyDescent="0.3">
      <c r="A1006" t="s">
        <v>298</v>
      </c>
      <c r="M1006" s="42"/>
      <c r="Q1006" s="47">
        <f>noRDS2CLD_3*Hypo2CI_3</f>
        <v>0</v>
      </c>
      <c r="R1006" s="47"/>
      <c r="T1006" s="80"/>
      <c r="Z1006" s="42">
        <f t="shared" si="112"/>
        <v>0</v>
      </c>
      <c r="AA1006" s="6">
        <f t="shared" si="111"/>
        <v>0</v>
      </c>
    </row>
    <row r="1007" spans="1:27" x14ac:dyDescent="0.3">
      <c r="A1007" s="19" t="s">
        <v>202</v>
      </c>
      <c r="M1007" s="42"/>
      <c r="Q1007" s="48">
        <f>c_lung+c_cog+c_hosp_fu+c_CSG</f>
        <v>58348.510902399998</v>
      </c>
      <c r="R1007" s="48"/>
      <c r="T1007" s="80"/>
      <c r="Z1007" s="42">
        <f t="shared" si="112"/>
        <v>0</v>
      </c>
      <c r="AA1007" s="6">
        <f t="shared" si="111"/>
        <v>0</v>
      </c>
    </row>
    <row r="1008" spans="1:27" x14ac:dyDescent="0.3">
      <c r="A1008" s="47">
        <f>NoG2ANC</f>
        <v>0.83099999999999996</v>
      </c>
      <c r="M1008" s="42"/>
      <c r="Q1008" s="19" t="s">
        <v>370</v>
      </c>
      <c r="R1008" s="19"/>
      <c r="T1008" s="80"/>
      <c r="U1008">
        <f>$K$989*$I$978*$G$946*$E$984*$C$1053*$A$1008*$M$1004*$O$1002*Q1009</f>
        <v>4.0868178001970523E-3</v>
      </c>
      <c r="V1008">
        <v>4.0868186253819857E-3</v>
      </c>
      <c r="W1008" s="42">
        <f>$K$990+$I$979+$G$947+$E$985+$C$1054+$A$1009+$M$1005+$O$1003+Q1010</f>
        <v>272795.72020810808</v>
      </c>
      <c r="X1008">
        <f>u_Healthy</f>
        <v>0</v>
      </c>
      <c r="Z1008" s="42">
        <f t="shared" si="112"/>
        <v>1114.8664051640708</v>
      </c>
      <c r="AA1008" s="6">
        <f t="shared" si="111"/>
        <v>0</v>
      </c>
    </row>
    <row r="1009" spans="1:27" x14ac:dyDescent="0.3">
      <c r="A1009" s="48">
        <f>c_ANC</f>
        <v>177</v>
      </c>
      <c r="M1009" s="42"/>
      <c r="O1009" s="42"/>
      <c r="Q1009" s="47">
        <f>1-Q1006-Q1003-Q1000</f>
        <v>0.94866666666666666</v>
      </c>
      <c r="R1009" s="47"/>
      <c r="T1009" s="80"/>
      <c r="Z1009" s="42">
        <f t="shared" si="112"/>
        <v>0</v>
      </c>
      <c r="AA1009" s="6">
        <f t="shared" si="111"/>
        <v>0</v>
      </c>
    </row>
    <row r="1010" spans="1:27" x14ac:dyDescent="0.3">
      <c r="M1010" s="42"/>
      <c r="Q1010" s="48">
        <f>c_clinic_fu+c_CSG</f>
        <v>14403</v>
      </c>
      <c r="R1010" s="48"/>
      <c r="S1010" s="96"/>
      <c r="T1010" s="80"/>
      <c r="Z1010" s="42">
        <f t="shared" si="112"/>
        <v>0</v>
      </c>
      <c r="AA1010" s="6">
        <f t="shared" si="111"/>
        <v>0</v>
      </c>
    </row>
    <row r="1011" spans="1:27" x14ac:dyDescent="0.3">
      <c r="M1011" s="42"/>
      <c r="Q1011" s="42"/>
      <c r="R1011" s="42"/>
      <c r="T1011" s="80"/>
      <c r="Z1011" s="42">
        <f t="shared" si="112"/>
        <v>0</v>
      </c>
      <c r="AA1011" s="6">
        <f t="shared" si="111"/>
        <v>0</v>
      </c>
    </row>
    <row r="1012" spans="1:27" x14ac:dyDescent="0.3">
      <c r="M1012" s="42"/>
      <c r="Q1012" s="19" t="s">
        <v>368</v>
      </c>
      <c r="R1012" s="19"/>
      <c r="T1012" s="80"/>
      <c r="U1012">
        <f>$K$989*$I$978*$G$946*$E$984*$C$1053*$A$1008*$M$1004*$O$1016*Q1013</f>
        <v>0</v>
      </c>
      <c r="V1012">
        <v>0</v>
      </c>
      <c r="W1012" s="42">
        <f>$K$990+$I$979+$G$947+$E$985+$C$1054+$A$1009+$M$1005+$O$1017+Q1014</f>
        <v>312015.23111050809</v>
      </c>
      <c r="X1012">
        <f>u_ChronicResp</f>
        <v>0.53465956747782661</v>
      </c>
      <c r="Z1012" s="42">
        <f t="shared" si="112"/>
        <v>0</v>
      </c>
      <c r="AA1012" s="6">
        <f t="shared" si="111"/>
        <v>0</v>
      </c>
    </row>
    <row r="1013" spans="1:27" x14ac:dyDescent="0.3">
      <c r="M1013" s="42"/>
      <c r="Q1013" s="47">
        <f>noRDS2CLD_3-(noRDS2CLD_3*noHypo2CI_3)</f>
        <v>0</v>
      </c>
      <c r="R1013" s="47"/>
      <c r="T1013" s="80"/>
      <c r="Z1013" s="42">
        <f t="shared" si="112"/>
        <v>0</v>
      </c>
      <c r="AA1013" s="6">
        <f t="shared" si="111"/>
        <v>0</v>
      </c>
    </row>
    <row r="1014" spans="1:27" x14ac:dyDescent="0.3">
      <c r="M1014" s="42"/>
      <c r="Q1014" s="48">
        <f>c_lung+c_hypo+c_CSG</f>
        <v>56558.771302399997</v>
      </c>
      <c r="R1014" s="48"/>
      <c r="T1014" s="80"/>
      <c r="Z1014" s="42">
        <f t="shared" si="112"/>
        <v>0</v>
      </c>
      <c r="AA1014" s="6">
        <f t="shared" si="111"/>
        <v>0</v>
      </c>
    </row>
    <row r="1015" spans="1:27" x14ac:dyDescent="0.3">
      <c r="M1015" s="42"/>
      <c r="O1015" s="19" t="s">
        <v>371</v>
      </c>
      <c r="Q1015" s="19" t="s">
        <v>226</v>
      </c>
      <c r="R1015" s="19"/>
      <c r="T1015" s="80"/>
      <c r="U1015">
        <f>$K$989*$I$978*$G$946*$E$984*$C$1053*$A$1008*$M$1004*$O$1016*Q1016</f>
        <v>8.0767754499077237E-4</v>
      </c>
      <c r="V1015">
        <v>8.0767770807201869E-4</v>
      </c>
      <c r="W1015" s="42">
        <f>$K$990+$I$979+$G$947+$E$985+$C$1054+$A$1009+$M$1005+$O$1017+Q1017</f>
        <v>271222.45980810805</v>
      </c>
      <c r="X1015">
        <f>u_CongnitiveImpairement</f>
        <v>17.270393127285455</v>
      </c>
      <c r="Z1015" s="42">
        <f t="shared" si="112"/>
        <v>219.06029048417113</v>
      </c>
      <c r="AA1015" s="6">
        <f t="shared" si="111"/>
        <v>1.3948908722071425E-2</v>
      </c>
    </row>
    <row r="1016" spans="1:27" x14ac:dyDescent="0.3">
      <c r="M1016" s="42"/>
      <c r="O1016" s="47">
        <f>AGA_prem_2normoglycaemia_3</f>
        <v>0.85</v>
      </c>
      <c r="Q1016" s="47">
        <f>noHypo2CI_3</f>
        <v>3.3085576536761752E-2</v>
      </c>
      <c r="R1016" s="47"/>
      <c r="T1016" s="80"/>
      <c r="Z1016" s="42">
        <f t="shared" si="112"/>
        <v>0</v>
      </c>
      <c r="AA1016" s="6">
        <f t="shared" si="111"/>
        <v>0</v>
      </c>
    </row>
    <row r="1017" spans="1:27" x14ac:dyDescent="0.3">
      <c r="M1017" s="42"/>
      <c r="O1017" s="48"/>
      <c r="Q1017" s="48">
        <f>c_cog+c_hosp_fu+c_CSG</f>
        <v>15766</v>
      </c>
      <c r="R1017" s="48"/>
      <c r="T1017" s="80"/>
      <c r="Z1017" s="42">
        <f t="shared" si="112"/>
        <v>0</v>
      </c>
      <c r="AA1017" s="6">
        <f t="shared" si="111"/>
        <v>0</v>
      </c>
    </row>
    <row r="1018" spans="1:27" x14ac:dyDescent="0.3">
      <c r="M1018" s="42"/>
      <c r="Q1018" s="19" t="s">
        <v>369</v>
      </c>
      <c r="R1018" s="19"/>
      <c r="T1018" s="80"/>
      <c r="U1018">
        <f>$K$989*$I$978*$G$946*$E$984*$C$1053*$A$1008*$M$1004*$O$1016*Q1019</f>
        <v>0</v>
      </c>
      <c r="V1018">
        <v>0</v>
      </c>
      <c r="W1018" s="42">
        <f>$K$990+$I$979+$G$947+$E$985+$C$1054+$A$1009+$M$1005+$O$1017+Q1020</f>
        <v>313804.97071050806</v>
      </c>
      <c r="X1018">
        <f>u_ChronicResp+u_CongnitiveImpairement</f>
        <v>17.805052694763283</v>
      </c>
      <c r="Z1018" s="42">
        <f t="shared" si="112"/>
        <v>0</v>
      </c>
      <c r="AA1018" s="6">
        <f t="shared" si="111"/>
        <v>0</v>
      </c>
    </row>
    <row r="1019" spans="1:27" x14ac:dyDescent="0.3">
      <c r="Q1019" s="47">
        <f>noRDS2CLD_3*noHypo2CI_3</f>
        <v>0</v>
      </c>
      <c r="R1019" s="47"/>
      <c r="T1019" s="80"/>
      <c r="Z1019" s="42">
        <f t="shared" si="112"/>
        <v>0</v>
      </c>
      <c r="AA1019" s="6">
        <f t="shared" si="111"/>
        <v>0</v>
      </c>
    </row>
    <row r="1020" spans="1:27" x14ac:dyDescent="0.3">
      <c r="Q1020" s="48">
        <f>c_cog+c_lung+c_hosp_fu+c_CSG</f>
        <v>58348.510902399998</v>
      </c>
      <c r="R1020" s="48"/>
      <c r="T1020" s="80"/>
      <c r="Z1020" s="42">
        <f t="shared" si="112"/>
        <v>0</v>
      </c>
      <c r="AA1020" s="6">
        <f t="shared" si="111"/>
        <v>0</v>
      </c>
    </row>
    <row r="1021" spans="1:27" x14ac:dyDescent="0.3">
      <c r="M1021" s="42"/>
      <c r="Q1021" s="19" t="s">
        <v>370</v>
      </c>
      <c r="R1021" s="19"/>
      <c r="T1021" s="80"/>
      <c r="U1021">
        <f>$K$989*$I$978*$G$946*$E$984*$C$1053*$A$1008*$M$1004*$O$1016*Q1022</f>
        <v>2.3604094276284668E-2</v>
      </c>
      <c r="V1021">
        <v>2.3604099042277157E-2</v>
      </c>
      <c r="W1021" s="42">
        <f>$K$990+$I$979+$G$947+$E$985+$C$1054+$A$1009+$M$1005+$O$1017+Q1023</f>
        <v>269859.45980810805</v>
      </c>
      <c r="X1021">
        <f>u_Healthy</f>
        <v>0</v>
      </c>
      <c r="Z1021" s="42">
        <f t="shared" si="112"/>
        <v>6369.7881306578356</v>
      </c>
      <c r="AA1021" s="6">
        <f t="shared" si="111"/>
        <v>0</v>
      </c>
    </row>
    <row r="1022" spans="1:27" x14ac:dyDescent="0.3">
      <c r="M1022" s="42"/>
      <c r="Q1022" s="47">
        <f>1-Q1019-Q1016-Q1013</f>
        <v>0.9669144234632383</v>
      </c>
      <c r="R1022" s="47"/>
      <c r="T1022" s="80"/>
      <c r="Z1022" s="42">
        <f t="shared" si="112"/>
        <v>0</v>
      </c>
      <c r="AA1022" s="6">
        <f t="shared" si="111"/>
        <v>0</v>
      </c>
    </row>
    <row r="1023" spans="1:27" x14ac:dyDescent="0.3">
      <c r="M1023" s="42"/>
      <c r="Q1023" s="48">
        <f>c_clinic_fu+c_CSG</f>
        <v>14403</v>
      </c>
      <c r="R1023" s="48"/>
      <c r="T1023" s="80"/>
      <c r="Z1023" s="42">
        <f t="shared" si="112"/>
        <v>0</v>
      </c>
      <c r="AA1023" s="6">
        <f t="shared" si="111"/>
        <v>0</v>
      </c>
    </row>
    <row r="1024" spans="1:27" x14ac:dyDescent="0.3">
      <c r="M1024" s="42"/>
      <c r="Q1024" s="42"/>
      <c r="R1024" s="42"/>
      <c r="T1024" s="80"/>
      <c r="Z1024" s="42">
        <f t="shared" si="112"/>
        <v>0</v>
      </c>
      <c r="AA1024" s="6">
        <f t="shared" si="111"/>
        <v>0</v>
      </c>
    </row>
    <row r="1025" spans="9:27" x14ac:dyDescent="0.3">
      <c r="K1025" s="19" t="s">
        <v>165</v>
      </c>
      <c r="L1025" s="19"/>
      <c r="M1025" s="19"/>
      <c r="N1025" s="19"/>
      <c r="O1025" s="19"/>
      <c r="P1025" s="19"/>
      <c r="Q1025" s="19"/>
      <c r="R1025" s="19"/>
      <c r="T1025" s="80"/>
      <c r="U1025">
        <f>$K$1026*$I$1034*$G$1055*$E$984*$C$1053*$A$1008</f>
        <v>0</v>
      </c>
      <c r="V1025">
        <v>0</v>
      </c>
      <c r="W1025" s="42">
        <f>$K$1027+$I$1035+$G$1056+$E$985+$C$1054+$A$1009</f>
        <v>3802.1017081081081</v>
      </c>
      <c r="X1025">
        <f>u_Death</f>
        <v>19.181538114427529</v>
      </c>
      <c r="Z1025" s="42">
        <f t="shared" si="112"/>
        <v>0</v>
      </c>
      <c r="AA1025" s="6">
        <f t="shared" si="111"/>
        <v>0</v>
      </c>
    </row>
    <row r="1026" spans="9:27" x14ac:dyDescent="0.3">
      <c r="K1026" s="47">
        <f>SGA_prem_2d_3</f>
        <v>8.4066666666666665E-2</v>
      </c>
      <c r="T1026" s="80"/>
      <c r="Z1026" s="42">
        <f t="shared" si="112"/>
        <v>0</v>
      </c>
      <c r="AA1026" s="6">
        <f t="shared" si="111"/>
        <v>0</v>
      </c>
    </row>
    <row r="1027" spans="9:27" x14ac:dyDescent="0.3">
      <c r="K1027" s="48">
        <f>c_SB</f>
        <v>1792</v>
      </c>
      <c r="T1027" s="80"/>
      <c r="Z1027" s="42">
        <f t="shared" si="112"/>
        <v>0</v>
      </c>
      <c r="AA1027" s="6">
        <f t="shared" si="111"/>
        <v>0</v>
      </c>
    </row>
    <row r="1028" spans="9:27" x14ac:dyDescent="0.3">
      <c r="T1028" s="80"/>
      <c r="Z1028" s="42">
        <f t="shared" si="112"/>
        <v>0</v>
      </c>
      <c r="AA1028" s="6">
        <f t="shared" si="111"/>
        <v>0</v>
      </c>
    </row>
    <row r="1029" spans="9:27" x14ac:dyDescent="0.3">
      <c r="Q1029" s="19" t="s">
        <v>368</v>
      </c>
      <c r="R1029" s="19"/>
      <c r="T1029" s="80"/>
      <c r="U1029">
        <f>$K$1045*$I$1034*$G$1055*$E$984*$C$1053*$A$1008*$M$1040*$O$1035*Q1030</f>
        <v>0</v>
      </c>
      <c r="V1029">
        <v>0</v>
      </c>
      <c r="W1029" s="42">
        <f>$K$1046+$I$1035+$G$1056+$E$985+$C$1054+$A$1009+$M$1041+$O$1036+Q1031</f>
        <v>90071.483158713745</v>
      </c>
      <c r="X1029">
        <f>u_ChronicResp</f>
        <v>0.53465956747782661</v>
      </c>
      <c r="Z1029" s="42">
        <f t="shared" si="112"/>
        <v>0</v>
      </c>
      <c r="AA1029" s="6">
        <f t="shared" si="111"/>
        <v>0</v>
      </c>
    </row>
    <row r="1030" spans="9:27" x14ac:dyDescent="0.3">
      <c r="Q1030" s="47">
        <f>RDS2CLD_3-(Hypo2CI_3*RDS2CLD_3)</f>
        <v>0.34246866666666664</v>
      </c>
      <c r="R1030" s="47"/>
      <c r="T1030" s="80"/>
      <c r="Z1030" s="42">
        <f t="shared" si="112"/>
        <v>0</v>
      </c>
      <c r="AA1030" s="6">
        <f t="shared" si="111"/>
        <v>0</v>
      </c>
    </row>
    <row r="1031" spans="9:27" x14ac:dyDescent="0.3">
      <c r="Q1031" s="48">
        <f>c_lung+c_hosp_fu+c_CSG</f>
        <v>54529.510902399998</v>
      </c>
      <c r="R1031" s="48"/>
      <c r="T1031" s="80"/>
      <c r="Z1031" s="42">
        <f t="shared" si="112"/>
        <v>0</v>
      </c>
      <c r="AA1031" s="6">
        <f t="shared" si="111"/>
        <v>0</v>
      </c>
    </row>
    <row r="1032" spans="9:27" x14ac:dyDescent="0.3">
      <c r="Q1032" s="19" t="s">
        <v>226</v>
      </c>
      <c r="R1032" s="19"/>
      <c r="T1032" s="80"/>
      <c r="U1032">
        <f>$K$1045*$I$1034*$G$1055*$E$984*$C$1053*$A$1008*$M$1040*$O$1035*Q1033</f>
        <v>0</v>
      </c>
      <c r="V1032">
        <v>0</v>
      </c>
      <c r="W1032" s="42">
        <f>$K$1046+$I$1035+$G$1056+$E$985+$C$1054+$A$1009+$M$1041+$O$1036+Q1034</f>
        <v>51307.972256313747</v>
      </c>
      <c r="X1032">
        <f>u_CongnitiveImpairement</f>
        <v>17.270393127285455</v>
      </c>
      <c r="Z1032" s="42">
        <f t="shared" si="112"/>
        <v>0</v>
      </c>
      <c r="AA1032" s="6">
        <f t="shared" si="111"/>
        <v>0</v>
      </c>
    </row>
    <row r="1033" spans="9:27" x14ac:dyDescent="0.3">
      <c r="I1033" s="19" t="s">
        <v>164</v>
      </c>
      <c r="Q1033" s="47">
        <f>Hypo2CI_3-(Hypo2CI_3*RDS2CLD_3)</f>
        <v>3.2801999999999998E-2</v>
      </c>
      <c r="R1033" s="47"/>
      <c r="T1033" s="80"/>
      <c r="Z1033" s="42">
        <f t="shared" si="112"/>
        <v>0</v>
      </c>
      <c r="AA1033" s="6">
        <f t="shared" si="111"/>
        <v>0</v>
      </c>
    </row>
    <row r="1034" spans="9:27" x14ac:dyDescent="0.3">
      <c r="I1034" s="47">
        <f>NBW_prem_2SGA_3</f>
        <v>0</v>
      </c>
      <c r="O1034" s="19" t="s">
        <v>161</v>
      </c>
      <c r="Q1034" s="48">
        <f>c_cog+c_hosp_fu+c_CSG</f>
        <v>15766</v>
      </c>
      <c r="R1034" s="48"/>
      <c r="T1034" s="80"/>
      <c r="Z1034" s="42">
        <f t="shared" si="112"/>
        <v>0</v>
      </c>
      <c r="AA1034" s="6">
        <f t="shared" si="111"/>
        <v>0</v>
      </c>
    </row>
    <row r="1035" spans="9:27" x14ac:dyDescent="0.3">
      <c r="I1035" s="48"/>
      <c r="O1035" s="47">
        <f>SGA_prem_2hypoglycaemia_3</f>
        <v>0.2155</v>
      </c>
      <c r="Q1035" s="19" t="s">
        <v>369</v>
      </c>
      <c r="R1035" s="19"/>
      <c r="T1035" s="80"/>
      <c r="U1035">
        <f>$K$1045*$I$1034*$G$1055*$E$984*$C$1053*$A$1008*$M$1040*$O$1035*Q1036</f>
        <v>0</v>
      </c>
      <c r="V1035">
        <v>0</v>
      </c>
      <c r="W1035" s="42">
        <f>$K$1046+$I$1035+$G$1056+$E$985+$C$1054+$A$1009+$M$1041+$O$1036+Q1037</f>
        <v>93890.483158713745</v>
      </c>
      <c r="X1035">
        <f>u_ChronicResp+u_CongnitiveImpairement</f>
        <v>17.805052694763283</v>
      </c>
      <c r="Z1035" s="42">
        <f t="shared" si="112"/>
        <v>0</v>
      </c>
      <c r="AA1035" s="6">
        <f t="shared" si="111"/>
        <v>0</v>
      </c>
    </row>
    <row r="1036" spans="9:27" x14ac:dyDescent="0.3">
      <c r="O1036" s="48">
        <f>c_hypo</f>
        <v>2936.2604000000001</v>
      </c>
      <c r="Q1036" s="47">
        <f>Hypo2CI_3*RDS2CLD_3</f>
        <v>1.8531333333333334E-2</v>
      </c>
      <c r="R1036" s="47"/>
      <c r="T1036" s="80"/>
      <c r="Z1036" s="42">
        <f t="shared" si="112"/>
        <v>0</v>
      </c>
      <c r="AA1036" s="6">
        <f t="shared" si="111"/>
        <v>0</v>
      </c>
    </row>
    <row r="1037" spans="9:27" x14ac:dyDescent="0.3">
      <c r="M1037" s="42"/>
      <c r="Q1037" s="48">
        <f>c_lung+c_cog+c_hosp_fu+c_CSG</f>
        <v>58348.510902399998</v>
      </c>
      <c r="R1037" s="48"/>
      <c r="T1037" s="80"/>
      <c r="Z1037" s="42">
        <f t="shared" si="112"/>
        <v>0</v>
      </c>
      <c r="AA1037" s="6">
        <f t="shared" ref="AA1037:AA1100" si="113">U1037*X1037</f>
        <v>0</v>
      </c>
    </row>
    <row r="1038" spans="9:27" x14ac:dyDescent="0.3">
      <c r="Q1038" s="19" t="s">
        <v>370</v>
      </c>
      <c r="R1038" s="19"/>
      <c r="T1038" s="80"/>
      <c r="U1038">
        <f>$K$1045*$I$1034*$G$1055*$E$984*$C$1053*$A$1008*$M$1040*$O$1035*Q1039</f>
        <v>0</v>
      </c>
      <c r="V1038">
        <v>0</v>
      </c>
      <c r="W1038" s="42">
        <f>$K$1046+$I$1035+$G$1056+$E$985+$C$1054+$A$1009+$M$1041+$O$1036+Q1040</f>
        <v>49944.972256313747</v>
      </c>
      <c r="X1038">
        <f>u_Healthy</f>
        <v>0</v>
      </c>
      <c r="Z1038" s="42">
        <f t="shared" si="112"/>
        <v>0</v>
      </c>
      <c r="AA1038" s="6">
        <f t="shared" si="113"/>
        <v>0</v>
      </c>
    </row>
    <row r="1039" spans="9:27" x14ac:dyDescent="0.3">
      <c r="M1039" s="19" t="s">
        <v>9</v>
      </c>
      <c r="Q1039" s="47">
        <f>1-Q1030-Q1033-Q1036</f>
        <v>0.60619800000000001</v>
      </c>
      <c r="R1039" s="47"/>
      <c r="T1039" s="80"/>
      <c r="Z1039" s="42">
        <f t="shared" ref="Z1039:Z1102" si="114">U1039*W1039</f>
        <v>0</v>
      </c>
      <c r="AA1039" s="6">
        <f t="shared" si="113"/>
        <v>0</v>
      </c>
    </row>
    <row r="1040" spans="9:27" x14ac:dyDescent="0.3">
      <c r="K1040" s="42"/>
      <c r="M1040" s="47">
        <f>S_prem_2RDS_3</f>
        <v>0.45</v>
      </c>
      <c r="Q1040" s="48">
        <f>c_clinic_fu+c_CSG</f>
        <v>14403</v>
      </c>
      <c r="R1040" s="48"/>
      <c r="T1040" s="80"/>
      <c r="Z1040" s="42">
        <f t="shared" si="114"/>
        <v>0</v>
      </c>
      <c r="AA1040" s="6">
        <f t="shared" si="113"/>
        <v>0</v>
      </c>
    </row>
    <row r="1041" spans="3:27" x14ac:dyDescent="0.3">
      <c r="K1041" s="42"/>
      <c r="M1041" s="48">
        <f>c_RDS</f>
        <v>30595.610148205637</v>
      </c>
      <c r="Q1041" s="42"/>
      <c r="R1041" s="42"/>
      <c r="T1041" s="80"/>
      <c r="Z1041" s="42">
        <f t="shared" si="114"/>
        <v>0</v>
      </c>
      <c r="AA1041" s="6">
        <f t="shared" si="113"/>
        <v>0</v>
      </c>
    </row>
    <row r="1042" spans="3:27" x14ac:dyDescent="0.3">
      <c r="Q1042" s="19" t="s">
        <v>368</v>
      </c>
      <c r="R1042" s="19"/>
      <c r="T1042" s="80"/>
      <c r="U1042">
        <f>$K$1045*$I$1034*$G$1055*$E$984*$C$1053*$A$1008*$M$1040*$O$1045*Q1043</f>
        <v>0</v>
      </c>
      <c r="V1042">
        <v>0</v>
      </c>
      <c r="W1042" s="42">
        <f>$K$1046+$I$1035+$G$1056+$E$985+$C$1054+$A$1009+$M$1041+$O$1046+Q1044</f>
        <v>87135.222758713746</v>
      </c>
      <c r="X1042">
        <f>u_ChronicResp</f>
        <v>0.53465956747782661</v>
      </c>
      <c r="Z1042" s="42">
        <f t="shared" si="114"/>
        <v>0</v>
      </c>
      <c r="AA1042" s="6">
        <f t="shared" si="113"/>
        <v>0</v>
      </c>
    </row>
    <row r="1043" spans="3:27" x14ac:dyDescent="0.3">
      <c r="Q1043" s="47">
        <f>RDS2CLD_3-(RDS2CLD_3*noHypo2CI_3)</f>
        <v>0.34905610687022898</v>
      </c>
      <c r="R1043" s="47"/>
      <c r="T1043" s="80"/>
      <c r="Z1043" s="42">
        <f t="shared" si="114"/>
        <v>0</v>
      </c>
      <c r="AA1043" s="6">
        <f t="shared" si="113"/>
        <v>0</v>
      </c>
    </row>
    <row r="1044" spans="3:27" x14ac:dyDescent="0.3">
      <c r="K1044" s="19" t="s">
        <v>37</v>
      </c>
      <c r="M1044" s="42"/>
      <c r="O1044" s="19" t="s">
        <v>371</v>
      </c>
      <c r="Q1044" s="48">
        <f>c_lung+c_hosp_fu+c_CSG</f>
        <v>54529.510902399998</v>
      </c>
      <c r="R1044" s="48"/>
      <c r="T1044" s="80"/>
      <c r="Z1044" s="42">
        <f t="shared" si="114"/>
        <v>0</v>
      </c>
      <c r="AA1044" s="6">
        <f t="shared" si="113"/>
        <v>0</v>
      </c>
    </row>
    <row r="1045" spans="3:27" x14ac:dyDescent="0.3">
      <c r="K1045" s="47">
        <f>SGA_prem_2s_3</f>
        <v>0.91593333333333338</v>
      </c>
      <c r="O1045" s="47">
        <f>SGA_prem_2normoglycaemia_3</f>
        <v>0.78449999999999998</v>
      </c>
      <c r="Q1045" s="19" t="s">
        <v>226</v>
      </c>
      <c r="R1045" s="19"/>
      <c r="T1045" s="80"/>
      <c r="U1045">
        <f>$K$1045*$I$1034*$G$1055*$E$984*$C$1053*$A$1008*$M$1040*$O$1045*Q1046</f>
        <v>0</v>
      </c>
      <c r="V1045">
        <v>0</v>
      </c>
      <c r="W1045" s="42">
        <f>$K$1046+$I$1035+$G$1056+$E$985+$C$1054+$A$1009+$M$1041+$O$1046+Q1047</f>
        <v>48371.711856313748</v>
      </c>
      <c r="X1045">
        <f>u_CongnitiveImpairement</f>
        <v>17.270393127285455</v>
      </c>
      <c r="Z1045" s="42">
        <f t="shared" si="114"/>
        <v>0</v>
      </c>
      <c r="AA1045" s="6">
        <f t="shared" si="113"/>
        <v>0</v>
      </c>
    </row>
    <row r="1046" spans="3:27" x14ac:dyDescent="0.3">
      <c r="K1046" s="48"/>
      <c r="O1046" s="48"/>
      <c r="Q1046" s="47">
        <f>noHypo2CI_3-(RDS2CLD_3*noHypo2CI_3)</f>
        <v>2.1141683406990762E-2</v>
      </c>
      <c r="R1046" s="47"/>
      <c r="T1046" s="80"/>
      <c r="Z1046" s="42">
        <f t="shared" si="114"/>
        <v>0</v>
      </c>
      <c r="AA1046" s="6">
        <f t="shared" si="113"/>
        <v>0</v>
      </c>
    </row>
    <row r="1047" spans="3:27" x14ac:dyDescent="0.3">
      <c r="Q1047" s="48">
        <f>c_cog+c_hosp_fu+c_CSG</f>
        <v>15766</v>
      </c>
      <c r="R1047" s="48"/>
      <c r="T1047" s="80"/>
      <c r="Z1047" s="42">
        <f t="shared" si="114"/>
        <v>0</v>
      </c>
      <c r="AA1047" s="6">
        <f t="shared" si="113"/>
        <v>0</v>
      </c>
    </row>
    <row r="1048" spans="3:27" x14ac:dyDescent="0.3">
      <c r="Q1048" s="19" t="s">
        <v>369</v>
      </c>
      <c r="R1048" s="19"/>
      <c r="T1048" s="80"/>
      <c r="U1048">
        <f>$K$1045*$I$1034*$G$1055*$E$984*$C$1053*$A$1008*$M$1040*$O$1045*Q1049</f>
        <v>0</v>
      </c>
      <c r="V1048">
        <v>0</v>
      </c>
      <c r="W1048" s="42">
        <f>$K$1046+$I$1035+$G$1056+$E$985+$C$1054+$A$1009+$M$1041+$O$1046+Q1050</f>
        <v>90954.222758713746</v>
      </c>
      <c r="X1048">
        <f>u_ChronicResp+u_CongnitiveImpairement</f>
        <v>17.805052694763283</v>
      </c>
      <c r="Z1048" s="42">
        <f t="shared" si="114"/>
        <v>0</v>
      </c>
      <c r="AA1048" s="6">
        <f t="shared" si="113"/>
        <v>0</v>
      </c>
    </row>
    <row r="1049" spans="3:27" x14ac:dyDescent="0.3">
      <c r="Q1049" s="47">
        <f>RDS2CLD_3*noHypo2CI_3</f>
        <v>1.1943893129770991E-2</v>
      </c>
      <c r="R1049" s="47"/>
      <c r="T1049" s="80"/>
      <c r="Z1049" s="42">
        <f t="shared" si="114"/>
        <v>0</v>
      </c>
      <c r="AA1049" s="6">
        <f t="shared" si="113"/>
        <v>0</v>
      </c>
    </row>
    <row r="1050" spans="3:27" x14ac:dyDescent="0.3">
      <c r="Q1050" s="48">
        <f>c_cog+c_lung+c_hosp_fu+c_CSG</f>
        <v>58348.510902399998</v>
      </c>
      <c r="R1050" s="48"/>
      <c r="T1050" s="80"/>
      <c r="Z1050" s="42">
        <f t="shared" si="114"/>
        <v>0</v>
      </c>
      <c r="AA1050" s="6">
        <f t="shared" si="113"/>
        <v>0</v>
      </c>
    </row>
    <row r="1051" spans="3:27" x14ac:dyDescent="0.3">
      <c r="Q1051" s="19" t="s">
        <v>370</v>
      </c>
      <c r="R1051" s="19"/>
      <c r="T1051" s="80"/>
      <c r="U1051">
        <f>$K$1045*$I$1034*$G$1055*$E$984*$C$1053*$A$1008*$M$1040*$O$1045*Q1052</f>
        <v>0</v>
      </c>
      <c r="V1051">
        <v>0</v>
      </c>
      <c r="W1051" s="42">
        <f>$K$1046+$I$1035+$G$1056+$E$985+$C$1054+$A$1009+$M$1041+$O$1046+Q1053</f>
        <v>47008.711856313748</v>
      </c>
      <c r="X1051">
        <f>u_Healthy</f>
        <v>0</v>
      </c>
      <c r="Z1051" s="42">
        <f t="shared" si="114"/>
        <v>0</v>
      </c>
      <c r="AA1051" s="6">
        <f t="shared" si="113"/>
        <v>0</v>
      </c>
    </row>
    <row r="1052" spans="3:27" x14ac:dyDescent="0.3">
      <c r="C1052" s="19" t="s">
        <v>373</v>
      </c>
      <c r="Q1052" s="47">
        <f>1-Q1049-Q1046-Q1043</f>
        <v>0.61785831659300938</v>
      </c>
      <c r="R1052" s="47"/>
      <c r="T1052" s="80"/>
      <c r="Z1052" s="42">
        <f t="shared" si="114"/>
        <v>0</v>
      </c>
      <c r="AA1052" s="6">
        <f t="shared" si="113"/>
        <v>0</v>
      </c>
    </row>
    <row r="1053" spans="3:27" x14ac:dyDescent="0.3">
      <c r="C1053" s="47">
        <f>ANC2LB_3</f>
        <v>0.98357700000000003</v>
      </c>
      <c r="Q1053" s="48">
        <f>c_clinic_fu+c_CSG</f>
        <v>14403</v>
      </c>
      <c r="R1053" s="48"/>
      <c r="T1053" s="80"/>
      <c r="Z1053" s="42">
        <f t="shared" si="114"/>
        <v>0</v>
      </c>
      <c r="AA1053" s="6">
        <f t="shared" si="113"/>
        <v>0</v>
      </c>
    </row>
    <row r="1054" spans="3:27" x14ac:dyDescent="0.3">
      <c r="C1054" s="48"/>
      <c r="G1054" s="19" t="s">
        <v>372</v>
      </c>
      <c r="Q1054" s="42"/>
      <c r="R1054" s="42"/>
      <c r="T1054" s="80"/>
      <c r="Z1054" s="42">
        <f t="shared" si="114"/>
        <v>0</v>
      </c>
      <c r="AA1054" s="6">
        <f t="shared" si="113"/>
        <v>0</v>
      </c>
    </row>
    <row r="1055" spans="3:27" x14ac:dyDescent="0.3">
      <c r="G1055" s="47">
        <f>Prem2NBW_3</f>
        <v>0.31864406779661014</v>
      </c>
      <c r="Q1055" s="19" t="s">
        <v>368</v>
      </c>
      <c r="R1055" s="19"/>
      <c r="T1055" s="80"/>
      <c r="U1055">
        <f>$K$1045*$I$1034*$G$1055*$E$984*$C$1053*$A$1008*$M$1060*$O$1058*Q1056</f>
        <v>0</v>
      </c>
      <c r="V1055">
        <v>0</v>
      </c>
      <c r="W1055" s="42">
        <f>$K$1046+$I$1035+$G$1056+$E$985+$C$1054+$A$1009+$M$1061+$O$1059+Q1057</f>
        <v>59475.873010508105</v>
      </c>
      <c r="X1055">
        <f>u_ChronicResp</f>
        <v>0.53465956747782661</v>
      </c>
      <c r="Z1055" s="42">
        <f t="shared" si="114"/>
        <v>0</v>
      </c>
      <c r="AA1055" s="6">
        <f t="shared" si="113"/>
        <v>0</v>
      </c>
    </row>
    <row r="1056" spans="3:27" x14ac:dyDescent="0.3">
      <c r="G1056" s="48">
        <f>c_NICU_NBW</f>
        <v>1255.2</v>
      </c>
      <c r="Q1056" s="47">
        <f>noRDS2CLD_3-(Hypo2CI_3*noRDS2CLD_3)</f>
        <v>0</v>
      </c>
      <c r="R1056" s="47"/>
      <c r="T1056" s="80"/>
      <c r="Z1056" s="42">
        <f t="shared" si="114"/>
        <v>0</v>
      </c>
      <c r="AA1056" s="6">
        <f t="shared" si="113"/>
        <v>0</v>
      </c>
    </row>
    <row r="1057" spans="7:27" x14ac:dyDescent="0.3">
      <c r="O1057" s="19" t="s">
        <v>161</v>
      </c>
      <c r="Q1057" s="48">
        <f>c_lung+c_hosp_fu+c_CSG</f>
        <v>54529.510902399998</v>
      </c>
      <c r="R1057" s="48"/>
      <c r="T1057" s="80"/>
      <c r="Z1057" s="42">
        <f t="shared" si="114"/>
        <v>0</v>
      </c>
      <c r="AA1057" s="6">
        <f t="shared" si="113"/>
        <v>0</v>
      </c>
    </row>
    <row r="1058" spans="7:27" x14ac:dyDescent="0.3">
      <c r="O1058" s="47">
        <f>SGA_prem_2hypoglycaemia_3</f>
        <v>0.2155</v>
      </c>
      <c r="Q1058" s="19" t="s">
        <v>226</v>
      </c>
      <c r="R1058" s="19"/>
      <c r="T1058" s="80"/>
      <c r="U1058">
        <f>$K$1045*$I$1034*$G$1055*$E$984*$C$1053*$A$1008*$M$1060*$O$1058*Q1059</f>
        <v>0</v>
      </c>
      <c r="V1058">
        <v>0</v>
      </c>
      <c r="W1058" s="42">
        <f>$K$1046+$I$1035+$G$1056+$E$985+$C$1054+$A$1009+$M$1061+$O$1059+Q1060</f>
        <v>20712.362108108107</v>
      </c>
      <c r="X1058">
        <f>u_CongnitiveImpairement</f>
        <v>17.270393127285455</v>
      </c>
      <c r="Z1058" s="42">
        <f t="shared" si="114"/>
        <v>0</v>
      </c>
      <c r="AA1058" s="6">
        <f t="shared" si="113"/>
        <v>0</v>
      </c>
    </row>
    <row r="1059" spans="7:27" x14ac:dyDescent="0.3">
      <c r="M1059" s="19" t="s">
        <v>203</v>
      </c>
      <c r="O1059" s="48">
        <f>c_hypo</f>
        <v>2936.2604000000001</v>
      </c>
      <c r="Q1059" s="47">
        <f>Hypo2CI_3-(Hypo2CI_3*noRDS2CLD_3)</f>
        <v>5.1333333333333335E-2</v>
      </c>
      <c r="R1059" s="47"/>
      <c r="T1059" s="80"/>
      <c r="Z1059" s="42">
        <f t="shared" si="114"/>
        <v>0</v>
      </c>
      <c r="AA1059" s="6">
        <f t="shared" si="113"/>
        <v>0</v>
      </c>
    </row>
    <row r="1060" spans="7:27" x14ac:dyDescent="0.3">
      <c r="M1060" s="47">
        <f>S_prem_2noRDS_3</f>
        <v>0.55000000000000004</v>
      </c>
      <c r="Q1060" s="48">
        <f>c_cog+c_hosp_fu+c_CSG</f>
        <v>15766</v>
      </c>
      <c r="R1060" s="48"/>
      <c r="T1060" s="80"/>
      <c r="Z1060" s="42">
        <f t="shared" si="114"/>
        <v>0</v>
      </c>
      <c r="AA1060" s="6">
        <f t="shared" si="113"/>
        <v>0</v>
      </c>
    </row>
    <row r="1061" spans="7:27" x14ac:dyDescent="0.3">
      <c r="G1061" s="42"/>
      <c r="M1061" s="48"/>
      <c r="O1061" s="42"/>
      <c r="Q1061" s="19" t="s">
        <v>369</v>
      </c>
      <c r="R1061" s="19"/>
      <c r="T1061" s="80"/>
      <c r="U1061">
        <f>$K$1045*$I$1034*$G$1055*$E$984*$C$1053*$A$1008*$M$1060*$O$1058*Q1062</f>
        <v>0</v>
      </c>
      <c r="V1061">
        <v>0</v>
      </c>
      <c r="W1061" s="42">
        <f>$K$1046+$I$1035+$G$1056+$E$985+$C$1054+$A$1009+$M$1061+$O$1059+Q1063</f>
        <v>63294.873010508105</v>
      </c>
      <c r="X1061">
        <f>u_ChronicResp+u_CongnitiveImpairement</f>
        <v>17.805052694763283</v>
      </c>
      <c r="Z1061" s="42">
        <f t="shared" si="114"/>
        <v>0</v>
      </c>
      <c r="AA1061" s="6">
        <f t="shared" si="113"/>
        <v>0</v>
      </c>
    </row>
    <row r="1062" spans="7:27" x14ac:dyDescent="0.3">
      <c r="M1062" s="42"/>
      <c r="Q1062" s="47">
        <f>noRDS2CLD_3*Hypo2CI_3</f>
        <v>0</v>
      </c>
      <c r="R1062" s="47"/>
      <c r="T1062" s="80"/>
      <c r="Z1062" s="42">
        <f t="shared" si="114"/>
        <v>0</v>
      </c>
      <c r="AA1062" s="6">
        <f t="shared" si="113"/>
        <v>0</v>
      </c>
    </row>
    <row r="1063" spans="7:27" x14ac:dyDescent="0.3">
      <c r="M1063" s="42"/>
      <c r="Q1063" s="48">
        <f>c_lung+c_cog+c_hosp_fu+c_CSG</f>
        <v>58348.510902399998</v>
      </c>
      <c r="R1063" s="48"/>
      <c r="T1063" s="80"/>
      <c r="Z1063" s="42">
        <f t="shared" si="114"/>
        <v>0</v>
      </c>
      <c r="AA1063" s="6">
        <f t="shared" si="113"/>
        <v>0</v>
      </c>
    </row>
    <row r="1064" spans="7:27" x14ac:dyDescent="0.3">
      <c r="M1064" s="42"/>
      <c r="Q1064" s="19" t="s">
        <v>370</v>
      </c>
      <c r="R1064" s="19"/>
      <c r="T1064" s="80"/>
      <c r="U1064">
        <f>$K$1045*$I$1034*$G$1055*$E$984*$C$1053*$A$1008*$M$1060*$O$1058*Q1065</f>
        <v>0</v>
      </c>
      <c r="V1064">
        <v>0</v>
      </c>
      <c r="W1064" s="42">
        <f>$K$1046+$I$1035+$G$1056+$E$985+$C$1054+$A$1009+$M$1061+$O$1059+Q1066</f>
        <v>19349.362108108107</v>
      </c>
      <c r="X1064">
        <f>u_Healthy</f>
        <v>0</v>
      </c>
      <c r="Z1064" s="42">
        <f t="shared" si="114"/>
        <v>0</v>
      </c>
      <c r="AA1064" s="6">
        <f t="shared" si="113"/>
        <v>0</v>
      </c>
    </row>
    <row r="1065" spans="7:27" x14ac:dyDescent="0.3">
      <c r="M1065" s="42"/>
      <c r="O1065" s="42"/>
      <c r="Q1065" s="47">
        <f>1-Q1062-Q1059-Q1056</f>
        <v>0.94866666666666666</v>
      </c>
      <c r="R1065" s="47"/>
      <c r="T1065" s="80"/>
      <c r="Z1065" s="42">
        <f t="shared" si="114"/>
        <v>0</v>
      </c>
      <c r="AA1065" s="6">
        <f t="shared" si="113"/>
        <v>0</v>
      </c>
    </row>
    <row r="1066" spans="7:27" x14ac:dyDescent="0.3">
      <c r="M1066" s="42"/>
      <c r="Q1066" s="48">
        <f>c_clinic_fu+c_CSG</f>
        <v>14403</v>
      </c>
      <c r="R1066" s="48"/>
      <c r="S1066" s="96"/>
      <c r="T1066" s="80"/>
      <c r="Z1066" s="42">
        <f t="shared" si="114"/>
        <v>0</v>
      </c>
      <c r="AA1066" s="6">
        <f t="shared" si="113"/>
        <v>0</v>
      </c>
    </row>
    <row r="1067" spans="7:27" x14ac:dyDescent="0.3">
      <c r="M1067" s="42"/>
      <c r="Q1067" s="42"/>
      <c r="R1067" s="42"/>
      <c r="T1067" s="80"/>
      <c r="Z1067" s="42">
        <f t="shared" si="114"/>
        <v>0</v>
      </c>
      <c r="AA1067" s="6">
        <f t="shared" si="113"/>
        <v>0</v>
      </c>
    </row>
    <row r="1068" spans="7:27" x14ac:dyDescent="0.3">
      <c r="M1068" s="42"/>
      <c r="Q1068" s="19" t="s">
        <v>368</v>
      </c>
      <c r="R1068" s="19"/>
      <c r="T1068" s="80"/>
      <c r="U1068">
        <f>$K$1045*$I$1034*$G$1055*$E$984*$C$1053*$A$1008*$M$1060*$O$1072*Q1069</f>
        <v>0</v>
      </c>
      <c r="V1068">
        <v>0</v>
      </c>
      <c r="W1068" s="42">
        <f>$K$1046+$I$1035+$G$1056+$E$985+$C$1054+$A$1009+$M$1061+$O$1073+Q1070</f>
        <v>58568.873010508105</v>
      </c>
      <c r="X1068">
        <f>u_ChronicResp</f>
        <v>0.53465956747782661</v>
      </c>
      <c r="Z1068" s="42">
        <f t="shared" si="114"/>
        <v>0</v>
      </c>
      <c r="AA1068" s="6">
        <f t="shared" si="113"/>
        <v>0</v>
      </c>
    </row>
    <row r="1069" spans="7:27" x14ac:dyDescent="0.3">
      <c r="M1069" s="42"/>
      <c r="Q1069" s="47">
        <f>noRDS2CLD_3-(noRDS2CLD_3*noHypo2CI_3)</f>
        <v>0</v>
      </c>
      <c r="R1069" s="47"/>
      <c r="T1069" s="80"/>
      <c r="Z1069" s="42">
        <f t="shared" si="114"/>
        <v>0</v>
      </c>
      <c r="AA1069" s="6">
        <f t="shared" si="113"/>
        <v>0</v>
      </c>
    </row>
    <row r="1070" spans="7:27" x14ac:dyDescent="0.3">
      <c r="M1070" s="42"/>
      <c r="Q1070" s="48">
        <f>c_lung+c_hypo+c_CSG</f>
        <v>56558.771302399997</v>
      </c>
      <c r="R1070" s="48"/>
      <c r="T1070" s="80"/>
      <c r="Z1070" s="42">
        <f t="shared" si="114"/>
        <v>0</v>
      </c>
      <c r="AA1070" s="6">
        <f t="shared" si="113"/>
        <v>0</v>
      </c>
    </row>
    <row r="1071" spans="7:27" x14ac:dyDescent="0.3">
      <c r="M1071" s="42"/>
      <c r="O1071" s="19" t="s">
        <v>371</v>
      </c>
      <c r="Q1071" s="19" t="s">
        <v>226</v>
      </c>
      <c r="R1071" s="19"/>
      <c r="T1071" s="80"/>
      <c r="U1071">
        <f>$K$1045*$I$1034*$G$1055*$E$984*$C$1053*$A$1008*$M$1060*$O$1072*Q1072</f>
        <v>0</v>
      </c>
      <c r="V1071">
        <v>0</v>
      </c>
      <c r="W1071" s="42">
        <f>$K$1046+$I$1035+$G$1056+$E$985+$C$1054+$A$1009+$M$1061+$O$1073+Q1073</f>
        <v>17776.101708108108</v>
      </c>
      <c r="X1071">
        <f>u_CongnitiveImpairement</f>
        <v>17.270393127285455</v>
      </c>
      <c r="Z1071" s="42">
        <f t="shared" si="114"/>
        <v>0</v>
      </c>
      <c r="AA1071" s="6">
        <f t="shared" si="113"/>
        <v>0</v>
      </c>
    </row>
    <row r="1072" spans="7:27" x14ac:dyDescent="0.3">
      <c r="M1072" s="42"/>
      <c r="O1072" s="47">
        <f>SGA_prem_2normoglycaemia_3</f>
        <v>0.78449999999999998</v>
      </c>
      <c r="Q1072" s="47">
        <f>noHypo2CI_3</f>
        <v>3.3085576536761752E-2</v>
      </c>
      <c r="R1072" s="47"/>
      <c r="T1072" s="80"/>
      <c r="Z1072" s="42">
        <f t="shared" si="114"/>
        <v>0</v>
      </c>
      <c r="AA1072" s="6">
        <f t="shared" si="113"/>
        <v>0</v>
      </c>
    </row>
    <row r="1073" spans="11:27" x14ac:dyDescent="0.3">
      <c r="M1073" s="42"/>
      <c r="O1073" s="48"/>
      <c r="Q1073" s="48">
        <f>c_cog+c_hosp_fu+c_CSG</f>
        <v>15766</v>
      </c>
      <c r="R1073" s="48"/>
      <c r="T1073" s="80"/>
      <c r="Z1073" s="42">
        <f t="shared" si="114"/>
        <v>0</v>
      </c>
      <c r="AA1073" s="6">
        <f t="shared" si="113"/>
        <v>0</v>
      </c>
    </row>
    <row r="1074" spans="11:27" x14ac:dyDescent="0.3">
      <c r="M1074" s="42"/>
      <c r="Q1074" s="19" t="s">
        <v>369</v>
      </c>
      <c r="R1074" s="19"/>
      <c r="T1074" s="80"/>
      <c r="U1074">
        <f>$K$1045*$I$1034*$G$1055*$E$984*$C$1053*$A$1008*$M$1060*$O$1072*Q1075</f>
        <v>0</v>
      </c>
      <c r="V1074">
        <v>0</v>
      </c>
      <c r="W1074" s="42">
        <f>$K$1046+$I$1035+$G$1056+$E$985+$C$1054+$A$1009+$M$1061+$O$1073+Q1076</f>
        <v>60358.612610508106</v>
      </c>
      <c r="X1074">
        <f>u_ChronicResp+u_CongnitiveImpairement</f>
        <v>17.805052694763283</v>
      </c>
      <c r="Z1074" s="42">
        <f t="shared" si="114"/>
        <v>0</v>
      </c>
      <c r="AA1074" s="6">
        <f t="shared" si="113"/>
        <v>0</v>
      </c>
    </row>
    <row r="1075" spans="11:27" x14ac:dyDescent="0.3">
      <c r="M1075" s="42"/>
      <c r="Q1075" s="47">
        <f>noRDS2CLD_3*noHypo2CI_3</f>
        <v>0</v>
      </c>
      <c r="R1075" s="47"/>
      <c r="T1075" s="80"/>
      <c r="Z1075" s="42">
        <f t="shared" si="114"/>
        <v>0</v>
      </c>
      <c r="AA1075" s="6">
        <f t="shared" si="113"/>
        <v>0</v>
      </c>
    </row>
    <row r="1076" spans="11:27" x14ac:dyDescent="0.3">
      <c r="M1076" s="42"/>
      <c r="Q1076" s="48">
        <f>c_cog+c_lung+c_hosp_fu+c_CSG</f>
        <v>58348.510902399998</v>
      </c>
      <c r="R1076" s="48"/>
      <c r="T1076" s="80"/>
      <c r="Z1076" s="42">
        <f t="shared" si="114"/>
        <v>0</v>
      </c>
      <c r="AA1076" s="6">
        <f t="shared" si="113"/>
        <v>0</v>
      </c>
    </row>
    <row r="1077" spans="11:27" x14ac:dyDescent="0.3">
      <c r="M1077" s="42"/>
      <c r="Q1077" s="19" t="s">
        <v>370</v>
      </c>
      <c r="R1077" s="19"/>
      <c r="T1077" s="80"/>
      <c r="U1077">
        <f>$K$1045*$I$1034*$G$1055*$E$984*$C$1053*$A$1008*$M$1060*$O$1072*Q1078</f>
        <v>0</v>
      </c>
      <c r="V1077">
        <v>0</v>
      </c>
      <c r="W1077" s="42">
        <f>$K$1046+$I$1035+$G$1056+$E$985+$C$1054+$A$1009+$M$1061+$O$1073+Q1079</f>
        <v>16413.101708108108</v>
      </c>
      <c r="X1077">
        <f>u_Healthy</f>
        <v>0</v>
      </c>
      <c r="Z1077" s="42">
        <f t="shared" si="114"/>
        <v>0</v>
      </c>
      <c r="AA1077" s="6">
        <f t="shared" si="113"/>
        <v>0</v>
      </c>
    </row>
    <row r="1078" spans="11:27" x14ac:dyDescent="0.3">
      <c r="M1078" s="42"/>
      <c r="Q1078" s="47">
        <f>1-Q1075-Q1072-Q1069</f>
        <v>0.9669144234632383</v>
      </c>
      <c r="R1078" s="47"/>
      <c r="T1078" s="80"/>
      <c r="Z1078" s="42">
        <f t="shared" si="114"/>
        <v>0</v>
      </c>
      <c r="AA1078" s="6">
        <f t="shared" si="113"/>
        <v>0</v>
      </c>
    </row>
    <row r="1079" spans="11:27" x14ac:dyDescent="0.3">
      <c r="M1079" s="42"/>
      <c r="Q1079" s="48">
        <f>c_clinic_fu+c_CSG</f>
        <v>14403</v>
      </c>
      <c r="R1079" s="48"/>
      <c r="T1079" s="80"/>
      <c r="Z1079" s="42">
        <f t="shared" si="114"/>
        <v>0</v>
      </c>
      <c r="AA1079" s="6">
        <f t="shared" si="113"/>
        <v>0</v>
      </c>
    </row>
    <row r="1080" spans="11:27" x14ac:dyDescent="0.3">
      <c r="M1080" s="42"/>
      <c r="Q1080" s="42"/>
      <c r="R1080" s="42"/>
      <c r="T1080" s="80"/>
      <c r="Z1080" s="42">
        <f t="shared" si="114"/>
        <v>0</v>
      </c>
      <c r="AA1080" s="6">
        <f t="shared" si="113"/>
        <v>0</v>
      </c>
    </row>
    <row r="1081" spans="11:27" x14ac:dyDescent="0.3">
      <c r="K1081" s="19" t="s">
        <v>165</v>
      </c>
      <c r="L1081" s="19"/>
      <c r="M1081" s="19"/>
      <c r="N1081" s="19"/>
      <c r="O1081" s="19"/>
      <c r="P1081" s="19"/>
      <c r="Q1081" s="19"/>
      <c r="R1081" s="19"/>
      <c r="T1081" s="80"/>
      <c r="U1081">
        <f>$K$1082*$I$1090*$G$1055*$E$984*$C$1053*$A$1008</f>
        <v>1.601529097435984E-3</v>
      </c>
      <c r="V1081">
        <v>1.601529420806818E-3</v>
      </c>
      <c r="W1081" s="42">
        <f>$K$1083+$I$1091+$G$1056+$E$985+$C$1054+$A$1009</f>
        <v>3802.1017081081081</v>
      </c>
      <c r="X1081">
        <f>u_Death</f>
        <v>19.181538114427529</v>
      </c>
      <c r="Z1081" s="42">
        <f t="shared" si="114"/>
        <v>6.0891765169461918</v>
      </c>
      <c r="AA1081" s="6">
        <f t="shared" si="113"/>
        <v>3.0719791423833045E-2</v>
      </c>
    </row>
    <row r="1082" spans="11:27" x14ac:dyDescent="0.3">
      <c r="K1082" s="47">
        <f>AGA_prem_2d_3</f>
        <v>3.5174999999999998E-2</v>
      </c>
      <c r="T1082" s="80"/>
      <c r="Z1082" s="42">
        <f t="shared" si="114"/>
        <v>0</v>
      </c>
      <c r="AA1082" s="6">
        <f t="shared" si="113"/>
        <v>0</v>
      </c>
    </row>
    <row r="1083" spans="11:27" x14ac:dyDescent="0.3">
      <c r="K1083" s="48">
        <f>c_SB</f>
        <v>1792</v>
      </c>
      <c r="T1083" s="80"/>
      <c r="Z1083" s="42">
        <f t="shared" si="114"/>
        <v>0</v>
      </c>
      <c r="AA1083" s="6">
        <f t="shared" si="113"/>
        <v>0</v>
      </c>
    </row>
    <row r="1084" spans="11:27" x14ac:dyDescent="0.3">
      <c r="T1084" s="80"/>
      <c r="Z1084" s="42">
        <f t="shared" si="114"/>
        <v>0</v>
      </c>
      <c r="AA1084" s="6">
        <f t="shared" si="113"/>
        <v>0</v>
      </c>
    </row>
    <row r="1085" spans="11:27" x14ac:dyDescent="0.3">
      <c r="Q1085" s="19" t="s">
        <v>368</v>
      </c>
      <c r="R1085" s="19"/>
      <c r="T1085" s="80"/>
      <c r="U1085">
        <f>$K$1101*$I$1090*$G$1055*$E$984*$C$1053*$A$1008*$M$1096*$O$1091*Q1086</f>
        <v>1.0154858853766468E-3</v>
      </c>
      <c r="V1085">
        <v>1.015486090417266E-3</v>
      </c>
      <c r="W1085" s="42">
        <f>$K$1102+$I$1091+$G$1056+$E$985+$C$1054+$A$1009+$M$1097+$O$1092+Q1087</f>
        <v>90071.483158713745</v>
      </c>
      <c r="X1085">
        <f>u_ChronicResp</f>
        <v>0.53465956747782661</v>
      </c>
      <c r="Z1085" s="42">
        <f t="shared" si="114"/>
        <v>91.466319822614153</v>
      </c>
      <c r="AA1085" s="6">
        <f t="shared" si="113"/>
        <v>5.4293924425531583E-4</v>
      </c>
    </row>
    <row r="1086" spans="11:27" x14ac:dyDescent="0.3">
      <c r="Q1086" s="47">
        <f>RDS2CLD_3-(Hypo2CI_3*RDS2CLD_3)</f>
        <v>0.34246866666666664</v>
      </c>
      <c r="R1086" s="47"/>
      <c r="T1086" s="80"/>
      <c r="Z1086" s="42">
        <f t="shared" si="114"/>
        <v>0</v>
      </c>
      <c r="AA1086" s="6">
        <f t="shared" si="113"/>
        <v>0</v>
      </c>
    </row>
    <row r="1087" spans="11:27" x14ac:dyDescent="0.3">
      <c r="Q1087" s="48">
        <f>c_lung+c_hosp_fu+c_CSG</f>
        <v>54529.510902399998</v>
      </c>
      <c r="R1087" s="48"/>
      <c r="T1087" s="80"/>
      <c r="Z1087" s="42">
        <f t="shared" si="114"/>
        <v>0</v>
      </c>
      <c r="AA1087" s="6">
        <f t="shared" si="113"/>
        <v>0</v>
      </c>
    </row>
    <row r="1088" spans="11:27" x14ac:dyDescent="0.3">
      <c r="Q1088" s="19" t="s">
        <v>226</v>
      </c>
      <c r="R1088" s="19"/>
      <c r="T1088" s="80"/>
      <c r="U1088">
        <f>$K$1101*$I$1090*$G$1055*$E$984*$C$1053*$A$1008*$M$1096*$O$1091*Q1089</f>
        <v>9.7264279200602588E-5</v>
      </c>
      <c r="V1088">
        <v>9.7264298839603314E-5</v>
      </c>
      <c r="W1088" s="42">
        <f>$K$1102+$I$1091+$G$1056+$E$985+$C$1054+$A$1009+$M$1097+$O$1092+Q1090</f>
        <v>51307.972256313747</v>
      </c>
      <c r="X1088">
        <f>u_CongnitiveImpairement</f>
        <v>17.270393127285455</v>
      </c>
      <c r="Z1088" s="42">
        <f t="shared" si="114"/>
        <v>4.9904329387548723</v>
      </c>
      <c r="AA1088" s="6">
        <f t="shared" si="113"/>
        <v>1.6797923390364606E-3</v>
      </c>
    </row>
    <row r="1089" spans="9:27" x14ac:dyDescent="0.3">
      <c r="I1089" s="19" t="s">
        <v>425</v>
      </c>
      <c r="Q1089" s="47">
        <f>Hypo2CI_3-(Hypo2CI_3*RDS2CLD_3)</f>
        <v>3.2801999999999998E-2</v>
      </c>
      <c r="R1089" s="47"/>
      <c r="T1089" s="80"/>
      <c r="Z1089" s="42">
        <f t="shared" si="114"/>
        <v>0</v>
      </c>
      <c r="AA1089" s="6">
        <f t="shared" si="113"/>
        <v>0</v>
      </c>
    </row>
    <row r="1090" spans="9:27" x14ac:dyDescent="0.3">
      <c r="I1090" s="47">
        <f>NBW_prem_2AGA_3</f>
        <v>1</v>
      </c>
      <c r="O1090" s="19" t="s">
        <v>161</v>
      </c>
      <c r="Q1090" s="48">
        <f>c_cog+c_hosp_fu+c_CSG</f>
        <v>15766</v>
      </c>
      <c r="R1090" s="48"/>
      <c r="T1090" s="80"/>
      <c r="Z1090" s="42">
        <f t="shared" si="114"/>
        <v>0</v>
      </c>
      <c r="AA1090" s="6">
        <f t="shared" si="113"/>
        <v>0</v>
      </c>
    </row>
    <row r="1091" spans="9:27" x14ac:dyDescent="0.3">
      <c r="I1091" s="48"/>
      <c r="O1091" s="47">
        <f>AGA_prem_2hypoglycaemia_3</f>
        <v>0.15</v>
      </c>
      <c r="Q1091" s="19" t="s">
        <v>369</v>
      </c>
      <c r="R1091" s="19"/>
      <c r="T1091" s="80"/>
      <c r="U1091">
        <f>$K$1101*$I$1090*$G$1055*$E$984*$C$1053*$A$1008*$M$1096*$O$1091*Q1092</f>
        <v>5.4948990283908515E-5</v>
      </c>
      <c r="V1091">
        <v>5.494900137886823E-5</v>
      </c>
      <c r="W1091" s="42">
        <f>$K$1102+$I$1091+$G$1056+$E$985+$C$1054+$A$1009+$M$1097+$O$1092+Q1093</f>
        <v>93890.483158713745</v>
      </c>
      <c r="X1091">
        <f>u_ChronicResp+u_CongnitiveImpairement</f>
        <v>17.805052694763283</v>
      </c>
      <c r="Z1091" s="42">
        <f t="shared" si="114"/>
        <v>5.1591872468396378</v>
      </c>
      <c r="AA1091" s="6">
        <f t="shared" si="113"/>
        <v>9.7836966752902683E-4</v>
      </c>
    </row>
    <row r="1092" spans="9:27" x14ac:dyDescent="0.3">
      <c r="O1092" s="48">
        <f>c_hypo</f>
        <v>2936.2604000000001</v>
      </c>
      <c r="Q1092" s="47">
        <f>Hypo2CI_3*RDS2CLD_3</f>
        <v>1.8531333333333334E-2</v>
      </c>
      <c r="R1092" s="47"/>
      <c r="T1092" s="80"/>
      <c r="Z1092" s="42">
        <f t="shared" si="114"/>
        <v>0</v>
      </c>
      <c r="AA1092" s="6">
        <f t="shared" si="113"/>
        <v>0</v>
      </c>
    </row>
    <row r="1093" spans="9:27" x14ac:dyDescent="0.3">
      <c r="M1093" s="42"/>
      <c r="Q1093" s="48">
        <f>c_lung+c_cog+c_hosp_fu+c_CSG</f>
        <v>58348.510902399998</v>
      </c>
      <c r="R1093" s="48"/>
      <c r="T1093" s="80"/>
      <c r="Z1093" s="42">
        <f t="shared" si="114"/>
        <v>0</v>
      </c>
      <c r="AA1093" s="6">
        <f t="shared" si="113"/>
        <v>0</v>
      </c>
    </row>
    <row r="1094" spans="9:27" x14ac:dyDescent="0.3">
      <c r="Q1094" s="19" t="s">
        <v>370</v>
      </c>
      <c r="R1094" s="19"/>
      <c r="T1094" s="80"/>
      <c r="U1094">
        <f>$K$1101*$I$1090*$G$1055*$E$984*$C$1053*$A$1008*$M$1096*$O$1091*Q1095</f>
        <v>1.7974944065254222E-3</v>
      </c>
      <c r="V1094">
        <v>1.7974947694643574E-3</v>
      </c>
      <c r="W1094" s="42">
        <f>$K$1102+$I$1091+$G$1056+$E$985+$C$1054+$A$1009+$M$1097+$O$1092+Q1096</f>
        <v>49944.972256313747</v>
      </c>
      <c r="X1094">
        <f>u_Healthy</f>
        <v>0</v>
      </c>
      <c r="Z1094" s="42">
        <f t="shared" si="114"/>
        <v>89.775808264791351</v>
      </c>
      <c r="AA1094" s="6">
        <f t="shared" si="113"/>
        <v>0</v>
      </c>
    </row>
    <row r="1095" spans="9:27" x14ac:dyDescent="0.3">
      <c r="M1095" s="19" t="s">
        <v>9</v>
      </c>
      <c r="Q1095" s="47">
        <f>1-Q1086-Q1089-Q1092</f>
        <v>0.60619800000000001</v>
      </c>
      <c r="R1095" s="47"/>
      <c r="T1095" s="80"/>
      <c r="Z1095" s="42">
        <f t="shared" si="114"/>
        <v>0</v>
      </c>
      <c r="AA1095" s="6">
        <f t="shared" si="113"/>
        <v>0</v>
      </c>
    </row>
    <row r="1096" spans="9:27" x14ac:dyDescent="0.3">
      <c r="K1096" s="42"/>
      <c r="M1096" s="47">
        <f>S_prem_2RDS_3</f>
        <v>0.45</v>
      </c>
      <c r="Q1096" s="48">
        <f>c_clinic_fu+c_CSG</f>
        <v>14403</v>
      </c>
      <c r="R1096" s="48"/>
      <c r="T1096" s="80"/>
      <c r="Z1096" s="42">
        <f t="shared" si="114"/>
        <v>0</v>
      </c>
      <c r="AA1096" s="6">
        <f t="shared" si="113"/>
        <v>0</v>
      </c>
    </row>
    <row r="1097" spans="9:27" x14ac:dyDescent="0.3">
      <c r="K1097" s="42"/>
      <c r="M1097" s="48">
        <f>c_RDS</f>
        <v>30595.610148205637</v>
      </c>
      <c r="Q1097" s="42"/>
      <c r="R1097" s="42"/>
      <c r="T1097" s="80"/>
      <c r="Z1097" s="42">
        <f t="shared" si="114"/>
        <v>0</v>
      </c>
      <c r="AA1097" s="6">
        <f t="shared" si="113"/>
        <v>0</v>
      </c>
    </row>
    <row r="1098" spans="9:27" x14ac:dyDescent="0.3">
      <c r="Q1098" s="19" t="s">
        <v>368</v>
      </c>
      <c r="R1098" s="19"/>
      <c r="T1098" s="80"/>
      <c r="U1098">
        <f>$K$1101*$I$1090*$G$1055*$E$984*$C$1053*$A$1008*$M$1096*$O$1101*Q1099</f>
        <v>5.8651072170408571E-3</v>
      </c>
      <c r="V1098">
        <v>5.8651084012869732E-3</v>
      </c>
      <c r="W1098" s="42">
        <f>$K$1102+$I$1091+$G$1056+$E$985+$C$1054+$A$1009+$M$1097+$O$1102+Q1100</f>
        <v>87135.222758713746</v>
      </c>
      <c r="X1098">
        <f>u_ChronicResp</f>
        <v>0.53465956747782661</v>
      </c>
      <c r="Z1098" s="42">
        <f t="shared" si="114"/>
        <v>511.05742386059472</v>
      </c>
      <c r="AA1098" s="6">
        <f t="shared" si="113"/>
        <v>3.1358356878741439E-3</v>
      </c>
    </row>
    <row r="1099" spans="9:27" x14ac:dyDescent="0.3">
      <c r="Q1099" s="47">
        <f>RDS2CLD_3-(RDS2CLD_3*noHypo2CI_3)</f>
        <v>0.34905610687022898</v>
      </c>
      <c r="R1099" s="47"/>
      <c r="T1099" s="80"/>
      <c r="Z1099" s="42">
        <f t="shared" si="114"/>
        <v>0</v>
      </c>
      <c r="AA1099" s="6">
        <f t="shared" si="113"/>
        <v>0</v>
      </c>
    </row>
    <row r="1100" spans="9:27" x14ac:dyDescent="0.3">
      <c r="K1100" s="19" t="s">
        <v>37</v>
      </c>
      <c r="M1100" s="42"/>
      <c r="O1100" s="19" t="s">
        <v>371</v>
      </c>
      <c r="Q1100" s="48">
        <f>c_lung+c_hosp_fu+c_CSG</f>
        <v>54529.510902399998</v>
      </c>
      <c r="R1100" s="48"/>
      <c r="T1100" s="80"/>
      <c r="Z1100" s="42">
        <f t="shared" si="114"/>
        <v>0</v>
      </c>
      <c r="AA1100" s="6">
        <f t="shared" si="113"/>
        <v>0</v>
      </c>
    </row>
    <row r="1101" spans="9:27" x14ac:dyDescent="0.3">
      <c r="K1101" s="47">
        <f>AGA_prem_2s_3</f>
        <v>0.96482500000000004</v>
      </c>
      <c r="O1101" s="47">
        <f>AGA_prem_2normoglycaemia_3</f>
        <v>0.85</v>
      </c>
      <c r="Q1101" s="19" t="s">
        <v>226</v>
      </c>
      <c r="R1101" s="19"/>
      <c r="T1101" s="80"/>
      <c r="U1101">
        <f>$K$1101*$I$1090*$G$1055*$E$984*$C$1053*$A$1008*$M$1096*$O$1101*Q1102</f>
        <v>3.5523870658660082E-4</v>
      </c>
      <c r="V1101">
        <v>3.5523877831419984E-4</v>
      </c>
      <c r="W1101" s="42">
        <f>$K$1102+$I$1091+$G$1056+$E$985+$C$1054+$A$1009+$M$1097+$O$1102+Q1103</f>
        <v>48371.711856313748</v>
      </c>
      <c r="X1101">
        <f>u_CongnitiveImpairement</f>
        <v>17.270393127285455</v>
      </c>
      <c r="Z1101" s="42">
        <f t="shared" si="114"/>
        <v>17.183504355216641</v>
      </c>
      <c r="AA1101" s="6">
        <f t="shared" ref="AA1101:AA1164" si="115">U1101*X1101</f>
        <v>6.1351121167790056E-3</v>
      </c>
    </row>
    <row r="1102" spans="9:27" x14ac:dyDescent="0.3">
      <c r="K1102" s="48"/>
      <c r="O1102" s="48"/>
      <c r="Q1102" s="47">
        <f>noHypo2CI_3-(RDS2CLD_3*noHypo2CI_3)</f>
        <v>2.1141683406990762E-2</v>
      </c>
      <c r="R1102" s="47"/>
      <c r="T1102" s="80"/>
      <c r="Z1102" s="42">
        <f t="shared" si="114"/>
        <v>0</v>
      </c>
      <c r="AA1102" s="6">
        <f t="shared" si="115"/>
        <v>0</v>
      </c>
    </row>
    <row r="1103" spans="9:27" x14ac:dyDescent="0.3">
      <c r="Q1103" s="48">
        <f>c_cog+c_hosp_fu+c_CSG</f>
        <v>15766</v>
      </c>
      <c r="R1103" s="48"/>
      <c r="T1103" s="80"/>
      <c r="Z1103" s="42">
        <f t="shared" ref="Z1103:Z1166" si="116">U1103*W1103</f>
        <v>0</v>
      </c>
      <c r="AA1103" s="6">
        <f t="shared" si="115"/>
        <v>0</v>
      </c>
    </row>
    <row r="1104" spans="9:27" x14ac:dyDescent="0.3">
      <c r="Q1104" s="19" t="s">
        <v>369</v>
      </c>
      <c r="R1104" s="19"/>
      <c r="T1104" s="80"/>
      <c r="U1104">
        <f>$K$1101*$I$1090*$G$1055*$E$984*$C$1053*$A$1008*$M$1096*$O$1101*Q1105</f>
        <v>2.0069041170228932E-4</v>
      </c>
      <c r="V1104">
        <v>2.0069045222445401E-4</v>
      </c>
      <c r="W1104" s="42">
        <f>$K$1102+$I$1091+$G$1056+$E$985+$C$1054+$A$1009+$M$1097+$O$1102+Q1106</f>
        <v>90954.222758713746</v>
      </c>
      <c r="X1104">
        <f>u_ChronicResp+u_CongnitiveImpairement</f>
        <v>17.805052694763283</v>
      </c>
      <c r="Z1104" s="42">
        <f t="shared" si="116"/>
        <v>18.253640411507995</v>
      </c>
      <c r="AA1104" s="6">
        <f t="shared" si="115"/>
        <v>3.5733033556929993E-3</v>
      </c>
    </row>
    <row r="1105" spans="13:27" x14ac:dyDescent="0.3">
      <c r="Q1105" s="47">
        <f>RDS2CLD_3*noHypo2CI_3</f>
        <v>1.1943893129770991E-2</v>
      </c>
      <c r="R1105" s="47"/>
      <c r="T1105" s="80"/>
      <c r="Z1105" s="42">
        <f t="shared" si="116"/>
        <v>0</v>
      </c>
      <c r="AA1105" s="6">
        <f t="shared" si="115"/>
        <v>0</v>
      </c>
    </row>
    <row r="1106" spans="13:27" x14ac:dyDescent="0.3">
      <c r="Q1106" s="48">
        <f>c_cog+c_lung+c_hosp_fu+c_CSG</f>
        <v>58348.510902399998</v>
      </c>
      <c r="R1106" s="48"/>
      <c r="T1106" s="80"/>
      <c r="Z1106" s="42">
        <f t="shared" si="116"/>
        <v>0</v>
      </c>
      <c r="AA1106" s="6">
        <f t="shared" si="115"/>
        <v>0</v>
      </c>
    </row>
    <row r="1107" spans="13:27" x14ac:dyDescent="0.3">
      <c r="Q1107" s="19" t="s">
        <v>370</v>
      </c>
      <c r="R1107" s="19"/>
      <c r="T1107" s="80"/>
      <c r="U1107">
        <f>$K$1101*$I$1090*$G$1055*$E$984*$C$1053*$A$1008*$M$1096*$O$1101*Q1108</f>
        <v>1.0381727179194208E-2</v>
      </c>
      <c r="V1107">
        <v>1.0381729275408246E-2</v>
      </c>
      <c r="W1107" s="42">
        <f>$K$1102+$I$1091+$G$1056+$E$985+$C$1054+$A$1009+$M$1097+$O$1102+Q1109</f>
        <v>47008.711856313748</v>
      </c>
      <c r="X1107">
        <f>u_Healthy</f>
        <v>0</v>
      </c>
      <c r="Z1107" s="42">
        <f t="shared" si="116"/>
        <v>488.0316215376015</v>
      </c>
      <c r="AA1107" s="6">
        <f t="shared" si="115"/>
        <v>0</v>
      </c>
    </row>
    <row r="1108" spans="13:27" x14ac:dyDescent="0.3">
      <c r="Q1108" s="47">
        <f>1-Q1105-Q1102-Q1099</f>
        <v>0.61785831659300938</v>
      </c>
      <c r="R1108" s="47"/>
      <c r="T1108" s="80"/>
      <c r="Z1108" s="42">
        <f t="shared" si="116"/>
        <v>0</v>
      </c>
      <c r="AA1108" s="6">
        <f t="shared" si="115"/>
        <v>0</v>
      </c>
    </row>
    <row r="1109" spans="13:27" x14ac:dyDescent="0.3">
      <c r="Q1109" s="48">
        <f>c_clinic_fu+c_CSG</f>
        <v>14403</v>
      </c>
      <c r="R1109" s="48"/>
      <c r="T1109" s="80"/>
      <c r="Z1109" s="42">
        <f t="shared" si="116"/>
        <v>0</v>
      </c>
      <c r="AA1109" s="6">
        <f t="shared" si="115"/>
        <v>0</v>
      </c>
    </row>
    <row r="1110" spans="13:27" x14ac:dyDescent="0.3">
      <c r="Q1110" s="42"/>
      <c r="R1110" s="42"/>
      <c r="T1110" s="80"/>
      <c r="Z1110" s="42">
        <f t="shared" si="116"/>
        <v>0</v>
      </c>
      <c r="AA1110" s="6">
        <f t="shared" si="115"/>
        <v>0</v>
      </c>
    </row>
    <row r="1111" spans="13:27" x14ac:dyDescent="0.3">
      <c r="Q1111" s="19" t="s">
        <v>368</v>
      </c>
      <c r="R1111" s="19"/>
      <c r="T1111" s="80"/>
      <c r="U1111">
        <f>$K$1101*$I$1090*$G$1055*$E$984*$C$1053*$A$1008*$M$1116*$O$1114*Q1112</f>
        <v>0</v>
      </c>
      <c r="V1111">
        <v>0</v>
      </c>
      <c r="W1111" s="42">
        <f>$K$1102+$I$1091+$G$1056+$E$985+$C$1054+$A$1009+$M$1117+$O$1115+Q1113</f>
        <v>59475.873010508105</v>
      </c>
      <c r="X1111">
        <f>u_ChronicResp</f>
        <v>0.53465956747782661</v>
      </c>
      <c r="Z1111" s="42">
        <f t="shared" si="116"/>
        <v>0</v>
      </c>
      <c r="AA1111" s="6">
        <f t="shared" si="115"/>
        <v>0</v>
      </c>
    </row>
    <row r="1112" spans="13:27" x14ac:dyDescent="0.3">
      <c r="Q1112" s="47">
        <f>noRDS2CLD_3-(Hypo2CI_3*noRDS2CLD_3)</f>
        <v>0</v>
      </c>
      <c r="R1112" s="47"/>
      <c r="T1112" s="80"/>
      <c r="Z1112" s="42">
        <f t="shared" si="116"/>
        <v>0</v>
      </c>
      <c r="AA1112" s="6">
        <f t="shared" si="115"/>
        <v>0</v>
      </c>
    </row>
    <row r="1113" spans="13:27" x14ac:dyDescent="0.3">
      <c r="O1113" s="19" t="s">
        <v>161</v>
      </c>
      <c r="Q1113" s="48">
        <f>c_lung+c_hosp_fu+c_CSG</f>
        <v>54529.510902399998</v>
      </c>
      <c r="R1113" s="48"/>
      <c r="T1113" s="80"/>
      <c r="Z1113" s="42">
        <f t="shared" si="116"/>
        <v>0</v>
      </c>
      <c r="AA1113" s="6">
        <f t="shared" si="115"/>
        <v>0</v>
      </c>
    </row>
    <row r="1114" spans="13:27" x14ac:dyDescent="0.3">
      <c r="O1114" s="47">
        <f>AGA_prem_2hypoglycaemia_3</f>
        <v>0.15</v>
      </c>
      <c r="Q1114" s="19" t="s">
        <v>226</v>
      </c>
      <c r="R1114" s="19"/>
      <c r="T1114" s="80"/>
      <c r="U1114">
        <f>$K$1101*$I$1090*$G$1055*$E$984*$C$1053*$A$1008*$M$1116*$O$1114*Q1115</f>
        <v>1.8603844048106912E-4</v>
      </c>
      <c r="V1114">
        <v>1.8603847804479857E-4</v>
      </c>
      <c r="W1114" s="42">
        <f>$K$1102+$I$1091+$G$1056+$E$985+$C$1054+$A$1009+$M$1117+$O$1115+Q1116</f>
        <v>20712.362108108107</v>
      </c>
      <c r="X1114">
        <f>u_CongnitiveImpairement</f>
        <v>17.270393127285455</v>
      </c>
      <c r="Z1114" s="42">
        <f t="shared" si="116"/>
        <v>3.8532955452716213</v>
      </c>
      <c r="AA1114" s="6">
        <f t="shared" si="115"/>
        <v>3.2129570038951605E-3</v>
      </c>
    </row>
    <row r="1115" spans="13:27" x14ac:dyDescent="0.3">
      <c r="M1115" s="19" t="s">
        <v>203</v>
      </c>
      <c r="O1115" s="48">
        <f>c_hypo</f>
        <v>2936.2604000000001</v>
      </c>
      <c r="Q1115" s="47">
        <f>Hypo2CI_3-(Hypo2CI_3*noRDS2CLD_3)</f>
        <v>5.1333333333333335E-2</v>
      </c>
      <c r="R1115" s="47"/>
      <c r="T1115" s="80"/>
      <c r="Z1115" s="42">
        <f t="shared" si="116"/>
        <v>0</v>
      </c>
      <c r="AA1115" s="6">
        <f t="shared" si="115"/>
        <v>0</v>
      </c>
    </row>
    <row r="1116" spans="13:27" x14ac:dyDescent="0.3">
      <c r="M1116" s="47">
        <f>S_prem_2noRDS_3</f>
        <v>0.55000000000000004</v>
      </c>
      <c r="Q1116" s="48">
        <f>c_cog+c_hosp_fu+c_CSG</f>
        <v>15766</v>
      </c>
      <c r="R1116" s="48"/>
      <c r="T1116" s="80"/>
      <c r="Z1116" s="42">
        <f t="shared" si="116"/>
        <v>0</v>
      </c>
      <c r="AA1116" s="6">
        <f t="shared" si="115"/>
        <v>0</v>
      </c>
    </row>
    <row r="1117" spans="13:27" x14ac:dyDescent="0.3">
      <c r="M1117" s="48"/>
      <c r="O1117" s="42"/>
      <c r="Q1117" s="19" t="s">
        <v>369</v>
      </c>
      <c r="R1117" s="19"/>
      <c r="T1117" s="80"/>
      <c r="U1117">
        <f>$K$1101*$I$1090*$G$1055*$E$984*$C$1053*$A$1008*$M$1116*$O$1114*Q1118</f>
        <v>0</v>
      </c>
      <c r="V1117" s="42">
        <v>0</v>
      </c>
      <c r="W1117" s="42">
        <f>$K$1102+$I$1091+$G$1056+$E$985+$C$1054+$A$1009+$M$1117+$O$1115+Q1119</f>
        <v>63294.873010508105</v>
      </c>
      <c r="X1117">
        <f>u_ChronicResp+u_CongnitiveImpairement</f>
        <v>17.805052694763283</v>
      </c>
      <c r="Z1117" s="42">
        <f t="shared" si="116"/>
        <v>0</v>
      </c>
      <c r="AA1117" s="6">
        <f t="shared" si="115"/>
        <v>0</v>
      </c>
    </row>
    <row r="1118" spans="13:27" x14ac:dyDescent="0.3">
      <c r="M1118" s="42"/>
      <c r="Q1118" s="47">
        <f>noRDS2CLD_3*Hypo2CI_3</f>
        <v>0</v>
      </c>
      <c r="R1118" s="47"/>
      <c r="T1118" s="80"/>
      <c r="Z1118" s="42">
        <f t="shared" si="116"/>
        <v>0</v>
      </c>
      <c r="AA1118" s="6">
        <f t="shared" si="115"/>
        <v>0</v>
      </c>
    </row>
    <row r="1119" spans="13:27" x14ac:dyDescent="0.3">
      <c r="M1119" s="42"/>
      <c r="Q1119" s="48">
        <f>c_lung+c_cog+c_hosp_fu+c_CSG</f>
        <v>58348.510902399998</v>
      </c>
      <c r="R1119" s="48"/>
      <c r="T1119" s="80"/>
      <c r="Z1119" s="42">
        <f t="shared" si="116"/>
        <v>0</v>
      </c>
      <c r="AA1119" s="6">
        <f t="shared" si="115"/>
        <v>0</v>
      </c>
    </row>
    <row r="1120" spans="13:27" x14ac:dyDescent="0.3">
      <c r="M1120" s="42"/>
      <c r="Q1120" s="19" t="s">
        <v>370</v>
      </c>
      <c r="R1120" s="19"/>
      <c r="T1120" s="80"/>
      <c r="U1120">
        <f>$K$1101*$I$1090*$G$1055*$E$984*$C$1053*$A$1008*$M$1116*$O$1114*Q1121</f>
        <v>3.438087023435862E-3</v>
      </c>
      <c r="V1120" s="40">
        <v>3.4380877176330956E-3</v>
      </c>
      <c r="W1120" s="42">
        <f>$K$1102+$I$1091+$G$1056+$E$985+$C$1054+$A$1009+$M$1117+$O$1115+Q1122</f>
        <v>19349.362108108107</v>
      </c>
      <c r="X1120">
        <f>u_Healthy</f>
        <v>0</v>
      </c>
      <c r="Z1120" s="42">
        <f t="shared" si="116"/>
        <v>66.524790775648057</v>
      </c>
      <c r="AA1120" s="6">
        <f t="shared" si="115"/>
        <v>0</v>
      </c>
    </row>
    <row r="1121" spans="7:27" x14ac:dyDescent="0.3">
      <c r="M1121" s="42"/>
      <c r="O1121" s="42"/>
      <c r="Q1121" s="47">
        <f>1-Q1118-Q1115-Q1112</f>
        <v>0.94866666666666666</v>
      </c>
      <c r="R1121" s="47"/>
      <c r="T1121" s="80"/>
      <c r="Z1121" s="42">
        <f t="shared" si="116"/>
        <v>0</v>
      </c>
      <c r="AA1121" s="6">
        <f t="shared" si="115"/>
        <v>0</v>
      </c>
    </row>
    <row r="1122" spans="7:27" x14ac:dyDescent="0.3">
      <c r="M1122" s="42"/>
      <c r="Q1122" s="48">
        <f>c_clinic_fu+c_CSG</f>
        <v>14403</v>
      </c>
      <c r="R1122" s="48"/>
      <c r="S1122" s="96"/>
      <c r="T1122" s="80"/>
      <c r="V1122" s="40"/>
      <c r="Z1122" s="42">
        <f t="shared" si="116"/>
        <v>0</v>
      </c>
      <c r="AA1122" s="6">
        <f t="shared" si="115"/>
        <v>0</v>
      </c>
    </row>
    <row r="1123" spans="7:27" x14ac:dyDescent="0.3">
      <c r="M1123" s="42"/>
      <c r="Q1123" s="42"/>
      <c r="R1123" s="42"/>
      <c r="T1123" s="80"/>
      <c r="V1123" s="40"/>
      <c r="Z1123" s="42">
        <f t="shared" si="116"/>
        <v>0</v>
      </c>
      <c r="AA1123" s="6">
        <f t="shared" si="115"/>
        <v>0</v>
      </c>
    </row>
    <row r="1124" spans="7:27" x14ac:dyDescent="0.3">
      <c r="M1124" s="42"/>
      <c r="Q1124" s="19" t="s">
        <v>368</v>
      </c>
      <c r="R1124" s="19"/>
      <c r="T1124" s="80"/>
      <c r="U1124">
        <f>$K$1101*$I$1090*$G$1055*$E$984*$C$1053*$A$1008*$M$1116*$O$1128*Q1125</f>
        <v>0</v>
      </c>
      <c r="V1124" s="40">
        <v>0</v>
      </c>
      <c r="W1124" s="42">
        <f>$K$1102+$I$1091+$G$1056+$E$985+$C$1054+$A$1009+$M$1117+$O$1129+Q1126</f>
        <v>58568.873010508105</v>
      </c>
      <c r="X1124">
        <f>u_ChronicResp</f>
        <v>0.53465956747782661</v>
      </c>
      <c r="Z1124" s="42">
        <f t="shared" si="116"/>
        <v>0</v>
      </c>
      <c r="AA1124" s="6">
        <f t="shared" si="115"/>
        <v>0</v>
      </c>
    </row>
    <row r="1125" spans="7:27" x14ac:dyDescent="0.3">
      <c r="M1125" s="42"/>
      <c r="Q1125" s="47">
        <f>noRDS2CLD_3-(noRDS2CLD_3*noHypo2CI_3)</f>
        <v>0</v>
      </c>
      <c r="R1125" s="47"/>
      <c r="T1125" s="80"/>
      <c r="V1125" s="40"/>
      <c r="Z1125" s="42">
        <f t="shared" si="116"/>
        <v>0</v>
      </c>
      <c r="AA1125" s="6">
        <f t="shared" si="115"/>
        <v>0</v>
      </c>
    </row>
    <row r="1126" spans="7:27" x14ac:dyDescent="0.3">
      <c r="M1126" s="42"/>
      <c r="Q1126" s="48">
        <f>c_lung+c_hypo+c_CSG</f>
        <v>56558.771302399997</v>
      </c>
      <c r="R1126" s="48"/>
      <c r="T1126" s="80"/>
      <c r="V1126" s="40"/>
      <c r="Z1126" s="42">
        <f t="shared" si="116"/>
        <v>0</v>
      </c>
      <c r="AA1126" s="6">
        <f t="shared" si="115"/>
        <v>0</v>
      </c>
    </row>
    <row r="1127" spans="7:27" x14ac:dyDescent="0.3">
      <c r="M1127" s="42"/>
      <c r="O1127" s="19" t="s">
        <v>371</v>
      </c>
      <c r="Q1127" s="19" t="s">
        <v>226</v>
      </c>
      <c r="R1127" s="19"/>
      <c r="T1127" s="80"/>
      <c r="U1127">
        <f>$K$1101*$I$1090*$G$1055*$E$984*$C$1053*$A$1008*$M$1116*$O$1128*Q1128</f>
        <v>6.7946892235308802E-4</v>
      </c>
      <c r="V1127" s="40">
        <v>6.7946905954724347E-4</v>
      </c>
      <c r="W1127" s="42">
        <f>$K$1102+$I$1091+$G$1056+$E$985+$C$1054+$A$1009+$M$1117+$O$1129+Q1129</f>
        <v>17776.101708108108</v>
      </c>
      <c r="X1127">
        <f>u_CongnitiveImpairement</f>
        <v>17.270393127285455</v>
      </c>
      <c r="Z1127" s="42">
        <f t="shared" si="116"/>
        <v>12.078308671247104</v>
      </c>
      <c r="AA1127" s="6">
        <f t="shared" si="115"/>
        <v>1.1734695406810826E-2</v>
      </c>
    </row>
    <row r="1128" spans="7:27" x14ac:dyDescent="0.3">
      <c r="M1128" s="42"/>
      <c r="O1128" s="47">
        <f>AGA_prem_2normoglycaemia_3</f>
        <v>0.85</v>
      </c>
      <c r="Q1128" s="47">
        <f>noHypo2CI_3</f>
        <v>3.3085576536761752E-2</v>
      </c>
      <c r="R1128" s="47"/>
      <c r="T1128" s="80"/>
      <c r="V1128" s="40"/>
      <c r="Z1128" s="42">
        <f t="shared" si="116"/>
        <v>0</v>
      </c>
      <c r="AA1128" s="6">
        <f t="shared" si="115"/>
        <v>0</v>
      </c>
    </row>
    <row r="1129" spans="7:27" x14ac:dyDescent="0.3">
      <c r="M1129" s="42"/>
      <c r="O1129" s="48"/>
      <c r="Q1129" s="48">
        <f>c_cog+c_hosp_fu+c_CSG</f>
        <v>15766</v>
      </c>
      <c r="R1129" s="48"/>
      <c r="T1129" s="80"/>
      <c r="V1129" s="40"/>
      <c r="Z1129" s="42">
        <f t="shared" si="116"/>
        <v>0</v>
      </c>
      <c r="AA1129" s="6">
        <f t="shared" si="115"/>
        <v>0</v>
      </c>
    </row>
    <row r="1130" spans="7:27" x14ac:dyDescent="0.3">
      <c r="G1130" s="42"/>
      <c r="M1130" s="42"/>
      <c r="Q1130" s="19" t="s">
        <v>369</v>
      </c>
      <c r="R1130" s="19"/>
      <c r="T1130" s="80"/>
      <c r="U1130">
        <f>$K$1101*$I$1090*$G$1055*$E$984*$C$1053*$A$1008*$M$1116*$O$1128*Q1131</f>
        <v>0</v>
      </c>
      <c r="V1130" s="40">
        <v>0</v>
      </c>
      <c r="W1130" s="42">
        <f>$K$1102+$I$1091+$G$1056+$E$985+$C$1054+$A$1009+$M$1117+$O$1129+Q1132</f>
        <v>60358.612610508106</v>
      </c>
      <c r="X1130">
        <f>u_ChronicResp+u_CongnitiveImpairement</f>
        <v>17.805052694763283</v>
      </c>
      <c r="Z1130" s="42">
        <f t="shared" si="116"/>
        <v>0</v>
      </c>
      <c r="AA1130" s="6">
        <f t="shared" si="115"/>
        <v>0</v>
      </c>
    </row>
    <row r="1131" spans="7:27" x14ac:dyDescent="0.3">
      <c r="Q1131" s="47">
        <f>noRDS2CLD_3*noHypo2CI_3</f>
        <v>0</v>
      </c>
      <c r="R1131" s="47"/>
      <c r="T1131" s="80"/>
      <c r="V1131" s="40"/>
      <c r="Z1131" s="42">
        <f t="shared" si="116"/>
        <v>0</v>
      </c>
      <c r="AA1131" s="6">
        <f t="shared" si="115"/>
        <v>0</v>
      </c>
    </row>
    <row r="1132" spans="7:27" x14ac:dyDescent="0.3">
      <c r="Q1132" s="48">
        <f>c_cog+c_lung+c_hosp_fu+c_CSG</f>
        <v>58348.510902399998</v>
      </c>
      <c r="R1132" s="48"/>
      <c r="T1132" s="80"/>
      <c r="V1132" s="40"/>
      <c r="Z1132" s="42">
        <f t="shared" si="116"/>
        <v>0</v>
      </c>
      <c r="AA1132" s="6">
        <f t="shared" si="115"/>
        <v>0</v>
      </c>
    </row>
    <row r="1133" spans="7:27" x14ac:dyDescent="0.3">
      <c r="M1133" s="42"/>
      <c r="Q1133" s="19" t="s">
        <v>370</v>
      </c>
      <c r="R1133" s="19"/>
      <c r="T1133" s="80"/>
      <c r="U1133">
        <f>$K$1101*$I$1090*$G$1055*$E$984*$C$1053*$A$1008*$M$1116*$O$1128*Q1134</f>
        <v>1.9857242039842859E-2</v>
      </c>
      <c r="V1133" s="40">
        <v>1.9857246049294158E-2</v>
      </c>
      <c r="W1133" s="42">
        <f>$K$1102+$I$1091+$G$1056+$E$985+$C$1054+$A$1009+$M$1117+$O$1129+Q1135</f>
        <v>16413.101708108108</v>
      </c>
      <c r="X1133">
        <f>u_Healthy</f>
        <v>0</v>
      </c>
      <c r="Z1133" s="42">
        <f t="shared" si="116"/>
        <v>325.91893324246098</v>
      </c>
      <c r="AA1133" s="6">
        <f t="shared" si="115"/>
        <v>0</v>
      </c>
    </row>
    <row r="1134" spans="7:27" x14ac:dyDescent="0.3">
      <c r="M1134" s="42"/>
      <c r="Q1134" s="47">
        <f>1-Q1131-Q1128-Q1125</f>
        <v>0.9669144234632383</v>
      </c>
      <c r="R1134" s="47"/>
      <c r="T1134" s="80"/>
      <c r="V1134" s="40"/>
      <c r="Z1134" s="42">
        <f t="shared" si="116"/>
        <v>0</v>
      </c>
      <c r="AA1134" s="6">
        <f t="shared" si="115"/>
        <v>0</v>
      </c>
    </row>
    <row r="1135" spans="7:27" x14ac:dyDescent="0.3">
      <c r="M1135" s="42"/>
      <c r="Q1135" s="48">
        <f>c_clinic_fu+c_CSG</f>
        <v>14403</v>
      </c>
      <c r="R1135" s="48"/>
      <c r="T1135" s="80"/>
      <c r="V1135" s="40"/>
      <c r="Z1135" s="42">
        <f t="shared" si="116"/>
        <v>0</v>
      </c>
      <c r="AA1135" s="6">
        <f t="shared" si="115"/>
        <v>0</v>
      </c>
    </row>
    <row r="1136" spans="7:27" x14ac:dyDescent="0.3">
      <c r="M1136" s="42"/>
      <c r="Q1136" s="42"/>
      <c r="R1136" s="42"/>
      <c r="T1136" s="80"/>
      <c r="V1136" s="40"/>
      <c r="Z1136" s="42">
        <f t="shared" si="116"/>
        <v>0</v>
      </c>
      <c r="AA1136" s="6">
        <f t="shared" si="115"/>
        <v>0</v>
      </c>
    </row>
    <row r="1137" spans="9:27" x14ac:dyDescent="0.3">
      <c r="K1137" s="19" t="s">
        <v>165</v>
      </c>
      <c r="L1137" s="19"/>
      <c r="M1137" s="19"/>
      <c r="N1137" s="19"/>
      <c r="O1137" s="19"/>
      <c r="P1137" s="19"/>
      <c r="Q1137" s="19"/>
      <c r="R1137" s="19"/>
      <c r="T1137" s="80"/>
      <c r="U1137">
        <f>$K$1138*$I$1146*$G$1170*$E$1207*$C$1053*$A$1008</f>
        <v>3.0954820141540253E-3</v>
      </c>
      <c r="V1137" s="40">
        <v>3.0954826391745775E-3</v>
      </c>
      <c r="W1137" s="42">
        <f>$K$1139+$I$1147+$G$1171+$E$1208+$C$1054+$A$1009</f>
        <v>256670.55809999997</v>
      </c>
      <c r="X1137">
        <f>u_Death</f>
        <v>19.181538114427529</v>
      </c>
      <c r="Z1137" s="42">
        <f t="shared" si="116"/>
        <v>794.51909616142564</v>
      </c>
      <c r="AA1137" s="6">
        <f t="shared" si="115"/>
        <v>5.9376106237020332E-2</v>
      </c>
    </row>
    <row r="1138" spans="9:27" x14ac:dyDescent="0.3">
      <c r="K1138" s="47">
        <f>SGA_term_2d_3</f>
        <v>1.3200000000000002E-2</v>
      </c>
      <c r="T1138" s="80"/>
      <c r="Z1138" s="42">
        <f t="shared" si="116"/>
        <v>0</v>
      </c>
      <c r="AA1138" s="6">
        <f t="shared" si="115"/>
        <v>0</v>
      </c>
    </row>
    <row r="1139" spans="9:27" x14ac:dyDescent="0.3">
      <c r="K1139" s="48">
        <f>c_SB</f>
        <v>1792</v>
      </c>
      <c r="T1139" s="80"/>
      <c r="Z1139" s="42">
        <f t="shared" si="116"/>
        <v>0</v>
      </c>
      <c r="AA1139" s="6">
        <f t="shared" si="115"/>
        <v>0</v>
      </c>
    </row>
    <row r="1140" spans="9:27" x14ac:dyDescent="0.3">
      <c r="T1140" s="80"/>
      <c r="Z1140" s="42">
        <f t="shared" si="116"/>
        <v>0</v>
      </c>
      <c r="AA1140" s="6">
        <f t="shared" si="115"/>
        <v>0</v>
      </c>
    </row>
    <row r="1141" spans="9:27" x14ac:dyDescent="0.3">
      <c r="Q1141" s="19" t="s">
        <v>368</v>
      </c>
      <c r="R1141" s="19"/>
      <c r="T1141" s="80"/>
      <c r="U1141">
        <f>$K$1157*$I$1146*$G$1170*$E$1207*$C$1053*$A$1008*$M$1152*$O$1147*Q1142</f>
        <v>0</v>
      </c>
      <c r="W1141" s="42">
        <f>$K$1158+$I$1147+$G$1171+$E$1208+$C$1054+$A$1009+$M$1153+$O$1148+Q1143</f>
        <v>342939.93955060566</v>
      </c>
      <c r="X1141">
        <f>u_ChronicResp</f>
        <v>0.53465956747782661</v>
      </c>
      <c r="Z1141" s="42">
        <f t="shared" si="116"/>
        <v>0</v>
      </c>
      <c r="AA1141" s="6">
        <f t="shared" si="115"/>
        <v>0</v>
      </c>
    </row>
    <row r="1142" spans="9:27" x14ac:dyDescent="0.3">
      <c r="Q1142" s="47">
        <f>RDS2CLD_3-(Hypo2CI_3*RDS2CLD_3)</f>
        <v>0.34246866666666664</v>
      </c>
      <c r="R1142" s="47"/>
      <c r="T1142" s="80"/>
      <c r="V1142" s="40">
        <v>0</v>
      </c>
      <c r="Z1142" s="42">
        <f t="shared" si="116"/>
        <v>0</v>
      </c>
      <c r="AA1142" s="6">
        <f t="shared" si="115"/>
        <v>0</v>
      </c>
    </row>
    <row r="1143" spans="9:27" x14ac:dyDescent="0.3">
      <c r="Q1143" s="48">
        <f>c_lung+c_hosp_fu+c_CSG</f>
        <v>54529.510902399998</v>
      </c>
      <c r="R1143" s="48"/>
      <c r="T1143" s="80"/>
      <c r="Z1143" s="42">
        <f t="shared" si="116"/>
        <v>0</v>
      </c>
      <c r="AA1143" s="6">
        <f t="shared" si="115"/>
        <v>0</v>
      </c>
    </row>
    <row r="1144" spans="9:27" x14ac:dyDescent="0.3">
      <c r="Q1144" s="19" t="s">
        <v>226</v>
      </c>
      <c r="R1144" s="19"/>
      <c r="T1144" s="80"/>
      <c r="U1144">
        <f>$K$1157*$I$1146*$G$1170*$E$1207*$C$1053*$A$1008*$M$1152*$O$1147*Q1145</f>
        <v>0</v>
      </c>
      <c r="W1144" s="42">
        <f>$K$1158+$I$1147+$G$1171+$E$1208+$C$1054+$A$1009+$M$1153+$O$1148+Q1146</f>
        <v>304176.42864820565</v>
      </c>
      <c r="X1144">
        <f>u_CongnitiveImpairement</f>
        <v>17.270393127285455</v>
      </c>
      <c r="Z1144" s="42">
        <f t="shared" si="116"/>
        <v>0</v>
      </c>
      <c r="AA1144" s="6">
        <f t="shared" si="115"/>
        <v>0</v>
      </c>
    </row>
    <row r="1145" spans="9:27" x14ac:dyDescent="0.3">
      <c r="I1145" s="19" t="s">
        <v>164</v>
      </c>
      <c r="Q1145" s="47">
        <f>Hypo2CI_3-(Hypo2CI_3*RDS2CLD_3)</f>
        <v>3.2801999999999998E-2</v>
      </c>
      <c r="R1145" s="47"/>
      <c r="T1145" s="80"/>
      <c r="V1145" s="40">
        <v>0</v>
      </c>
      <c r="Z1145" s="42">
        <f t="shared" si="116"/>
        <v>0</v>
      </c>
      <c r="AA1145" s="6">
        <f t="shared" si="115"/>
        <v>0</v>
      </c>
    </row>
    <row r="1146" spans="9:27" x14ac:dyDescent="0.3">
      <c r="I1146" s="47">
        <f>LBW_term_2SGA_3</f>
        <v>1</v>
      </c>
      <c r="O1146" s="19" t="s">
        <v>161</v>
      </c>
      <c r="Q1146" s="48">
        <f>c_cog+c_hosp_fu+c_CSG</f>
        <v>15766</v>
      </c>
      <c r="R1146" s="48"/>
      <c r="T1146" s="80"/>
      <c r="Z1146" s="42">
        <f t="shared" si="116"/>
        <v>0</v>
      </c>
      <c r="AA1146" s="6">
        <f t="shared" si="115"/>
        <v>0</v>
      </c>
    </row>
    <row r="1147" spans="9:27" x14ac:dyDescent="0.3">
      <c r="I1147" s="48"/>
      <c r="O1147" s="47">
        <f>SGA_term_2hypoglycaemia_3</f>
        <v>0.26</v>
      </c>
      <c r="Q1147" s="19" t="s">
        <v>369</v>
      </c>
      <c r="R1147" s="19"/>
      <c r="T1147" s="80"/>
      <c r="U1147">
        <f>$K$1157*$I$1146*$G$1170*$E$1207*$C$1053*$A$1008*$M$1152*$O$1147*Q1148</f>
        <v>0</v>
      </c>
      <c r="W1147" s="42">
        <f>$K$1158+$I$1147+$G$1171+$E$1208+$C$1054+$A$1009+$M$1153+$O$1148+Q1149</f>
        <v>346758.93955060566</v>
      </c>
      <c r="X1147">
        <f>u_ChronicResp+u_CongnitiveImpairement</f>
        <v>17.805052694763283</v>
      </c>
      <c r="Z1147" s="42">
        <f t="shared" si="116"/>
        <v>0</v>
      </c>
      <c r="AA1147" s="6">
        <f t="shared" si="115"/>
        <v>0</v>
      </c>
    </row>
    <row r="1148" spans="9:27" x14ac:dyDescent="0.3">
      <c r="O1148" s="48">
        <f>c_hypo</f>
        <v>2936.2604000000001</v>
      </c>
      <c r="Q1148" s="47">
        <f>Hypo2CI_3*RDS2CLD_3</f>
        <v>1.8531333333333334E-2</v>
      </c>
      <c r="R1148" s="47"/>
      <c r="T1148" s="80"/>
      <c r="V1148" s="40">
        <v>0</v>
      </c>
      <c r="Z1148" s="42">
        <f t="shared" si="116"/>
        <v>0</v>
      </c>
      <c r="AA1148" s="6">
        <f t="shared" si="115"/>
        <v>0</v>
      </c>
    </row>
    <row r="1149" spans="9:27" x14ac:dyDescent="0.3">
      <c r="M1149" s="42"/>
      <c r="Q1149" s="48">
        <f>c_lung+c_cog+c_hosp_fu+c_CSG</f>
        <v>58348.510902399998</v>
      </c>
      <c r="R1149" s="48"/>
      <c r="T1149" s="80"/>
      <c r="Z1149" s="42">
        <f t="shared" si="116"/>
        <v>0</v>
      </c>
      <c r="AA1149" s="6">
        <f t="shared" si="115"/>
        <v>0</v>
      </c>
    </row>
    <row r="1150" spans="9:27" x14ac:dyDescent="0.3">
      <c r="Q1150" s="19" t="s">
        <v>370</v>
      </c>
      <c r="R1150" s="19"/>
      <c r="T1150" s="80"/>
      <c r="U1150">
        <f>$K$1157*$I$1146*$G$1170*$E$1207*$C$1053*$A$1008*$M$1152*$O$1147*Q1151</f>
        <v>0</v>
      </c>
      <c r="W1150" s="42">
        <f>$K$1158+$I$1147+$G$1171+$E$1208+$C$1054+$A$1009+$M$1153+$O$1148+Q1152</f>
        <v>302813.42864820565</v>
      </c>
      <c r="X1150">
        <f>u_Healthy</f>
        <v>0</v>
      </c>
      <c r="Z1150" s="42">
        <f t="shared" si="116"/>
        <v>0</v>
      </c>
      <c r="AA1150" s="6">
        <f t="shared" si="115"/>
        <v>0</v>
      </c>
    </row>
    <row r="1151" spans="9:27" x14ac:dyDescent="0.3">
      <c r="M1151" s="19" t="s">
        <v>9</v>
      </c>
      <c r="Q1151" s="47">
        <f>1-Q1142-Q1145-Q1148</f>
        <v>0.60619800000000001</v>
      </c>
      <c r="R1151" s="47"/>
      <c r="T1151" s="80"/>
      <c r="V1151" s="40">
        <v>0</v>
      </c>
      <c r="Z1151" s="42">
        <f t="shared" si="116"/>
        <v>0</v>
      </c>
      <c r="AA1151" s="6">
        <f t="shared" si="115"/>
        <v>0</v>
      </c>
    </row>
    <row r="1152" spans="9:27" x14ac:dyDescent="0.3">
      <c r="K1152" s="42"/>
      <c r="M1152" s="47">
        <f>S_term_2RDS_3</f>
        <v>0</v>
      </c>
      <c r="Q1152" s="48">
        <f>c_clinic_fu+c_CSG</f>
        <v>14403</v>
      </c>
      <c r="R1152" s="48"/>
      <c r="T1152" s="80"/>
      <c r="Z1152" s="42">
        <f t="shared" si="116"/>
        <v>0</v>
      </c>
      <c r="AA1152" s="6">
        <f t="shared" si="115"/>
        <v>0</v>
      </c>
    </row>
    <row r="1153" spans="7:27" x14ac:dyDescent="0.3">
      <c r="K1153" s="42"/>
      <c r="M1153" s="48">
        <f>c_RDS</f>
        <v>30595.610148205637</v>
      </c>
      <c r="Q1153" s="42"/>
      <c r="R1153" s="42"/>
      <c r="S1153" s="96"/>
      <c r="T1153" s="80"/>
      <c r="Z1153" s="42">
        <f t="shared" si="116"/>
        <v>0</v>
      </c>
      <c r="AA1153" s="6">
        <f t="shared" si="115"/>
        <v>0</v>
      </c>
    </row>
    <row r="1154" spans="7:27" x14ac:dyDescent="0.3">
      <c r="Q1154" s="19" t="s">
        <v>368</v>
      </c>
      <c r="R1154" s="19"/>
      <c r="T1154" s="80"/>
      <c r="U1154">
        <f>$K$1157*$I$1146*$G$1170*$E$1207*$C$1053*$A$1008*$M$1152*$O$1157*Q1155</f>
        <v>0</v>
      </c>
      <c r="W1154" s="42">
        <f>$K$1158+$I$1147+$G$1171+$E$1208+$C$1054+$A$1009+$M$1153+$O$1158+Q1156</f>
        <v>340003.67915060563</v>
      </c>
      <c r="X1154">
        <f>u_ChronicResp</f>
        <v>0.53465956747782661</v>
      </c>
      <c r="Z1154" s="42">
        <f t="shared" si="116"/>
        <v>0</v>
      </c>
      <c r="AA1154" s="6">
        <f t="shared" si="115"/>
        <v>0</v>
      </c>
    </row>
    <row r="1155" spans="7:27" x14ac:dyDescent="0.3">
      <c r="Q1155" s="47">
        <f>RDS2CLD_3-(RDS2CLD_3*noHypo2CI_3)</f>
        <v>0.34905610687022898</v>
      </c>
      <c r="R1155" s="47"/>
      <c r="T1155" s="80"/>
      <c r="V1155" s="40">
        <v>0</v>
      </c>
      <c r="Z1155" s="42">
        <f t="shared" si="116"/>
        <v>0</v>
      </c>
      <c r="AA1155" s="6">
        <f t="shared" si="115"/>
        <v>0</v>
      </c>
    </row>
    <row r="1156" spans="7:27" x14ac:dyDescent="0.3">
      <c r="K1156" s="19" t="s">
        <v>37</v>
      </c>
      <c r="M1156" s="42"/>
      <c r="O1156" s="19" t="s">
        <v>371</v>
      </c>
      <c r="Q1156" s="48">
        <f>c_lung+c_hosp_fu+c_CSG</f>
        <v>54529.510902399998</v>
      </c>
      <c r="R1156" s="48"/>
      <c r="T1156" s="80"/>
      <c r="Z1156" s="42">
        <f t="shared" si="116"/>
        <v>0</v>
      </c>
      <c r="AA1156" s="6">
        <f t="shared" si="115"/>
        <v>0</v>
      </c>
    </row>
    <row r="1157" spans="7:27" x14ac:dyDescent="0.3">
      <c r="K1157" s="47">
        <f>SGA_term_2s_3</f>
        <v>0.98680000000000001</v>
      </c>
      <c r="O1157" s="47">
        <f>SGA_term_2normoglycaemia_3</f>
        <v>0.74</v>
      </c>
      <c r="Q1157" s="19" t="s">
        <v>226</v>
      </c>
      <c r="R1157" s="19"/>
      <c r="T1157" s="80"/>
      <c r="U1157">
        <f>$K$1157*$I$1146*$G$1170*$E$1207*$C$1053*$A$1008*$M$1152*$O$1157*Q1158</f>
        <v>0</v>
      </c>
      <c r="W1157" s="42">
        <f>$K$1158+$I$1147+$G$1171+$E$1208+$C$1054+$A$1009+$M$1153+$O$1158+Q1159</f>
        <v>301240.16824820562</v>
      </c>
      <c r="X1157">
        <f>u_CongnitiveImpairement</f>
        <v>17.270393127285455</v>
      </c>
      <c r="Z1157" s="42">
        <f t="shared" si="116"/>
        <v>0</v>
      </c>
      <c r="AA1157" s="6">
        <f t="shared" si="115"/>
        <v>0</v>
      </c>
    </row>
    <row r="1158" spans="7:27" x14ac:dyDescent="0.3">
      <c r="K1158" s="48"/>
      <c r="O1158" s="48"/>
      <c r="Q1158" s="47">
        <f>noHypo2CI_3-(RDS2CLD_3*noHypo2CI_3)</f>
        <v>2.1141683406990762E-2</v>
      </c>
      <c r="R1158" s="47"/>
      <c r="T1158" s="80"/>
      <c r="V1158" s="40">
        <v>0</v>
      </c>
      <c r="Z1158" s="42">
        <f t="shared" si="116"/>
        <v>0</v>
      </c>
      <c r="AA1158" s="6">
        <f t="shared" si="115"/>
        <v>0</v>
      </c>
    </row>
    <row r="1159" spans="7:27" x14ac:dyDescent="0.3">
      <c r="Q1159" s="48">
        <f>c_cog+c_hosp_fu+c_CSG</f>
        <v>15766</v>
      </c>
      <c r="R1159" s="48"/>
      <c r="T1159" s="80"/>
      <c r="Z1159" s="42">
        <f t="shared" si="116"/>
        <v>0</v>
      </c>
      <c r="AA1159" s="6">
        <f t="shared" si="115"/>
        <v>0</v>
      </c>
    </row>
    <row r="1160" spans="7:27" x14ac:dyDescent="0.3">
      <c r="Q1160" s="19" t="s">
        <v>369</v>
      </c>
      <c r="R1160" s="19"/>
      <c r="T1160" s="80"/>
      <c r="U1160">
        <f>$K$1157*$I$1146*$G$1170*$E$1207*$C$1053*$A$1008*$M$1152*$O$1157*Q1161</f>
        <v>0</v>
      </c>
      <c r="W1160" s="42">
        <f>$K$1158+$I$1147+$G$1171+$E$1208+$C$1054+$A$1009+$M$1153+$O$1158+Q1162</f>
        <v>343822.67915060563</v>
      </c>
      <c r="X1160">
        <f>u_ChronicResp+u_CongnitiveImpairement</f>
        <v>17.805052694763283</v>
      </c>
      <c r="Z1160" s="42">
        <f t="shared" si="116"/>
        <v>0</v>
      </c>
      <c r="AA1160" s="6">
        <f t="shared" si="115"/>
        <v>0</v>
      </c>
    </row>
    <row r="1161" spans="7:27" x14ac:dyDescent="0.3">
      <c r="G1161" s="42"/>
      <c r="Q1161" s="47">
        <f>RDS2CLD_3*noHypo2CI_3</f>
        <v>1.1943893129770991E-2</v>
      </c>
      <c r="R1161" s="47"/>
      <c r="T1161" s="80"/>
      <c r="V1161" s="40">
        <v>0</v>
      </c>
      <c r="Z1161" s="42">
        <f t="shared" si="116"/>
        <v>0</v>
      </c>
      <c r="AA1161" s="6">
        <f t="shared" si="115"/>
        <v>0</v>
      </c>
    </row>
    <row r="1162" spans="7:27" x14ac:dyDescent="0.3">
      <c r="G1162" s="42"/>
      <c r="Q1162" s="48">
        <f>c_cog+c_lung+c_hosp_fu+c_CSG</f>
        <v>58348.510902399998</v>
      </c>
      <c r="R1162" s="48"/>
      <c r="T1162" s="80"/>
      <c r="V1162" s="40"/>
      <c r="Z1162" s="42">
        <f t="shared" si="116"/>
        <v>0</v>
      </c>
      <c r="AA1162" s="6">
        <f t="shared" si="115"/>
        <v>0</v>
      </c>
    </row>
    <row r="1163" spans="7:27" x14ac:dyDescent="0.3">
      <c r="Q1163" s="19" t="s">
        <v>370</v>
      </c>
      <c r="R1163" s="19"/>
      <c r="T1163" s="80"/>
      <c r="U1163">
        <f>$K$1157*$I$1146*$G$1170*$E$1207*$C$1053*$A$1008*$M$1152*$O$1157*Q1164</f>
        <v>0</v>
      </c>
      <c r="W1163" s="42">
        <f>$K$1158+$I$1147+$G$1171+$E$1208+$C$1054+$A$1009+$M$1153+$O$1158+Q1165</f>
        <v>299877.16824820562</v>
      </c>
      <c r="X1163">
        <f>u_Healthy</f>
        <v>0</v>
      </c>
      <c r="Z1163" s="42">
        <f t="shared" si="116"/>
        <v>0</v>
      </c>
      <c r="AA1163" s="6">
        <f t="shared" si="115"/>
        <v>0</v>
      </c>
    </row>
    <row r="1164" spans="7:27" x14ac:dyDescent="0.3">
      <c r="Q1164" s="47">
        <f>1-Q1161-Q1158-Q1155</f>
        <v>0.61785831659300938</v>
      </c>
      <c r="R1164" s="47"/>
      <c r="T1164" s="80"/>
      <c r="V1164" s="40">
        <v>0</v>
      </c>
      <c r="Z1164" s="42">
        <f t="shared" si="116"/>
        <v>0</v>
      </c>
      <c r="AA1164" s="6">
        <f t="shared" si="115"/>
        <v>0</v>
      </c>
    </row>
    <row r="1165" spans="7:27" x14ac:dyDescent="0.3">
      <c r="Q1165" s="48">
        <f>c_clinic_fu+c_CSG</f>
        <v>14403</v>
      </c>
      <c r="R1165" s="48"/>
      <c r="T1165" s="80"/>
      <c r="Z1165" s="42">
        <f t="shared" si="116"/>
        <v>0</v>
      </c>
      <c r="AA1165" s="6">
        <f t="shared" ref="AA1165:AA1228" si="117">U1165*X1165</f>
        <v>0</v>
      </c>
    </row>
    <row r="1166" spans="7:27" x14ac:dyDescent="0.3">
      <c r="Q1166" s="42"/>
      <c r="R1166" s="42"/>
      <c r="T1166" s="80"/>
      <c r="Z1166" s="42">
        <f t="shared" si="116"/>
        <v>0</v>
      </c>
      <c r="AA1166" s="6">
        <f t="shared" si="117"/>
        <v>0</v>
      </c>
    </row>
    <row r="1167" spans="7:27" x14ac:dyDescent="0.3">
      <c r="Q1167" s="19" t="s">
        <v>368</v>
      </c>
      <c r="R1167" s="19"/>
      <c r="T1167" s="80"/>
      <c r="U1167">
        <f>$K$1157*$I$1146*$G$1170*$E$1207*$C$1053*$A$1008*$M$1172*$O$1170*Q1168</f>
        <v>0</v>
      </c>
      <c r="W1167" s="42">
        <f>$K$1158+$I$1147+$G$1171+$E$1208+$C$1054+$A$1009+$M$1173+$O$1171+Q1169</f>
        <v>312344.32940239995</v>
      </c>
      <c r="X1167">
        <f>u_ChronicResp</f>
        <v>0.53465956747782661</v>
      </c>
      <c r="Z1167" s="42">
        <f t="shared" ref="Z1167:Z1230" si="118">U1167*W1167</f>
        <v>0</v>
      </c>
      <c r="AA1167" s="6">
        <f t="shared" si="117"/>
        <v>0</v>
      </c>
    </row>
    <row r="1168" spans="7:27" x14ac:dyDescent="0.3">
      <c r="Q1168" s="47">
        <f>noRDS2CLD_3-(Hypo2CI_3*noRDS2CLD_3)</f>
        <v>0</v>
      </c>
      <c r="R1168" s="47"/>
      <c r="T1168" s="80"/>
      <c r="V1168" s="40">
        <v>0</v>
      </c>
      <c r="Z1168" s="42">
        <f t="shared" si="118"/>
        <v>0</v>
      </c>
      <c r="AA1168" s="6">
        <f t="shared" si="117"/>
        <v>0</v>
      </c>
    </row>
    <row r="1169" spans="7:27" x14ac:dyDescent="0.3">
      <c r="G1169" s="19" t="s">
        <v>8</v>
      </c>
      <c r="O1169" s="19" t="s">
        <v>161</v>
      </c>
      <c r="Q1169" s="48">
        <f>c_lung+c_hosp_fu+c_CSG</f>
        <v>54529.510902399998</v>
      </c>
      <c r="R1169" s="48"/>
      <c r="T1169" s="80"/>
      <c r="Z1169" s="42">
        <f t="shared" si="118"/>
        <v>0</v>
      </c>
      <c r="AA1169" s="6">
        <f t="shared" si="117"/>
        <v>0</v>
      </c>
    </row>
    <row r="1170" spans="7:27" x14ac:dyDescent="0.3">
      <c r="G1170" s="47">
        <f>Term2LBW_3</f>
        <v>0.34769230769230769</v>
      </c>
      <c r="O1170" s="47">
        <f>SGA_term_2hypoglycaemia_3</f>
        <v>0.26</v>
      </c>
      <c r="Q1170" s="19" t="s">
        <v>226</v>
      </c>
      <c r="R1170" s="19"/>
      <c r="T1170" s="80"/>
      <c r="U1170">
        <f>$K$1157*$I$1146*$G$1170*$E$1207*$C$1053*$A$1008*$M$1172*$O$1170*Q1171</f>
        <v>3.0885618921401609E-3</v>
      </c>
      <c r="V1170" s="40">
        <v>3.0885625157634445E-3</v>
      </c>
      <c r="W1170" s="42">
        <f>$K$1158+$I$1147+$G$1171+$E$1208+$C$1054+$A$1009+$M$1173+$O$1171+Q1172</f>
        <v>273580.81849999994</v>
      </c>
      <c r="X1170">
        <f>u_CongnitiveImpairement</f>
        <v>17.270393127285455</v>
      </c>
      <c r="Z1170" s="42">
        <f t="shared" si="118"/>
        <v>844.97129043961377</v>
      </c>
      <c r="AA1170" s="6">
        <f t="shared" si="117"/>
        <v>5.3340678075213199E-2</v>
      </c>
    </row>
    <row r="1171" spans="7:27" x14ac:dyDescent="0.3">
      <c r="G1171" s="48">
        <f>c_LBW</f>
        <v>254701.55809999997</v>
      </c>
      <c r="M1171" s="19" t="s">
        <v>203</v>
      </c>
      <c r="O1171" s="48">
        <f>c_hypo</f>
        <v>2936.2604000000001</v>
      </c>
      <c r="Q1171" s="47">
        <f>Hypo2CI_3-(Hypo2CI_3*noRDS2CLD_3)</f>
        <v>5.1333333333333335E-2</v>
      </c>
      <c r="R1171" s="47"/>
      <c r="T1171" s="80"/>
      <c r="Z1171" s="42">
        <f t="shared" si="118"/>
        <v>0</v>
      </c>
      <c r="AA1171" s="6">
        <f t="shared" si="117"/>
        <v>0</v>
      </c>
    </row>
    <row r="1172" spans="7:27" x14ac:dyDescent="0.3">
      <c r="M1172" s="47">
        <f>S_term_2noRDS_3</f>
        <v>1</v>
      </c>
      <c r="Q1172" s="48">
        <f>c_cog+c_hosp_fu+c_CSG</f>
        <v>15766</v>
      </c>
      <c r="R1172" s="48"/>
      <c r="T1172" s="80"/>
      <c r="Z1172" s="42">
        <f t="shared" si="118"/>
        <v>0</v>
      </c>
      <c r="AA1172" s="6">
        <f t="shared" si="117"/>
        <v>0</v>
      </c>
    </row>
    <row r="1173" spans="7:27" x14ac:dyDescent="0.3">
      <c r="M1173" s="48"/>
      <c r="O1173" s="42"/>
      <c r="Q1173" s="19" t="s">
        <v>369</v>
      </c>
      <c r="R1173" s="19"/>
      <c r="T1173" s="80"/>
      <c r="U1173">
        <f>$K$1157*$I$1146*$G$1170*$E$1207*$C$1053*$A$1008*$M$1172*$O$1170*Q1174</f>
        <v>0</v>
      </c>
      <c r="V1173" s="40">
        <v>0</v>
      </c>
      <c r="W1173" s="42">
        <f>$K$1158+$I$1147+$G$1171+$E$1208+$C$1054+$A$1009+$M$1173+$O$1171+Q1175</f>
        <v>316163.32940239995</v>
      </c>
      <c r="X1173">
        <f>u_ChronicResp+u_CongnitiveImpairement</f>
        <v>17.805052694763283</v>
      </c>
      <c r="Z1173" s="42">
        <f t="shared" si="118"/>
        <v>0</v>
      </c>
      <c r="AA1173" s="6">
        <f t="shared" si="117"/>
        <v>0</v>
      </c>
    </row>
    <row r="1174" spans="7:27" x14ac:dyDescent="0.3">
      <c r="M1174" s="42"/>
      <c r="Q1174" s="47">
        <f>noRDS2CLD_3*Hypo2CI_3</f>
        <v>0</v>
      </c>
      <c r="R1174" s="47"/>
      <c r="T1174" s="80"/>
      <c r="Z1174" s="42">
        <f t="shared" si="118"/>
        <v>0</v>
      </c>
      <c r="AA1174" s="6">
        <f t="shared" si="117"/>
        <v>0</v>
      </c>
    </row>
    <row r="1175" spans="7:27" x14ac:dyDescent="0.3">
      <c r="M1175" s="42"/>
      <c r="Q1175" s="48">
        <f>c_lung+c_cog+c_hosp_fu+c_CSG</f>
        <v>58348.510902399998</v>
      </c>
      <c r="R1175" s="48"/>
      <c r="T1175" s="80"/>
      <c r="Z1175" s="42">
        <f t="shared" si="118"/>
        <v>0</v>
      </c>
      <c r="AA1175" s="6">
        <f t="shared" si="117"/>
        <v>0</v>
      </c>
    </row>
    <row r="1176" spans="7:27" x14ac:dyDescent="0.3">
      <c r="M1176" s="42"/>
      <c r="Q1176" s="19" t="s">
        <v>370</v>
      </c>
      <c r="R1176" s="19"/>
      <c r="T1176" s="80"/>
      <c r="U1176">
        <f>$K$1157*$I$1146*$G$1170*$E$1207*$C$1053*$A$1008*$M$1172*$O$1170*Q1177</f>
        <v>5.7078228214486347E-2</v>
      </c>
      <c r="V1176" s="40">
        <v>5.707823973936859E-2</v>
      </c>
      <c r="W1176" s="42">
        <f>$K$1158+$I$1147+$G$1171+$E$1208+$C$1054+$A$1009+$M$1173+$O$1171+Q1178</f>
        <v>272217.81849999994</v>
      </c>
      <c r="X1176">
        <f>u_Healthy</f>
        <v>0</v>
      </c>
      <c r="Z1176" s="42">
        <f t="shared" si="118"/>
        <v>15537.710768392621</v>
      </c>
      <c r="AA1176" s="6">
        <f t="shared" si="117"/>
        <v>0</v>
      </c>
    </row>
    <row r="1177" spans="7:27" x14ac:dyDescent="0.3">
      <c r="M1177" s="42"/>
      <c r="O1177" s="42"/>
      <c r="Q1177" s="47">
        <f>1-Q1174-Q1171-Q1168</f>
        <v>0.94866666666666666</v>
      </c>
      <c r="R1177" s="47"/>
      <c r="T1177" s="80"/>
      <c r="Z1177" s="42">
        <f t="shared" si="118"/>
        <v>0</v>
      </c>
      <c r="AA1177" s="6">
        <f t="shared" si="117"/>
        <v>0</v>
      </c>
    </row>
    <row r="1178" spans="7:27" x14ac:dyDescent="0.3">
      <c r="M1178" s="42"/>
      <c r="Q1178" s="48">
        <f>c_clinic_fu+c_CSG</f>
        <v>14403</v>
      </c>
      <c r="R1178" s="48"/>
      <c r="S1178" s="96"/>
      <c r="T1178" s="80"/>
      <c r="Z1178" s="42">
        <f t="shared" si="118"/>
        <v>0</v>
      </c>
      <c r="AA1178" s="6">
        <f t="shared" si="117"/>
        <v>0</v>
      </c>
    </row>
    <row r="1179" spans="7:27" x14ac:dyDescent="0.3">
      <c r="M1179" s="42"/>
      <c r="Q1179" s="42"/>
      <c r="R1179" s="42"/>
      <c r="T1179" s="80"/>
      <c r="Z1179" s="42">
        <f t="shared" si="118"/>
        <v>0</v>
      </c>
      <c r="AA1179" s="6">
        <f t="shared" si="117"/>
        <v>0</v>
      </c>
    </row>
    <row r="1180" spans="7:27" x14ac:dyDescent="0.3">
      <c r="M1180" s="42"/>
      <c r="Q1180" s="19" t="s">
        <v>368</v>
      </c>
      <c r="R1180" s="19"/>
      <c r="T1180" s="80"/>
      <c r="U1180">
        <f>$K$1157*$I$1146*$G$1170*$E$1207*$C$1053*$A$1008*$M$1172*$O$1184*Q1181</f>
        <v>0</v>
      </c>
      <c r="V1180" s="40">
        <v>0</v>
      </c>
      <c r="W1180" s="42">
        <f>$K$1158+$I$1147+$G$1171+$E$1208+$C$1054+$A$1009+$M$1173+$O$1185+Q1182</f>
        <v>311437.32940239995</v>
      </c>
      <c r="X1180">
        <f>u_ChronicResp</f>
        <v>0.53465956747782661</v>
      </c>
      <c r="Z1180" s="42">
        <f t="shared" si="118"/>
        <v>0</v>
      </c>
      <c r="AA1180" s="6">
        <f t="shared" si="117"/>
        <v>0</v>
      </c>
    </row>
    <row r="1181" spans="7:27" x14ac:dyDescent="0.3">
      <c r="M1181" s="42"/>
      <c r="Q1181" s="47">
        <f>noRDS2CLD_3-(noRDS2CLD_3*noHypo2CI_3)</f>
        <v>0</v>
      </c>
      <c r="R1181" s="47"/>
      <c r="T1181" s="80"/>
      <c r="Z1181" s="42">
        <f t="shared" si="118"/>
        <v>0</v>
      </c>
      <c r="AA1181" s="6">
        <f t="shared" si="117"/>
        <v>0</v>
      </c>
    </row>
    <row r="1182" spans="7:27" x14ac:dyDescent="0.3">
      <c r="M1182" s="42"/>
      <c r="Q1182" s="48">
        <f>c_lung+c_hypo+c_CSG</f>
        <v>56558.771302399997</v>
      </c>
      <c r="R1182" s="48"/>
      <c r="T1182" s="80"/>
      <c r="Z1182" s="42">
        <f t="shared" si="118"/>
        <v>0</v>
      </c>
      <c r="AA1182" s="6">
        <f t="shared" si="117"/>
        <v>0</v>
      </c>
    </row>
    <row r="1183" spans="7:27" x14ac:dyDescent="0.3">
      <c r="M1183" s="42"/>
      <c r="O1183" s="19" t="s">
        <v>371</v>
      </c>
      <c r="Q1183" s="19" t="s">
        <v>226</v>
      </c>
      <c r="R1183" s="19"/>
      <c r="T1183" s="80"/>
      <c r="U1183">
        <f>$K$1157*$I$1146*$G$1170*$E$1207*$C$1053*$A$1008*$M$1172*$O$1184*Q1184</f>
        <v>5.6657045188177411E-3</v>
      </c>
      <c r="V1183" s="40">
        <v>5.6657056628016973E-3</v>
      </c>
      <c r="W1183" s="42">
        <f>$K$1158+$I$1147+$G$1171+$E$1208+$C$1054+$A$1009+$M$1173+$O$1185+Q1185</f>
        <v>270644.55809999997</v>
      </c>
      <c r="X1183">
        <f>u_CongnitiveImpairement</f>
        <v>17.270393127285455</v>
      </c>
      <c r="Z1183" s="42">
        <f t="shared" si="118"/>
        <v>1533.3920958206004</v>
      </c>
      <c r="AA1183" s="6">
        <f t="shared" si="117"/>
        <v>9.7848944383020067E-2</v>
      </c>
    </row>
    <row r="1184" spans="7:27" x14ac:dyDescent="0.3">
      <c r="M1184" s="42"/>
      <c r="O1184" s="47">
        <f>SGA_term_2normoglycaemia_3</f>
        <v>0.74</v>
      </c>
      <c r="Q1184" s="47">
        <f>noHypo2CI_3</f>
        <v>3.3085576536761752E-2</v>
      </c>
      <c r="R1184" s="47"/>
      <c r="T1184" s="80"/>
      <c r="Z1184" s="42">
        <f t="shared" si="118"/>
        <v>0</v>
      </c>
      <c r="AA1184" s="6">
        <f t="shared" si="117"/>
        <v>0</v>
      </c>
    </row>
    <row r="1185" spans="3:27" x14ac:dyDescent="0.3">
      <c r="M1185" s="42"/>
      <c r="O1185" s="48"/>
      <c r="Q1185" s="48">
        <f>c_cog+c_hosp_fu+c_CSG</f>
        <v>15766</v>
      </c>
      <c r="R1185" s="48"/>
      <c r="T1185" s="80"/>
      <c r="Z1185" s="42">
        <f t="shared" si="118"/>
        <v>0</v>
      </c>
      <c r="AA1185" s="6">
        <f t="shared" si="117"/>
        <v>0</v>
      </c>
    </row>
    <row r="1186" spans="3:27" x14ac:dyDescent="0.3">
      <c r="M1186" s="42"/>
      <c r="Q1186" s="19" t="s">
        <v>369</v>
      </c>
      <c r="R1186" s="19"/>
      <c r="T1186" s="80"/>
      <c r="U1186">
        <f>$K$1157*$I$1146*$G$1170*$E$1207*$C$1053*$A$1008*$M$1172*$O$1184*Q1187</f>
        <v>0</v>
      </c>
      <c r="W1186" s="42">
        <f>$K$1158+$I$1147+$G$1171+$E$1208+$C$1054+$A$1009+$M$1173+$O$1185+Q1188</f>
        <v>313227.06900239998</v>
      </c>
      <c r="X1186">
        <f>u_ChronicResp+u_CongnitiveImpairement</f>
        <v>17.805052694763283</v>
      </c>
      <c r="Z1186" s="42">
        <f t="shared" si="118"/>
        <v>0</v>
      </c>
      <c r="AA1186" s="6">
        <f t="shared" si="117"/>
        <v>0</v>
      </c>
    </row>
    <row r="1187" spans="3:27" x14ac:dyDescent="0.3">
      <c r="M1187" s="42"/>
      <c r="Q1187" s="47">
        <f>noRDS2CLD_3*noHypo2CI_3</f>
        <v>0</v>
      </c>
      <c r="R1187" s="47"/>
      <c r="T1187" s="80"/>
      <c r="V1187" s="40">
        <v>0</v>
      </c>
      <c r="Z1187" s="42">
        <f t="shared" si="118"/>
        <v>0</v>
      </c>
      <c r="AA1187" s="6">
        <f t="shared" si="117"/>
        <v>0</v>
      </c>
    </row>
    <row r="1188" spans="3:27" x14ac:dyDescent="0.3">
      <c r="M1188" s="42"/>
      <c r="Q1188" s="48">
        <f>c_cog+c_lung+c_hosp_fu+c_CSG</f>
        <v>58348.510902399998</v>
      </c>
      <c r="R1188" s="48"/>
      <c r="T1188" s="80"/>
      <c r="V1188" s="40"/>
      <c r="Z1188" s="42">
        <f t="shared" si="118"/>
        <v>0</v>
      </c>
      <c r="AA1188" s="6">
        <f t="shared" si="117"/>
        <v>0</v>
      </c>
    </row>
    <row r="1189" spans="3:27" x14ac:dyDescent="0.3">
      <c r="M1189" s="42"/>
      <c r="Q1189" s="19" t="s">
        <v>370</v>
      </c>
      <c r="R1189" s="19"/>
      <c r="T1189" s="80"/>
      <c r="U1189">
        <f>$K$1157*$I$1146*$G$1170*$E$1207*$C$1053*$A$1008*$M$1172*$O$1184*Q1190</f>
        <v>0.16557823655388848</v>
      </c>
      <c r="V1189" s="40">
        <v>0.16557826998642022</v>
      </c>
      <c r="W1189" s="42">
        <f>$K$1158+$I$1147+$G$1171+$E$1208+$C$1054+$A$1009+$M$1173+$O$1185+Q1191</f>
        <v>269281.55809999997</v>
      </c>
      <c r="X1189">
        <f>u_Healthy</f>
        <v>0</v>
      </c>
      <c r="Z1189" s="42">
        <f t="shared" si="118"/>
        <v>44587.165526681456</v>
      </c>
      <c r="AA1189" s="6">
        <f t="shared" si="117"/>
        <v>0</v>
      </c>
    </row>
    <row r="1190" spans="3:27" x14ac:dyDescent="0.3">
      <c r="M1190" s="42"/>
      <c r="Q1190" s="47">
        <f>1-Q1187-Q1184-Q1181</f>
        <v>0.9669144234632383</v>
      </c>
      <c r="R1190" s="47"/>
      <c r="T1190" s="80"/>
      <c r="V1190" s="40"/>
      <c r="Z1190" s="42">
        <f t="shared" si="118"/>
        <v>0</v>
      </c>
      <c r="AA1190" s="6">
        <f t="shared" si="117"/>
        <v>0</v>
      </c>
    </row>
    <row r="1191" spans="3:27" x14ac:dyDescent="0.3">
      <c r="C1191" s="42"/>
      <c r="M1191" s="42"/>
      <c r="Q1191" s="48">
        <f>c_clinic_fu+c_CSG</f>
        <v>14403</v>
      </c>
      <c r="R1191" s="48"/>
      <c r="T1191" s="80"/>
      <c r="Z1191" s="42">
        <f t="shared" si="118"/>
        <v>0</v>
      </c>
      <c r="AA1191" s="6">
        <f t="shared" si="117"/>
        <v>0</v>
      </c>
    </row>
    <row r="1192" spans="3:27" x14ac:dyDescent="0.3">
      <c r="M1192" s="42"/>
      <c r="Q1192" s="42"/>
      <c r="R1192" s="42"/>
      <c r="T1192" s="80"/>
      <c r="Z1192" s="42">
        <f t="shared" si="118"/>
        <v>0</v>
      </c>
      <c r="AA1192" s="6">
        <f t="shared" si="117"/>
        <v>0</v>
      </c>
    </row>
    <row r="1193" spans="3:27" x14ac:dyDescent="0.3">
      <c r="K1193" s="19" t="s">
        <v>165</v>
      </c>
      <c r="L1193" s="19"/>
      <c r="M1193" s="19"/>
      <c r="N1193" s="19"/>
      <c r="O1193" s="19"/>
      <c r="P1193" s="19"/>
      <c r="Q1193" s="19"/>
      <c r="R1193" s="19"/>
      <c r="T1193" s="80"/>
      <c r="U1193">
        <f>$K$1194*$I$1202*$G$1170*$E$1207*$C$1053*$A$1008</f>
        <v>0</v>
      </c>
      <c r="W1193" s="42">
        <f>$K$1195+$I$1203+$G$1171+$E$1208+$C$1054+$A$1009</f>
        <v>256670.55809999997</v>
      </c>
      <c r="X1193">
        <f>u_Death</f>
        <v>19.181538114427529</v>
      </c>
      <c r="Z1193" s="42">
        <f t="shared" si="118"/>
        <v>0</v>
      </c>
      <c r="AA1193" s="6">
        <f t="shared" si="117"/>
        <v>0</v>
      </c>
    </row>
    <row r="1194" spans="3:27" x14ac:dyDescent="0.3">
      <c r="K1194" s="47">
        <f>AGA_term_2d_3</f>
        <v>6.2333333333333338E-3</v>
      </c>
      <c r="T1194" s="80"/>
      <c r="V1194" s="40">
        <v>0</v>
      </c>
      <c r="Z1194" s="42">
        <f t="shared" si="118"/>
        <v>0</v>
      </c>
      <c r="AA1194" s="6">
        <f t="shared" si="117"/>
        <v>0</v>
      </c>
    </row>
    <row r="1195" spans="3:27" x14ac:dyDescent="0.3">
      <c r="K1195" s="48">
        <f>c_SB</f>
        <v>1792</v>
      </c>
      <c r="T1195" s="80"/>
      <c r="Z1195" s="42">
        <f t="shared" si="118"/>
        <v>0</v>
      </c>
      <c r="AA1195" s="6">
        <f t="shared" si="117"/>
        <v>0</v>
      </c>
    </row>
    <row r="1196" spans="3:27" x14ac:dyDescent="0.3">
      <c r="T1196" s="80"/>
      <c r="Z1196" s="42">
        <f t="shared" si="118"/>
        <v>0</v>
      </c>
      <c r="AA1196" s="6">
        <f t="shared" si="117"/>
        <v>0</v>
      </c>
    </row>
    <row r="1197" spans="3:27" x14ac:dyDescent="0.3">
      <c r="Q1197" s="19" t="s">
        <v>368</v>
      </c>
      <c r="R1197" s="19"/>
      <c r="T1197" s="80"/>
      <c r="U1197">
        <f>$K$1213*$I$1202*$G$1170*$E$1207*$C$1053*$A$1008*$M$1208*$O$1203*$Q$1198</f>
        <v>0</v>
      </c>
      <c r="W1197" s="42">
        <f>$K$1214+$I$1203+$G$1171+$E$1208+$C$1054+$A$1009+$M$1209+$O$1204+Q1199</f>
        <v>342939.93955060566</v>
      </c>
      <c r="X1197">
        <f>u_ChronicResp</f>
        <v>0.53465956747782661</v>
      </c>
      <c r="Z1197" s="42">
        <f t="shared" si="118"/>
        <v>0</v>
      </c>
      <c r="AA1197" s="6">
        <f t="shared" si="117"/>
        <v>0</v>
      </c>
    </row>
    <row r="1198" spans="3:27" x14ac:dyDescent="0.3">
      <c r="Q1198" s="47">
        <f>RDS2CLD_3-(Hypo2CI_3*RDS2CLD_3)</f>
        <v>0.34246866666666664</v>
      </c>
      <c r="R1198" s="47"/>
      <c r="T1198" s="80"/>
      <c r="V1198" s="40">
        <v>0</v>
      </c>
      <c r="Z1198" s="42">
        <f t="shared" si="118"/>
        <v>0</v>
      </c>
      <c r="AA1198" s="6">
        <f t="shared" si="117"/>
        <v>0</v>
      </c>
    </row>
    <row r="1199" spans="3:27" x14ac:dyDescent="0.3">
      <c r="Q1199" s="48">
        <f>c_lung+c_hosp_fu+c_CSG</f>
        <v>54529.510902399998</v>
      </c>
      <c r="R1199" s="48"/>
      <c r="T1199" s="80"/>
      <c r="Z1199" s="42">
        <f t="shared" si="118"/>
        <v>0</v>
      </c>
      <c r="AA1199" s="6">
        <f t="shared" si="117"/>
        <v>0</v>
      </c>
    </row>
    <row r="1200" spans="3:27" x14ac:dyDescent="0.3">
      <c r="Q1200" s="19" t="s">
        <v>226</v>
      </c>
      <c r="R1200" s="19"/>
      <c r="T1200" s="80"/>
      <c r="U1200">
        <f>$K$1213*$I$1202*$G$1170*$E$1207*$C$1053*$A$1008*$M$1208*$O$1203*$Q$1198</f>
        <v>0</v>
      </c>
      <c r="W1200" s="42">
        <f>$K$1214+$I$1203+$G$1171+$E$1208+$C$1054+$A$1009+$M$1209+$O$1204+Q1202</f>
        <v>304176.42864820565</v>
      </c>
      <c r="X1200">
        <f>u_CongnitiveImpairement</f>
        <v>17.270393127285455</v>
      </c>
      <c r="Z1200" s="42">
        <f t="shared" si="118"/>
        <v>0</v>
      </c>
      <c r="AA1200" s="6">
        <f t="shared" si="117"/>
        <v>0</v>
      </c>
    </row>
    <row r="1201" spans="5:27" x14ac:dyDescent="0.3">
      <c r="I1201" s="19" t="s">
        <v>425</v>
      </c>
      <c r="Q1201" s="47">
        <f>Hypo2CI_3-(Hypo2CI_3*RDS2CLD_3)</f>
        <v>3.2801999999999998E-2</v>
      </c>
      <c r="R1201" s="47"/>
      <c r="T1201" s="80"/>
      <c r="V1201" s="40">
        <v>0</v>
      </c>
      <c r="Z1201" s="42">
        <f t="shared" si="118"/>
        <v>0</v>
      </c>
      <c r="AA1201" s="6">
        <f t="shared" si="117"/>
        <v>0</v>
      </c>
    </row>
    <row r="1202" spans="5:27" x14ac:dyDescent="0.3">
      <c r="I1202" s="47">
        <f>LBW_term_2AGA_3</f>
        <v>0</v>
      </c>
      <c r="O1202" s="19" t="s">
        <v>161</v>
      </c>
      <c r="Q1202" s="48">
        <f>c_cog+c_hosp_fu+c_CSG</f>
        <v>15766</v>
      </c>
      <c r="R1202" s="48"/>
      <c r="T1202" s="80"/>
      <c r="Z1202" s="42">
        <f t="shared" si="118"/>
        <v>0</v>
      </c>
      <c r="AA1202" s="6">
        <f t="shared" si="117"/>
        <v>0</v>
      </c>
    </row>
    <row r="1203" spans="5:27" x14ac:dyDescent="0.3">
      <c r="I1203" s="48"/>
      <c r="O1203" s="47">
        <f>AGA_term_2hypoglycaemia_3</f>
        <v>0</v>
      </c>
      <c r="Q1203" s="19" t="s">
        <v>369</v>
      </c>
      <c r="R1203" s="19"/>
      <c r="T1203" s="80"/>
      <c r="U1203">
        <f>$K$1213*$I$1202*$G$1170*$E$1207*$C$1053*$A$1008*$M$1208*$O$1203*$Q$1198</f>
        <v>0</v>
      </c>
      <c r="W1203" s="42">
        <f>$K$1214+$I$1203+$G$1171+$E$1208+$C$1054+$A$1009+$M$1209+$O$1204+Q1205</f>
        <v>346758.93955060566</v>
      </c>
      <c r="X1203">
        <f>u_ChronicResp+u_CongnitiveImpairement</f>
        <v>17.805052694763283</v>
      </c>
      <c r="Z1203" s="42">
        <f t="shared" si="118"/>
        <v>0</v>
      </c>
      <c r="AA1203" s="6">
        <f t="shared" si="117"/>
        <v>0</v>
      </c>
    </row>
    <row r="1204" spans="5:27" x14ac:dyDescent="0.3">
      <c r="O1204" s="48">
        <f>c_hypo</f>
        <v>2936.2604000000001</v>
      </c>
      <c r="Q1204" s="47">
        <f>Hypo2CI_3*RDS2CLD_3</f>
        <v>1.8531333333333334E-2</v>
      </c>
      <c r="R1204" s="47"/>
      <c r="T1204" s="80"/>
      <c r="V1204" s="40">
        <v>0</v>
      </c>
      <c r="Z1204" s="42">
        <f t="shared" si="118"/>
        <v>0</v>
      </c>
      <c r="AA1204" s="6">
        <f t="shared" si="117"/>
        <v>0</v>
      </c>
    </row>
    <row r="1205" spans="5:27" x14ac:dyDescent="0.3">
      <c r="M1205" s="42"/>
      <c r="Q1205" s="48">
        <f>c_lung+c_cog+c_hosp_fu+c_CSG</f>
        <v>58348.510902399998</v>
      </c>
      <c r="R1205" s="48"/>
      <c r="T1205" s="80"/>
      <c r="Z1205" s="42">
        <f t="shared" si="118"/>
        <v>0</v>
      </c>
      <c r="AA1205" s="6">
        <f t="shared" si="117"/>
        <v>0</v>
      </c>
    </row>
    <row r="1206" spans="5:27" x14ac:dyDescent="0.3">
      <c r="E1206" s="19" t="s">
        <v>11</v>
      </c>
      <c r="Q1206" s="19" t="s">
        <v>370</v>
      </c>
      <c r="R1206" s="19"/>
      <c r="T1206" s="80"/>
      <c r="U1206">
        <f>$K$1213*$I$1202*$G$1170*$E$1207*$C$1053*$A$1008*$M$1208*$O$1203*$Q$1198</f>
        <v>0</v>
      </c>
      <c r="W1206" s="42">
        <f>$K$1214+$I$1203+$G$1171+$E$1208+$C$1054+$A$1009+$M$1209+$O$1204+Q1208</f>
        <v>302813.42864820565</v>
      </c>
      <c r="X1206">
        <f>u_Healthy</f>
        <v>0</v>
      </c>
      <c r="Z1206" s="42">
        <f t="shared" si="118"/>
        <v>0</v>
      </c>
      <c r="AA1206" s="6">
        <f t="shared" si="117"/>
        <v>0</v>
      </c>
    </row>
    <row r="1207" spans="5:27" x14ac:dyDescent="0.3">
      <c r="E1207" s="47">
        <f>LB2term_3</f>
        <v>0.82518226002430128</v>
      </c>
      <c r="M1207" s="19" t="s">
        <v>9</v>
      </c>
      <c r="Q1207" s="47">
        <f>1-Q1198-Q1201-Q1204</f>
        <v>0.60619800000000001</v>
      </c>
      <c r="R1207" s="47"/>
      <c r="T1207" s="80"/>
      <c r="V1207" s="40">
        <v>0</v>
      </c>
      <c r="Z1207" s="42">
        <f t="shared" si="118"/>
        <v>0</v>
      </c>
      <c r="AA1207" s="6">
        <f t="shared" si="117"/>
        <v>0</v>
      </c>
    </row>
    <row r="1208" spans="5:27" x14ac:dyDescent="0.3">
      <c r="E1208" s="48"/>
      <c r="K1208" s="42"/>
      <c r="M1208" s="47">
        <f>S_term_2RDS_3</f>
        <v>0</v>
      </c>
      <c r="Q1208" s="48">
        <f>c_clinic_fu+c_CSG</f>
        <v>14403</v>
      </c>
      <c r="R1208" s="48"/>
      <c r="T1208" s="80"/>
      <c r="Z1208" s="42">
        <f t="shared" si="118"/>
        <v>0</v>
      </c>
      <c r="AA1208" s="6">
        <f t="shared" si="117"/>
        <v>0</v>
      </c>
    </row>
    <row r="1209" spans="5:27" x14ac:dyDescent="0.3">
      <c r="K1209" s="42"/>
      <c r="M1209" s="48">
        <f>c_RDS</f>
        <v>30595.610148205637</v>
      </c>
      <c r="Q1209" s="42"/>
      <c r="R1209" s="42"/>
      <c r="T1209" s="80"/>
      <c r="Z1209" s="42">
        <f t="shared" si="118"/>
        <v>0</v>
      </c>
      <c r="AA1209" s="6">
        <f t="shared" si="117"/>
        <v>0</v>
      </c>
    </row>
    <row r="1210" spans="5:27" x14ac:dyDescent="0.3">
      <c r="Q1210" s="19" t="s">
        <v>368</v>
      </c>
      <c r="R1210" s="19"/>
      <c r="T1210" s="80"/>
      <c r="U1210">
        <f>$K$1213*$I$1202*$G$1170*$E$1207*$C$1053*$A$1008*$M$1208*$O$1213*$Q$1211</f>
        <v>0</v>
      </c>
      <c r="W1210" s="42">
        <f>$K$1214+$I$1203+$G$1171+$E$1208+$C$1054+$A$1009+$M$1209+$O$1214+Q1212</f>
        <v>340003.67915060563</v>
      </c>
      <c r="X1210">
        <f>u_ChronicResp</f>
        <v>0.53465956747782661</v>
      </c>
      <c r="Z1210" s="42">
        <f t="shared" si="118"/>
        <v>0</v>
      </c>
      <c r="AA1210" s="6">
        <f t="shared" si="117"/>
        <v>0</v>
      </c>
    </row>
    <row r="1211" spans="5:27" x14ac:dyDescent="0.3">
      <c r="Q1211" s="47">
        <f>RDS2CLD_3-(RDS2CLD_3*noHypo2CI_3)</f>
        <v>0.34905610687022898</v>
      </c>
      <c r="R1211" s="47"/>
      <c r="T1211" s="80"/>
      <c r="V1211" s="40">
        <v>0</v>
      </c>
      <c r="Z1211" s="42">
        <f t="shared" si="118"/>
        <v>0</v>
      </c>
      <c r="AA1211" s="6">
        <f t="shared" si="117"/>
        <v>0</v>
      </c>
    </row>
    <row r="1212" spans="5:27" x14ac:dyDescent="0.3">
      <c r="K1212" s="19" t="s">
        <v>37</v>
      </c>
      <c r="M1212" s="42"/>
      <c r="O1212" s="19" t="s">
        <v>371</v>
      </c>
      <c r="Q1212" s="48">
        <f>c_lung+c_hosp_fu+c_CSG</f>
        <v>54529.510902399998</v>
      </c>
      <c r="R1212" s="48"/>
      <c r="T1212" s="80"/>
      <c r="Z1212" s="42">
        <f t="shared" si="118"/>
        <v>0</v>
      </c>
      <c r="AA1212" s="6">
        <f t="shared" si="117"/>
        <v>0</v>
      </c>
    </row>
    <row r="1213" spans="5:27" x14ac:dyDescent="0.3">
      <c r="K1213" s="47">
        <f>AGA_term_2s_3</f>
        <v>0.99376666666666669</v>
      </c>
      <c r="O1213" s="47">
        <f>AGA_term_2normoglycaemia_3</f>
        <v>1</v>
      </c>
      <c r="Q1213" s="19" t="s">
        <v>226</v>
      </c>
      <c r="R1213" s="19"/>
      <c r="T1213" s="80"/>
      <c r="U1213">
        <f>$K$1213*$I$1202*$G$1170*$E$1207*$C$1053*$A$1008*$M$1208*$O$1213*$Q$1211</f>
        <v>0</v>
      </c>
      <c r="W1213" s="42">
        <f>$K$1214+$I$1203+$G$1171+$E$1208+$C$1054+$A$1009+$M$1209+$O$1214+Q1215</f>
        <v>301240.16824820562</v>
      </c>
      <c r="X1213">
        <f>u_CongnitiveImpairement</f>
        <v>17.270393127285455</v>
      </c>
      <c r="Z1213" s="42">
        <f t="shared" si="118"/>
        <v>0</v>
      </c>
      <c r="AA1213" s="6">
        <f t="shared" si="117"/>
        <v>0</v>
      </c>
    </row>
    <row r="1214" spans="5:27" x14ac:dyDescent="0.3">
      <c r="K1214" s="48"/>
      <c r="O1214" s="48"/>
      <c r="Q1214" s="47">
        <f>noHypo2CI_3-(RDS2CLD_3*noHypo2CI_3)</f>
        <v>2.1141683406990762E-2</v>
      </c>
      <c r="R1214" s="47"/>
      <c r="T1214" s="80"/>
      <c r="V1214" s="40">
        <v>0</v>
      </c>
      <c r="Z1214" s="42">
        <f t="shared" si="118"/>
        <v>0</v>
      </c>
      <c r="AA1214" s="6">
        <f t="shared" si="117"/>
        <v>0</v>
      </c>
    </row>
    <row r="1215" spans="5:27" x14ac:dyDescent="0.3">
      <c r="Q1215" s="48">
        <f>c_cog+c_hosp_fu+c_CSG</f>
        <v>15766</v>
      </c>
      <c r="R1215" s="48"/>
      <c r="T1215" s="80"/>
      <c r="Z1215" s="42">
        <f t="shared" si="118"/>
        <v>0</v>
      </c>
      <c r="AA1215" s="6">
        <f t="shared" si="117"/>
        <v>0</v>
      </c>
    </row>
    <row r="1216" spans="5:27" x14ac:dyDescent="0.3">
      <c r="Q1216" s="19" t="s">
        <v>369</v>
      </c>
      <c r="R1216" s="19"/>
      <c r="T1216" s="80"/>
      <c r="U1216">
        <f>$K$1213*$I$1202*$G$1170*$E$1207*$C$1053*$A$1008*$M$1208*$O$1213*$Q$1211</f>
        <v>0</v>
      </c>
      <c r="W1216" s="42">
        <f>$K$1214+$I$1203+$G$1171+$E$1208+$C$1054+$A$1009+$M$1209+$O$1214+Q1218</f>
        <v>343822.67915060563</v>
      </c>
      <c r="X1216">
        <f>u_ChronicResp+u_CongnitiveImpairement</f>
        <v>17.805052694763283</v>
      </c>
      <c r="Z1216" s="42">
        <f t="shared" si="118"/>
        <v>0</v>
      </c>
      <c r="AA1216" s="6">
        <f t="shared" si="117"/>
        <v>0</v>
      </c>
    </row>
    <row r="1217" spans="13:27" x14ac:dyDescent="0.3">
      <c r="Q1217" s="47">
        <f>RDS2CLD_3*noHypo2CI_3</f>
        <v>1.1943893129770991E-2</v>
      </c>
      <c r="R1217" s="47"/>
      <c r="T1217" s="80"/>
      <c r="V1217" s="40">
        <v>0</v>
      </c>
      <c r="Z1217" s="42">
        <f t="shared" si="118"/>
        <v>0</v>
      </c>
      <c r="AA1217" s="6">
        <f t="shared" si="117"/>
        <v>0</v>
      </c>
    </row>
    <row r="1218" spans="13:27" x14ac:dyDescent="0.3">
      <c r="Q1218" s="48">
        <f>c_cog+c_lung+c_hosp_fu+c_CSG</f>
        <v>58348.510902399998</v>
      </c>
      <c r="R1218" s="48"/>
      <c r="T1218" s="80"/>
      <c r="Z1218" s="42">
        <f t="shared" si="118"/>
        <v>0</v>
      </c>
      <c r="AA1218" s="6">
        <f t="shared" si="117"/>
        <v>0</v>
      </c>
    </row>
    <row r="1219" spans="13:27" x14ac:dyDescent="0.3">
      <c r="Q1219" s="19" t="s">
        <v>370</v>
      </c>
      <c r="R1219" s="19"/>
      <c r="T1219" s="80"/>
      <c r="U1219">
        <f>$K$1213*$I$1202*$G$1170*$E$1207*$C$1053*$A$1008*$M$1208*$O$1213*$Q$1211</f>
        <v>0</v>
      </c>
      <c r="W1219" s="42">
        <f>$K$1214+$I$1203+$G$1171+$E$1208+$C$1054+$A$1009+$M$1209+$O$1214+Q1221</f>
        <v>299877.16824820562</v>
      </c>
      <c r="X1219">
        <f>u_Healthy</f>
        <v>0</v>
      </c>
      <c r="Z1219" s="42">
        <f t="shared" si="118"/>
        <v>0</v>
      </c>
      <c r="AA1219" s="6">
        <f t="shared" si="117"/>
        <v>0</v>
      </c>
    </row>
    <row r="1220" spans="13:27" x14ac:dyDescent="0.3">
      <c r="Q1220" s="47">
        <f>1-Q1217-Q1214-Q1211</f>
        <v>0.61785831659300938</v>
      </c>
      <c r="R1220" s="47"/>
      <c r="T1220" s="80"/>
      <c r="V1220" s="40">
        <v>0</v>
      </c>
      <c r="Z1220" s="42">
        <f t="shared" si="118"/>
        <v>0</v>
      </c>
      <c r="AA1220" s="6">
        <f t="shared" si="117"/>
        <v>0</v>
      </c>
    </row>
    <row r="1221" spans="13:27" x14ac:dyDescent="0.3">
      <c r="Q1221" s="48">
        <f>c_clinic_fu+c_CSG</f>
        <v>14403</v>
      </c>
      <c r="R1221" s="48"/>
      <c r="T1221" s="80"/>
      <c r="Z1221" s="42">
        <f t="shared" si="118"/>
        <v>0</v>
      </c>
      <c r="AA1221" s="6">
        <f t="shared" si="117"/>
        <v>0</v>
      </c>
    </row>
    <row r="1222" spans="13:27" x14ac:dyDescent="0.3">
      <c r="Q1222" s="42"/>
      <c r="R1222" s="42"/>
      <c r="T1222" s="80"/>
      <c r="Z1222" s="42">
        <f t="shared" si="118"/>
        <v>0</v>
      </c>
      <c r="AA1222" s="6">
        <f t="shared" si="117"/>
        <v>0</v>
      </c>
    </row>
    <row r="1223" spans="13:27" x14ac:dyDescent="0.3">
      <c r="Q1223" s="19" t="s">
        <v>368</v>
      </c>
      <c r="R1223" s="19"/>
      <c r="T1223" s="80"/>
      <c r="U1223">
        <f>$K$1213*$I$1202*$G$1170*$E$1207*$C$1053*$A$1008*$M$1228*$O$1226*$Q$1224</f>
        <v>0</v>
      </c>
      <c r="W1223" s="42">
        <f>$K$1214+$I$1203+$G$1171+$E$1208+$C$1054+$A$1009+$M$1229+$O$1227+Q1225</f>
        <v>312344.32940239995</v>
      </c>
      <c r="X1223">
        <f>u_ChronicResp</f>
        <v>0.53465956747782661</v>
      </c>
      <c r="Z1223" s="42">
        <f t="shared" si="118"/>
        <v>0</v>
      </c>
      <c r="AA1223" s="6">
        <f t="shared" si="117"/>
        <v>0</v>
      </c>
    </row>
    <row r="1224" spans="13:27" x14ac:dyDescent="0.3">
      <c r="Q1224" s="47">
        <f>noRDS2CLD_3-(Hypo2CI_3*noRDS2CLD_3)</f>
        <v>0</v>
      </c>
      <c r="R1224" s="47"/>
      <c r="T1224" s="80"/>
      <c r="V1224" s="40">
        <v>0</v>
      </c>
      <c r="Z1224" s="42">
        <f t="shared" si="118"/>
        <v>0</v>
      </c>
      <c r="AA1224" s="6">
        <f t="shared" si="117"/>
        <v>0</v>
      </c>
    </row>
    <row r="1225" spans="13:27" x14ac:dyDescent="0.3">
      <c r="O1225" s="19" t="s">
        <v>161</v>
      </c>
      <c r="Q1225" s="48">
        <f>c_lung+c_hosp_fu+c_CSG</f>
        <v>54529.510902399998</v>
      </c>
      <c r="R1225" s="48"/>
      <c r="T1225" s="80"/>
      <c r="Z1225" s="42">
        <f t="shared" si="118"/>
        <v>0</v>
      </c>
      <c r="AA1225" s="6">
        <f t="shared" si="117"/>
        <v>0</v>
      </c>
    </row>
    <row r="1226" spans="13:27" x14ac:dyDescent="0.3">
      <c r="O1226" s="47">
        <f>AGA_term_2hypoglycaemia_3</f>
        <v>0</v>
      </c>
      <c r="Q1226" s="19" t="s">
        <v>226</v>
      </c>
      <c r="R1226" s="19"/>
      <c r="T1226" s="80"/>
      <c r="U1226">
        <f>$K$1213*$I$1202*$G$1170*$E$1207*$C$1053*$A$1008*$M$1228*$O$1226*$Q$1224</f>
        <v>0</v>
      </c>
      <c r="W1226" s="42">
        <f>$K$1214+$I$1203+$G$1171+$E$1208+$C$1054+$A$1009+$M$1229+$O$1227+Q1228</f>
        <v>273580.81849999994</v>
      </c>
      <c r="X1226">
        <f>u_CongnitiveImpairement</f>
        <v>17.270393127285455</v>
      </c>
      <c r="Z1226" s="42">
        <f t="shared" si="118"/>
        <v>0</v>
      </c>
      <c r="AA1226" s="6">
        <f t="shared" si="117"/>
        <v>0</v>
      </c>
    </row>
    <row r="1227" spans="13:27" x14ac:dyDescent="0.3">
      <c r="M1227" s="19" t="s">
        <v>203</v>
      </c>
      <c r="O1227" s="48">
        <f>c_hypo</f>
        <v>2936.2604000000001</v>
      </c>
      <c r="Q1227" s="47">
        <f>Hypo2CI_3-(Hypo2CI_3*noRDS2CLD_3)</f>
        <v>5.1333333333333335E-2</v>
      </c>
      <c r="R1227" s="47"/>
      <c r="T1227" s="80"/>
      <c r="V1227" s="40">
        <v>0</v>
      </c>
      <c r="Z1227" s="42">
        <f t="shared" si="118"/>
        <v>0</v>
      </c>
      <c r="AA1227" s="6">
        <f t="shared" si="117"/>
        <v>0</v>
      </c>
    </row>
    <row r="1228" spans="13:27" x14ac:dyDescent="0.3">
      <c r="M1228" s="47">
        <f>S_term_2noRDS_3</f>
        <v>1</v>
      </c>
      <c r="Q1228" s="48">
        <f>c_cog+c_hosp_fu+c_CSG</f>
        <v>15766</v>
      </c>
      <c r="R1228" s="48"/>
      <c r="T1228" s="80"/>
      <c r="Z1228" s="42">
        <f t="shared" si="118"/>
        <v>0</v>
      </c>
      <c r="AA1228" s="6">
        <f t="shared" si="117"/>
        <v>0</v>
      </c>
    </row>
    <row r="1229" spans="13:27" x14ac:dyDescent="0.3">
      <c r="M1229" s="48"/>
      <c r="O1229" s="42"/>
      <c r="Q1229" s="19" t="s">
        <v>369</v>
      </c>
      <c r="R1229" s="19"/>
      <c r="T1229" s="80"/>
      <c r="U1229">
        <f>$K$1213*$I$1202*$G$1170*$E$1207*$C$1053*$A$1008*$M$1228*$O$1226*$Q$1224</f>
        <v>0</v>
      </c>
      <c r="W1229" s="42">
        <f>$K$1214+$I$1203+$G$1171+$E$1208+$C$1054+$A$1009+$M$1229+$O$1227+Q1231</f>
        <v>316163.32940239995</v>
      </c>
      <c r="X1229">
        <f>u_ChronicResp+u_CongnitiveImpairement</f>
        <v>17.805052694763283</v>
      </c>
      <c r="Z1229" s="42">
        <f t="shared" si="118"/>
        <v>0</v>
      </c>
      <c r="AA1229" s="6">
        <f t="shared" ref="AA1229:AA1292" si="119">U1229*X1229</f>
        <v>0</v>
      </c>
    </row>
    <row r="1230" spans="13:27" x14ac:dyDescent="0.3">
      <c r="M1230" s="42"/>
      <c r="Q1230" s="47">
        <f>noRDS2CLD_3*Hypo2CI_3</f>
        <v>0</v>
      </c>
      <c r="R1230" s="47"/>
      <c r="T1230" s="80"/>
      <c r="V1230" s="40">
        <v>0</v>
      </c>
      <c r="Z1230" s="42">
        <f t="shared" si="118"/>
        <v>0</v>
      </c>
      <c r="AA1230" s="6">
        <f t="shared" si="119"/>
        <v>0</v>
      </c>
    </row>
    <row r="1231" spans="13:27" x14ac:dyDescent="0.3">
      <c r="M1231" s="42"/>
      <c r="Q1231" s="48">
        <f>c_lung+c_cog+c_hosp_fu+c_CSG</f>
        <v>58348.510902399998</v>
      </c>
      <c r="R1231" s="48"/>
      <c r="T1231" s="80"/>
      <c r="Z1231" s="42">
        <f t="shared" ref="Z1231:Z1294" si="120">U1231*W1231</f>
        <v>0</v>
      </c>
      <c r="AA1231" s="6">
        <f t="shared" si="119"/>
        <v>0</v>
      </c>
    </row>
    <row r="1232" spans="13:27" x14ac:dyDescent="0.3">
      <c r="M1232" s="42"/>
      <c r="Q1232" s="19" t="s">
        <v>370</v>
      </c>
      <c r="R1232" s="19"/>
      <c r="T1232" s="80"/>
      <c r="U1232">
        <f>$K$1213*$I$1202*$G$1170*$E$1207*$C$1053*$A$1008*$M$1228*$O$1226*$Q$1224</f>
        <v>0</v>
      </c>
      <c r="W1232" s="42">
        <f>$K$1214+$I$1203+$G$1171+$E$1208+$C$1054+$A$1009+$M$1229+$O$1227+Q1234</f>
        <v>272217.81849999994</v>
      </c>
      <c r="X1232">
        <f>u_Healthy</f>
        <v>0</v>
      </c>
      <c r="Z1232" s="42">
        <f t="shared" si="120"/>
        <v>0</v>
      </c>
      <c r="AA1232" s="6">
        <f t="shared" si="119"/>
        <v>0</v>
      </c>
    </row>
    <row r="1233" spans="13:27" x14ac:dyDescent="0.3">
      <c r="M1233" s="42"/>
      <c r="O1233" s="42"/>
      <c r="Q1233" s="47">
        <f>1-Q1230-Q1227-Q1224</f>
        <v>0.94866666666666666</v>
      </c>
      <c r="R1233" s="47"/>
      <c r="T1233" s="80"/>
      <c r="V1233" s="40">
        <v>0</v>
      </c>
      <c r="Z1233" s="42">
        <f t="shared" si="120"/>
        <v>0</v>
      </c>
      <c r="AA1233" s="6">
        <f t="shared" si="119"/>
        <v>0</v>
      </c>
    </row>
    <row r="1234" spans="13:27" x14ac:dyDescent="0.3">
      <c r="M1234" s="42"/>
      <c r="Q1234" s="48">
        <f>c_clinic_fu+c_CSG</f>
        <v>14403</v>
      </c>
      <c r="R1234" s="48"/>
      <c r="S1234" s="96"/>
      <c r="T1234" s="80"/>
      <c r="Z1234" s="42">
        <f t="shared" si="120"/>
        <v>0</v>
      </c>
      <c r="AA1234" s="6">
        <f t="shared" si="119"/>
        <v>0</v>
      </c>
    </row>
    <row r="1235" spans="13:27" x14ac:dyDescent="0.3">
      <c r="M1235" s="42"/>
      <c r="Q1235" s="42"/>
      <c r="R1235" s="42"/>
      <c r="T1235" s="80"/>
      <c r="Z1235" s="42">
        <f t="shared" si="120"/>
        <v>0</v>
      </c>
      <c r="AA1235" s="6">
        <f t="shared" si="119"/>
        <v>0</v>
      </c>
    </row>
    <row r="1236" spans="13:27" x14ac:dyDescent="0.3">
      <c r="M1236" s="42"/>
      <c r="Q1236" s="19" t="s">
        <v>368</v>
      </c>
      <c r="R1236" s="19"/>
      <c r="T1236" s="80"/>
      <c r="U1236">
        <f>$K$1213*$I$1202*$G$1170*$E$1207*$C$1053*$A$1008*$M$1228*$O$1240*$Q$1237</f>
        <v>0</v>
      </c>
      <c r="W1236" s="42">
        <f>$K$1214+$I$1203+$G$1171+$E$1208+$C$1054+$A$1009+$M$1229+$O$1241+Q1238</f>
        <v>311437.32940239995</v>
      </c>
      <c r="X1236">
        <f>u_ChronicResp</f>
        <v>0.53465956747782661</v>
      </c>
      <c r="Z1236" s="42">
        <f t="shared" si="120"/>
        <v>0</v>
      </c>
      <c r="AA1236" s="6">
        <f t="shared" si="119"/>
        <v>0</v>
      </c>
    </row>
    <row r="1237" spans="13:27" x14ac:dyDescent="0.3">
      <c r="M1237" s="42"/>
      <c r="Q1237" s="47">
        <f>noRDS2CLD_3-(noRDS2CLD_3*noHypo2CI_3)</f>
        <v>0</v>
      </c>
      <c r="R1237" s="47"/>
      <c r="T1237" s="80"/>
      <c r="V1237" s="40">
        <v>0</v>
      </c>
      <c r="Z1237" s="42">
        <f t="shared" si="120"/>
        <v>0</v>
      </c>
      <c r="AA1237" s="6">
        <f t="shared" si="119"/>
        <v>0</v>
      </c>
    </row>
    <row r="1238" spans="13:27" x14ac:dyDescent="0.3">
      <c r="M1238" s="42"/>
      <c r="Q1238" s="48">
        <f>c_lung+c_hypo+c_CSG</f>
        <v>56558.771302399997</v>
      </c>
      <c r="R1238" s="48"/>
      <c r="T1238" s="80"/>
      <c r="Z1238" s="42">
        <f t="shared" si="120"/>
        <v>0</v>
      </c>
      <c r="AA1238" s="6">
        <f t="shared" si="119"/>
        <v>0</v>
      </c>
    </row>
    <row r="1239" spans="13:27" x14ac:dyDescent="0.3">
      <c r="M1239" s="42"/>
      <c r="O1239" s="19" t="s">
        <v>371</v>
      </c>
      <c r="Q1239" s="19" t="s">
        <v>226</v>
      </c>
      <c r="R1239" s="19"/>
      <c r="T1239" s="80"/>
      <c r="U1239">
        <f>$K$1213*$I$1202*$G$1170*$E$1207*$C$1053*$A$1008*$M$1228*$O$1240*$Q$1237</f>
        <v>0</v>
      </c>
      <c r="W1239" s="42">
        <f>$K$1214+$I$1203+$G$1171+$E$1208+$C$1054+$A$1009+$M$1229+$O$1241+Q1241</f>
        <v>270644.55809999997</v>
      </c>
      <c r="X1239">
        <f>u_CongnitiveImpairement</f>
        <v>17.270393127285455</v>
      </c>
      <c r="Z1239" s="42">
        <f t="shared" si="120"/>
        <v>0</v>
      </c>
      <c r="AA1239" s="6">
        <f t="shared" si="119"/>
        <v>0</v>
      </c>
    </row>
    <row r="1240" spans="13:27" x14ac:dyDescent="0.3">
      <c r="M1240" s="42"/>
      <c r="O1240" s="47">
        <f>AGA_term_2normoglycaemia_3</f>
        <v>1</v>
      </c>
      <c r="Q1240" s="47">
        <f>noHypo2CI_3</f>
        <v>3.3085576536761752E-2</v>
      </c>
      <c r="R1240" s="47"/>
      <c r="T1240" s="80"/>
      <c r="V1240" s="40">
        <v>0</v>
      </c>
      <c r="Z1240" s="42">
        <f t="shared" si="120"/>
        <v>0</v>
      </c>
      <c r="AA1240" s="6">
        <f t="shared" si="119"/>
        <v>0</v>
      </c>
    </row>
    <row r="1241" spans="13:27" x14ac:dyDescent="0.3">
      <c r="M1241" s="42"/>
      <c r="O1241" s="48"/>
      <c r="Q1241" s="48">
        <f>c_cog+c_hosp_fu+c_CSG</f>
        <v>15766</v>
      </c>
      <c r="R1241" s="48"/>
      <c r="T1241" s="80"/>
      <c r="Z1241" s="42">
        <f t="shared" si="120"/>
        <v>0</v>
      </c>
      <c r="AA1241" s="6">
        <f t="shared" si="119"/>
        <v>0</v>
      </c>
    </row>
    <row r="1242" spans="13:27" x14ac:dyDescent="0.3">
      <c r="M1242" s="42"/>
      <c r="Q1242" s="19" t="s">
        <v>369</v>
      </c>
      <c r="R1242" s="19"/>
      <c r="T1242" s="80"/>
      <c r="U1242">
        <f>$K$1213*$I$1202*$G$1170*$E$1207*$C$1053*$A$1008*$M$1228*$O$1240*$Q$1237</f>
        <v>0</v>
      </c>
      <c r="W1242" s="42">
        <f>$K$1214+$I$1203+$G$1171+$E$1208+$C$1054+$A$1009+$M$1229+$O$1241+Q1244</f>
        <v>313227.06900239998</v>
      </c>
      <c r="X1242">
        <f>u_ChronicResp+u_CongnitiveImpairement</f>
        <v>17.805052694763283</v>
      </c>
      <c r="Z1242" s="42">
        <f t="shared" si="120"/>
        <v>0</v>
      </c>
      <c r="AA1242" s="6">
        <f t="shared" si="119"/>
        <v>0</v>
      </c>
    </row>
    <row r="1243" spans="13:27" x14ac:dyDescent="0.3">
      <c r="Q1243" s="47">
        <f>noRDS2CLD_3*noHypo2CI_3</f>
        <v>0</v>
      </c>
      <c r="R1243" s="47"/>
      <c r="T1243" s="80"/>
      <c r="V1243" s="40">
        <v>0</v>
      </c>
      <c r="Z1243" s="42">
        <f t="shared" si="120"/>
        <v>0</v>
      </c>
      <c r="AA1243" s="6">
        <f t="shared" si="119"/>
        <v>0</v>
      </c>
    </row>
    <row r="1244" spans="13:27" x14ac:dyDescent="0.3">
      <c r="Q1244" s="48">
        <f>c_cog+c_lung+c_hosp_fu+c_CSG</f>
        <v>58348.510902399998</v>
      </c>
      <c r="R1244" s="48"/>
      <c r="T1244" s="80"/>
      <c r="Z1244" s="42">
        <f t="shared" si="120"/>
        <v>0</v>
      </c>
      <c r="AA1244" s="6">
        <f t="shared" si="119"/>
        <v>0</v>
      </c>
    </row>
    <row r="1245" spans="13:27" x14ac:dyDescent="0.3">
      <c r="M1245" s="42"/>
      <c r="Q1245" s="19" t="s">
        <v>370</v>
      </c>
      <c r="R1245" s="19"/>
      <c r="T1245" s="80"/>
      <c r="U1245">
        <f>$K$1213*$I$1202*$G$1170*$E$1207*$C$1053*$A$1008*$M$1228*$O$1240*$Q$1237</f>
        <v>0</v>
      </c>
      <c r="W1245" s="42">
        <f>$K$1214+$I$1203+$G$1171+$E$1208+$C$1054+$A$1009+$M$1229+$O$1241+Q1247</f>
        <v>269281.55809999997</v>
      </c>
      <c r="X1245">
        <f>u_Healthy</f>
        <v>0</v>
      </c>
      <c r="Z1245" s="42">
        <f t="shared" si="120"/>
        <v>0</v>
      </c>
      <c r="AA1245" s="6">
        <f t="shared" si="119"/>
        <v>0</v>
      </c>
    </row>
    <row r="1246" spans="13:27" x14ac:dyDescent="0.3">
      <c r="M1246" s="42"/>
      <c r="Q1246" s="47">
        <f>1-Q1243-Q1240-Q1237</f>
        <v>0.9669144234632383</v>
      </c>
      <c r="R1246" s="47"/>
      <c r="T1246" s="80"/>
      <c r="V1246" s="40">
        <v>0</v>
      </c>
      <c r="Z1246" s="42">
        <f t="shared" si="120"/>
        <v>0</v>
      </c>
      <c r="AA1246" s="6">
        <f t="shared" si="119"/>
        <v>0</v>
      </c>
    </row>
    <row r="1247" spans="13:27" x14ac:dyDescent="0.3">
      <c r="M1247" s="42"/>
      <c r="Q1247" s="48">
        <f>c_clinic_fu+c_CSG</f>
        <v>14403</v>
      </c>
      <c r="R1247" s="48"/>
      <c r="T1247" s="80"/>
      <c r="Z1247" s="42">
        <f t="shared" si="120"/>
        <v>0</v>
      </c>
      <c r="AA1247" s="6">
        <f t="shared" si="119"/>
        <v>0</v>
      </c>
    </row>
    <row r="1248" spans="13:27" x14ac:dyDescent="0.3">
      <c r="M1248" s="42"/>
      <c r="Q1248" s="42"/>
      <c r="R1248" s="42"/>
      <c r="T1248" s="80"/>
      <c r="Z1248" s="42">
        <f t="shared" si="120"/>
        <v>0</v>
      </c>
      <c r="AA1248" s="6">
        <f t="shared" si="119"/>
        <v>0</v>
      </c>
    </row>
    <row r="1249" spans="5:27" x14ac:dyDescent="0.3">
      <c r="K1249" s="19" t="s">
        <v>165</v>
      </c>
      <c r="L1249" s="19"/>
      <c r="M1249" s="19"/>
      <c r="N1249" s="19"/>
      <c r="O1249" s="19"/>
      <c r="P1249" s="19"/>
      <c r="Q1249" s="19"/>
      <c r="R1249" s="19"/>
      <c r="T1249" s="80"/>
      <c r="U1249">
        <f>$K$1250*$I$1258*$G$1279*$E$1207*$C$1053*$A$1008</f>
        <v>1.1031628526929455E-3</v>
      </c>
      <c r="V1249">
        <v>1.1031630754367548E-3</v>
      </c>
      <c r="W1249" s="42">
        <f>$K$1251+$I$1259+$G$1280+$E$1208+$C$1054+$A$1009</f>
        <v>3224.2</v>
      </c>
      <c r="X1249">
        <f>u_Death</f>
        <v>19.181538114427529</v>
      </c>
      <c r="Z1249" s="42">
        <f t="shared" si="120"/>
        <v>3.5568176696525948</v>
      </c>
      <c r="AA1249" s="6">
        <f t="shared" si="119"/>
        <v>2.1160360305350335E-2</v>
      </c>
    </row>
    <row r="1250" spans="5:27" x14ac:dyDescent="0.3">
      <c r="K1250" s="47">
        <f>SGA_term_2d_3</f>
        <v>1.3200000000000002E-2</v>
      </c>
      <c r="T1250" s="80"/>
      <c r="Z1250" s="42">
        <f t="shared" si="120"/>
        <v>0</v>
      </c>
      <c r="AA1250" s="6">
        <f t="shared" si="119"/>
        <v>0</v>
      </c>
    </row>
    <row r="1251" spans="5:27" x14ac:dyDescent="0.3">
      <c r="K1251" s="48">
        <f>c_SB</f>
        <v>1792</v>
      </c>
      <c r="T1251" s="80"/>
      <c r="Z1251" s="42">
        <f t="shared" si="120"/>
        <v>0</v>
      </c>
      <c r="AA1251" s="6">
        <f t="shared" si="119"/>
        <v>0</v>
      </c>
    </row>
    <row r="1252" spans="5:27" x14ac:dyDescent="0.3">
      <c r="T1252" s="80"/>
      <c r="Z1252" s="42">
        <f t="shared" si="120"/>
        <v>0</v>
      </c>
      <c r="AA1252" s="6">
        <f t="shared" si="119"/>
        <v>0</v>
      </c>
    </row>
    <row r="1253" spans="5:27" x14ac:dyDescent="0.3">
      <c r="Q1253" s="19" t="s">
        <v>368</v>
      </c>
      <c r="R1253" s="19"/>
      <c r="T1253" s="80"/>
      <c r="U1253">
        <f>$K$1269*$I$1258*$G$1279*$E$1207*$C$1053*$A$1008*$M$1264*$O$1259*Q1254</f>
        <v>0</v>
      </c>
      <c r="W1253" s="42">
        <f>$K$1270+$I$1259+$G$1280+$E$1208+$C$1054+$A$1009+$M$1265+$O$1260+Q1255</f>
        <v>89493.581450605634</v>
      </c>
      <c r="X1253">
        <f>u_ChronicResp</f>
        <v>0.53465956747782661</v>
      </c>
      <c r="Z1253" s="42">
        <f t="shared" si="120"/>
        <v>0</v>
      </c>
      <c r="AA1253" s="6">
        <f t="shared" si="119"/>
        <v>0</v>
      </c>
    </row>
    <row r="1254" spans="5:27" x14ac:dyDescent="0.3">
      <c r="Q1254" s="47">
        <f>RDS2CLD_3-(Hypo2CI_3*RDS2CLD_3)</f>
        <v>0.34246866666666664</v>
      </c>
      <c r="R1254" s="47"/>
      <c r="T1254" s="80"/>
      <c r="V1254">
        <v>0</v>
      </c>
      <c r="Z1254" s="42">
        <f t="shared" si="120"/>
        <v>0</v>
      </c>
      <c r="AA1254" s="6">
        <f t="shared" si="119"/>
        <v>0</v>
      </c>
    </row>
    <row r="1255" spans="5:27" x14ac:dyDescent="0.3">
      <c r="Q1255" s="48">
        <f>c_lung+c_hosp_fu+c_CSG</f>
        <v>54529.510902399998</v>
      </c>
      <c r="R1255" s="48"/>
      <c r="T1255" s="80"/>
      <c r="Z1255" s="42">
        <f t="shared" si="120"/>
        <v>0</v>
      </c>
      <c r="AA1255" s="6">
        <f t="shared" si="119"/>
        <v>0</v>
      </c>
    </row>
    <row r="1256" spans="5:27" x14ac:dyDescent="0.3">
      <c r="Q1256" s="19" t="s">
        <v>226</v>
      </c>
      <c r="R1256" s="19"/>
      <c r="T1256" s="80"/>
      <c r="U1256">
        <f>$K$1269*$I$1258*$G$1279*$E$1207*$C$1053*$A$1008*$M$1264*$O$1259*Q1257</f>
        <v>0</v>
      </c>
      <c r="W1256" s="42">
        <f>$K$1270+$I$1259+$G$1280+$E$1208+$C$1054+$A$1009+$M$1265+$O$1260+Q1258</f>
        <v>50730.070548205636</v>
      </c>
      <c r="X1256">
        <f>u_CongnitiveImpairement</f>
        <v>17.270393127285455</v>
      </c>
      <c r="Z1256" s="42">
        <f t="shared" si="120"/>
        <v>0</v>
      </c>
      <c r="AA1256" s="6">
        <f t="shared" si="119"/>
        <v>0</v>
      </c>
    </row>
    <row r="1257" spans="5:27" x14ac:dyDescent="0.3">
      <c r="I1257" s="19" t="s">
        <v>164</v>
      </c>
      <c r="Q1257" s="47">
        <f>Hypo2CI_3-(Hypo2CI_3*RDS2CLD_3)</f>
        <v>3.2801999999999998E-2</v>
      </c>
      <c r="R1257" s="47"/>
      <c r="T1257" s="80"/>
      <c r="V1257">
        <v>0</v>
      </c>
      <c r="Z1257" s="42">
        <f t="shared" si="120"/>
        <v>0</v>
      </c>
      <c r="AA1257" s="6">
        <f t="shared" si="119"/>
        <v>0</v>
      </c>
    </row>
    <row r="1258" spans="5:27" x14ac:dyDescent="0.3">
      <c r="I1258" s="47">
        <f>NBW_term_2SGA_3</f>
        <v>0.18995639845107781</v>
      </c>
      <c r="O1258" s="19" t="s">
        <v>161</v>
      </c>
      <c r="Q1258" s="48">
        <f>c_cog+c_hosp_fu+c_CSG</f>
        <v>15766</v>
      </c>
      <c r="R1258" s="48"/>
      <c r="T1258" s="80"/>
      <c r="Z1258" s="42">
        <f t="shared" si="120"/>
        <v>0</v>
      </c>
      <c r="AA1258" s="6">
        <f t="shared" si="119"/>
        <v>0</v>
      </c>
    </row>
    <row r="1259" spans="5:27" x14ac:dyDescent="0.3">
      <c r="I1259" s="48"/>
      <c r="O1259" s="47">
        <f>SGA_term_2hypoglycaemia_3</f>
        <v>0.26</v>
      </c>
      <c r="Q1259" s="19" t="s">
        <v>369</v>
      </c>
      <c r="R1259" s="19"/>
      <c r="T1259" s="80"/>
      <c r="U1259">
        <f>$K$1269*$I$1258*$G$1279*$E$1207*$C$1053*$A$1008*$M$1264*$O$1259*Q1260</f>
        <v>0</v>
      </c>
      <c r="W1259" s="42">
        <f>$K$1270+$I$1259+$G$1280+$E$1208+$C$1054+$A$1009+$M$1265+$O$1260+Q1261</f>
        <v>93312.581450605634</v>
      </c>
      <c r="X1259">
        <f>u_ChronicResp+u_CongnitiveImpairement</f>
        <v>17.805052694763283</v>
      </c>
      <c r="Z1259" s="42">
        <f t="shared" si="120"/>
        <v>0</v>
      </c>
      <c r="AA1259" s="6">
        <f t="shared" si="119"/>
        <v>0</v>
      </c>
    </row>
    <row r="1260" spans="5:27" x14ac:dyDescent="0.3">
      <c r="O1260" s="48">
        <f>c_hypo</f>
        <v>2936.2604000000001</v>
      </c>
      <c r="Q1260" s="47">
        <f>Hypo2CI_3*RDS2CLD_3</f>
        <v>1.8531333333333334E-2</v>
      </c>
      <c r="R1260" s="47"/>
      <c r="T1260" s="80"/>
      <c r="V1260">
        <v>0</v>
      </c>
      <c r="Z1260" s="42">
        <f t="shared" si="120"/>
        <v>0</v>
      </c>
      <c r="AA1260" s="6">
        <f t="shared" si="119"/>
        <v>0</v>
      </c>
    </row>
    <row r="1261" spans="5:27" x14ac:dyDescent="0.3">
      <c r="M1261" s="42"/>
      <c r="Q1261" s="48">
        <f>c_lung+c_cog+c_hosp_fu+c_CSG</f>
        <v>58348.510902399998</v>
      </c>
      <c r="R1261" s="48"/>
      <c r="T1261" s="80"/>
      <c r="Z1261" s="42">
        <f t="shared" si="120"/>
        <v>0</v>
      </c>
      <c r="AA1261" s="6">
        <f t="shared" si="119"/>
        <v>0</v>
      </c>
    </row>
    <row r="1262" spans="5:27" x14ac:dyDescent="0.3">
      <c r="Q1262" s="19" t="s">
        <v>370</v>
      </c>
      <c r="R1262" s="19"/>
      <c r="T1262" s="80"/>
      <c r="U1262">
        <f>$K$1269*$I$1258*$G$1279*$E$1207*$C$1053*$A$1008*$M$1264*$O$1259*Q1263</f>
        <v>0</v>
      </c>
      <c r="W1262" s="42">
        <f>$K$1270+$I$1259+$G$1280+$E$1208+$C$1054+$A$1009+$M$1265+$O$1260+Q1264</f>
        <v>49367.070548205636</v>
      </c>
      <c r="X1262">
        <f>u_Healthy</f>
        <v>0</v>
      </c>
      <c r="Z1262" s="42">
        <f t="shared" si="120"/>
        <v>0</v>
      </c>
      <c r="AA1262" s="6">
        <f t="shared" si="119"/>
        <v>0</v>
      </c>
    </row>
    <row r="1263" spans="5:27" x14ac:dyDescent="0.3">
      <c r="E1263" s="42"/>
      <c r="M1263" s="19" t="s">
        <v>9</v>
      </c>
      <c r="Q1263" s="47">
        <f>1-Q1254-Q1257-Q1260</f>
        <v>0.60619800000000001</v>
      </c>
      <c r="R1263" s="47"/>
      <c r="T1263" s="80"/>
      <c r="V1263">
        <v>0</v>
      </c>
      <c r="Z1263" s="42">
        <f t="shared" si="120"/>
        <v>0</v>
      </c>
      <c r="AA1263" s="6">
        <f t="shared" si="119"/>
        <v>0</v>
      </c>
    </row>
    <row r="1264" spans="5:27" x14ac:dyDescent="0.3">
      <c r="K1264" s="42"/>
      <c r="M1264" s="47">
        <f>S_term_2RDS_3</f>
        <v>0</v>
      </c>
      <c r="Q1264" s="48">
        <f>c_clinic_fu+c_CSG</f>
        <v>14403</v>
      </c>
      <c r="R1264" s="48"/>
      <c r="T1264" s="80"/>
      <c r="Z1264" s="42">
        <f t="shared" si="120"/>
        <v>0</v>
      </c>
      <c r="AA1264" s="6">
        <f t="shared" si="119"/>
        <v>0</v>
      </c>
    </row>
    <row r="1265" spans="7:27" x14ac:dyDescent="0.3">
      <c r="K1265" s="42"/>
      <c r="M1265" s="48">
        <f>c_RDS</f>
        <v>30595.610148205637</v>
      </c>
      <c r="Q1265" s="42"/>
      <c r="R1265" s="42"/>
      <c r="T1265" s="80"/>
      <c r="Z1265" s="42">
        <f t="shared" si="120"/>
        <v>0</v>
      </c>
      <c r="AA1265" s="6">
        <f t="shared" si="119"/>
        <v>0</v>
      </c>
    </row>
    <row r="1266" spans="7:27" x14ac:dyDescent="0.3">
      <c r="Q1266" s="19" t="s">
        <v>368</v>
      </c>
      <c r="R1266" s="19"/>
      <c r="T1266" s="80"/>
      <c r="U1266">
        <f>$K$1269*$I$1258*$G$1279*$E$1207*$C$1053*$A$1008*$M$1264*$O$1269*Q1267</f>
        <v>0</v>
      </c>
      <c r="W1266" s="42">
        <f>$K$1270+$I$1259+$G$1280+$E$1208+$C$1054+$A$1009+$M$1265+$O$1270+Q1268</f>
        <v>86557.321050605635</v>
      </c>
      <c r="X1266">
        <f>u_ChronicResp</f>
        <v>0.53465956747782661</v>
      </c>
      <c r="Z1266" s="42">
        <f t="shared" si="120"/>
        <v>0</v>
      </c>
      <c r="AA1266" s="6">
        <f t="shared" si="119"/>
        <v>0</v>
      </c>
    </row>
    <row r="1267" spans="7:27" x14ac:dyDescent="0.3">
      <c r="Q1267" s="47">
        <f>RDS2CLD_3-(RDS2CLD_3*noHypo2CI_3)</f>
        <v>0.34905610687022898</v>
      </c>
      <c r="R1267" s="47"/>
      <c r="T1267" s="80"/>
      <c r="V1267">
        <v>0</v>
      </c>
      <c r="Z1267" s="42">
        <f t="shared" si="120"/>
        <v>0</v>
      </c>
      <c r="AA1267" s="6">
        <f t="shared" si="119"/>
        <v>0</v>
      </c>
    </row>
    <row r="1268" spans="7:27" x14ac:dyDescent="0.3">
      <c r="K1268" s="19" t="s">
        <v>37</v>
      </c>
      <c r="M1268" s="42"/>
      <c r="O1268" s="19" t="s">
        <v>371</v>
      </c>
      <c r="Q1268" s="48">
        <f>c_lung+c_hosp_fu+c_CSG</f>
        <v>54529.510902399998</v>
      </c>
      <c r="R1268" s="48"/>
      <c r="T1268" s="80"/>
      <c r="Z1268" s="42">
        <f t="shared" si="120"/>
        <v>0</v>
      </c>
      <c r="AA1268" s="6">
        <f t="shared" si="119"/>
        <v>0</v>
      </c>
    </row>
    <row r="1269" spans="7:27" x14ac:dyDescent="0.3">
      <c r="K1269" s="47">
        <f>SGA_term_2s_3</f>
        <v>0.98680000000000001</v>
      </c>
      <c r="O1269" s="47">
        <f>SGA_term_2normoglycaemia_3</f>
        <v>0.74</v>
      </c>
      <c r="Q1269" s="19" t="s">
        <v>226</v>
      </c>
      <c r="R1269" s="19"/>
      <c r="T1269" s="80"/>
      <c r="U1269">
        <f>$K$1269*$I$1258*$G$1279*$E$1207*$C$1053*$A$1008*$M$1264*$O$1269*Q1270</f>
        <v>0</v>
      </c>
      <c r="W1269" s="42">
        <f>$K$1270+$I$1259+$G$1280+$E$1208+$C$1054+$A$1009+$M$1265+$O$1270+Q1271</f>
        <v>47793.810148205637</v>
      </c>
      <c r="X1269">
        <f>u_CongnitiveImpairement</f>
        <v>17.270393127285455</v>
      </c>
      <c r="Z1269" s="42">
        <f t="shared" si="120"/>
        <v>0</v>
      </c>
      <c r="AA1269" s="6">
        <f t="shared" si="119"/>
        <v>0</v>
      </c>
    </row>
    <row r="1270" spans="7:27" x14ac:dyDescent="0.3">
      <c r="K1270" s="48"/>
      <c r="O1270" s="48"/>
      <c r="Q1270" s="47">
        <f>noHypo2CI_3-(RDS2CLD_3*noHypo2CI_3)</f>
        <v>2.1141683406990762E-2</v>
      </c>
      <c r="R1270" s="47"/>
      <c r="T1270" s="80"/>
      <c r="V1270">
        <v>0</v>
      </c>
      <c r="Z1270" s="42">
        <f t="shared" si="120"/>
        <v>0</v>
      </c>
      <c r="AA1270" s="6">
        <f t="shared" si="119"/>
        <v>0</v>
      </c>
    </row>
    <row r="1271" spans="7:27" x14ac:dyDescent="0.3">
      <c r="Q1271" s="48">
        <f>c_cog+c_hosp_fu+c_CSG</f>
        <v>15766</v>
      </c>
      <c r="R1271" s="48"/>
      <c r="T1271" s="80"/>
      <c r="Z1271" s="42">
        <f t="shared" si="120"/>
        <v>0</v>
      </c>
      <c r="AA1271" s="6">
        <f t="shared" si="119"/>
        <v>0</v>
      </c>
    </row>
    <row r="1272" spans="7:27" x14ac:dyDescent="0.3">
      <c r="Q1272" s="19" t="s">
        <v>369</v>
      </c>
      <c r="R1272" s="19"/>
      <c r="T1272" s="80"/>
      <c r="U1272">
        <f>$K$1269*$I$1258*$G$1279*$E$1207*$C$1053*$A$1008*$M$1264*$O$1269*Q1273</f>
        <v>0</v>
      </c>
      <c r="W1272" s="42">
        <f>$K$1270+$I$1259+$G$1280+$E$1208+$C$1054+$A$1009+$M$1265+$O$1270+Q1274</f>
        <v>90376.321050605635</v>
      </c>
      <c r="X1272">
        <f>u_ChronicResp+u_CongnitiveImpairement</f>
        <v>17.805052694763283</v>
      </c>
      <c r="Z1272" s="42">
        <f t="shared" si="120"/>
        <v>0</v>
      </c>
      <c r="AA1272" s="6">
        <f t="shared" si="119"/>
        <v>0</v>
      </c>
    </row>
    <row r="1273" spans="7:27" x14ac:dyDescent="0.3">
      <c r="Q1273" s="47">
        <f>RDS2CLD_3*noHypo2CI_3</f>
        <v>1.1943893129770991E-2</v>
      </c>
      <c r="R1273" s="47"/>
      <c r="T1273" s="80"/>
      <c r="V1273">
        <v>0</v>
      </c>
      <c r="Z1273" s="42">
        <f t="shared" si="120"/>
        <v>0</v>
      </c>
      <c r="AA1273" s="6">
        <f t="shared" si="119"/>
        <v>0</v>
      </c>
    </row>
    <row r="1274" spans="7:27" x14ac:dyDescent="0.3">
      <c r="Q1274" s="48">
        <f>c_cog+c_lung+c_hosp_fu+c_CSG</f>
        <v>58348.510902399998</v>
      </c>
      <c r="R1274" s="48"/>
      <c r="T1274" s="80"/>
      <c r="Z1274" s="42">
        <f t="shared" si="120"/>
        <v>0</v>
      </c>
      <c r="AA1274" s="6">
        <f t="shared" si="119"/>
        <v>0</v>
      </c>
    </row>
    <row r="1275" spans="7:27" x14ac:dyDescent="0.3">
      <c r="Q1275" s="19" t="s">
        <v>370</v>
      </c>
      <c r="R1275" s="19"/>
      <c r="T1275" s="80"/>
      <c r="U1275">
        <f>$K$1269*$I$1258*$G$1279*$E$1207*$C$1053*$A$1008*$M$1264*$O$1269*Q1276</f>
        <v>0</v>
      </c>
      <c r="W1275" s="42">
        <f>$K$1270+$I$1259+$G$1280+$E$1208+$C$1054+$A$1009+$M$1265+$O$1270+Q1277</f>
        <v>46430.810148205637</v>
      </c>
      <c r="X1275">
        <f>u_Healthy</f>
        <v>0</v>
      </c>
      <c r="Z1275" s="42">
        <f t="shared" si="120"/>
        <v>0</v>
      </c>
      <c r="AA1275" s="6">
        <f t="shared" si="119"/>
        <v>0</v>
      </c>
    </row>
    <row r="1276" spans="7:27" x14ac:dyDescent="0.3">
      <c r="Q1276" s="47">
        <f>1-Q1273-Q1270-Q1267</f>
        <v>0.61785831659300938</v>
      </c>
      <c r="R1276" s="47"/>
      <c r="T1276" s="80"/>
      <c r="V1276">
        <v>0</v>
      </c>
      <c r="Z1276" s="42">
        <f t="shared" si="120"/>
        <v>0</v>
      </c>
      <c r="AA1276" s="6">
        <f t="shared" si="119"/>
        <v>0</v>
      </c>
    </row>
    <row r="1277" spans="7:27" x14ac:dyDescent="0.3">
      <c r="Q1277" s="48">
        <f>c_clinic_fu+c_CSG</f>
        <v>14403</v>
      </c>
      <c r="R1277" s="48"/>
      <c r="T1277" s="80"/>
      <c r="Z1277" s="42">
        <f t="shared" si="120"/>
        <v>0</v>
      </c>
      <c r="AA1277" s="6">
        <f t="shared" si="119"/>
        <v>0</v>
      </c>
    </row>
    <row r="1278" spans="7:27" x14ac:dyDescent="0.3">
      <c r="G1278" s="19" t="s">
        <v>372</v>
      </c>
      <c r="Q1278" s="42"/>
      <c r="R1278" s="42"/>
      <c r="T1278" s="80"/>
      <c r="Z1278" s="42">
        <f t="shared" si="120"/>
        <v>0</v>
      </c>
      <c r="AA1278" s="6">
        <f t="shared" si="119"/>
        <v>0</v>
      </c>
    </row>
    <row r="1279" spans="7:27" x14ac:dyDescent="0.3">
      <c r="G1279" s="47">
        <f>Term2NBW_3</f>
        <v>0.65230769230769226</v>
      </c>
      <c r="Q1279" s="19" t="s">
        <v>368</v>
      </c>
      <c r="R1279" s="19"/>
      <c r="T1279" s="80"/>
      <c r="U1279">
        <f>$K$1269*$I$1258*$G$1279*$E$1207*$C$1053*$A$1008*$M$1284*$O$1282*Q1280</f>
        <v>0</v>
      </c>
      <c r="W1279" s="42">
        <f>$K$1270+$I$1259+$G$1280+$E$1208+$C$1054+$A$1009+$M$1285+$O$1283+Q1281</f>
        <v>58897.971302399994</v>
      </c>
      <c r="X1279">
        <f>u_ChronicResp</f>
        <v>0.53465956747782661</v>
      </c>
      <c r="Z1279" s="42">
        <f t="shared" si="120"/>
        <v>0</v>
      </c>
      <c r="AA1279" s="6">
        <f t="shared" si="119"/>
        <v>0</v>
      </c>
    </row>
    <row r="1280" spans="7:27" x14ac:dyDescent="0.3">
      <c r="G1280" s="48">
        <f>c_NICU_NBW</f>
        <v>1255.2</v>
      </c>
      <c r="Q1280" s="47">
        <f>noRDS2CLD_3-(Hypo2CI_3*noRDS2CLD_3)</f>
        <v>0</v>
      </c>
      <c r="R1280" s="47"/>
      <c r="T1280" s="80"/>
      <c r="V1280">
        <v>0</v>
      </c>
      <c r="Z1280" s="42">
        <f t="shared" si="120"/>
        <v>0</v>
      </c>
      <c r="AA1280" s="6">
        <f t="shared" si="119"/>
        <v>0</v>
      </c>
    </row>
    <row r="1281" spans="1:27" x14ac:dyDescent="0.3">
      <c r="O1281" s="19" t="s">
        <v>161</v>
      </c>
      <c r="Q1281" s="48">
        <f>c_lung+c_hosp_fu+c_CSG</f>
        <v>54529.510902399998</v>
      </c>
      <c r="R1281" s="48"/>
      <c r="T1281" s="80"/>
      <c r="Z1281" s="42">
        <f t="shared" si="120"/>
        <v>0</v>
      </c>
      <c r="AA1281" s="6">
        <f t="shared" si="119"/>
        <v>0</v>
      </c>
    </row>
    <row r="1282" spans="1:27" x14ac:dyDescent="0.3">
      <c r="O1282" s="47">
        <f>SGA_term_2hypoglycaemia_3</f>
        <v>0.26</v>
      </c>
      <c r="Q1282" s="19" t="s">
        <v>226</v>
      </c>
      <c r="R1282" s="19"/>
      <c r="T1282" s="80"/>
      <c r="U1282">
        <f>$K$1269*$I$1258*$G$1279*$E$1207*$C$1053*$A$1008*$M$1284*$O$1282*Q1283</f>
        <v>1.1006966708489248E-3</v>
      </c>
      <c r="V1282">
        <v>1.1006968930947784E-3</v>
      </c>
      <c r="W1282" s="42">
        <f>$K$1270+$I$1259+$G$1280+$E$1208+$C$1054+$A$1009+$M$1285+$O$1283+Q1284</f>
        <v>20134.4604</v>
      </c>
      <c r="X1282">
        <f>u_CongnitiveImpairement</f>
        <v>17.270393127285455</v>
      </c>
      <c r="Z1282" s="42">
        <f t="shared" si="120"/>
        <v>22.161933531619511</v>
      </c>
      <c r="AA1282" s="6">
        <f t="shared" si="119"/>
        <v>1.9009464219455253E-2</v>
      </c>
    </row>
    <row r="1283" spans="1:27" x14ac:dyDescent="0.3">
      <c r="M1283" s="19" t="s">
        <v>203</v>
      </c>
      <c r="O1283" s="48">
        <f>c_hypo</f>
        <v>2936.2604000000001</v>
      </c>
      <c r="Q1283" s="47">
        <f>Hypo2CI_3-(Hypo2CI_3*noRDS2CLD_3)</f>
        <v>5.1333333333333335E-2</v>
      </c>
      <c r="R1283" s="47"/>
      <c r="T1283" s="80"/>
      <c r="Z1283" s="42">
        <f t="shared" si="120"/>
        <v>0</v>
      </c>
      <c r="AA1283" s="6">
        <f t="shared" si="119"/>
        <v>0</v>
      </c>
    </row>
    <row r="1284" spans="1:27" x14ac:dyDescent="0.3">
      <c r="M1284" s="47">
        <f>S_term_2noRDS_3</f>
        <v>1</v>
      </c>
      <c r="Q1284" s="48">
        <f>c_cog+c_hosp_fu+c_CSG</f>
        <v>15766</v>
      </c>
      <c r="R1284" s="48"/>
      <c r="T1284" s="80"/>
      <c r="Z1284" s="42">
        <f t="shared" si="120"/>
        <v>0</v>
      </c>
      <c r="AA1284" s="6">
        <f t="shared" si="119"/>
        <v>0</v>
      </c>
    </row>
    <row r="1285" spans="1:27" x14ac:dyDescent="0.3">
      <c r="G1285" s="42"/>
      <c r="M1285" s="48"/>
      <c r="O1285" s="42"/>
      <c r="Q1285" s="19" t="s">
        <v>369</v>
      </c>
      <c r="R1285" s="19"/>
      <c r="T1285" s="80"/>
      <c r="U1285">
        <f>$K$1269*$I$1258*$G$1279*$E$1207*$C$1053*$A$1008*$M$1284*$O$1282*Q1286</f>
        <v>0</v>
      </c>
      <c r="V1285">
        <v>0</v>
      </c>
      <c r="W1285" s="42">
        <f>$K$1270+$I$1259+$G$1280+$E$1208+$C$1054+$A$1009+$M$1285+$O$1283+Q1287</f>
        <v>62716.971302399994</v>
      </c>
      <c r="X1285">
        <f>u_ChronicResp+u_CongnitiveImpairement</f>
        <v>17.805052694763283</v>
      </c>
      <c r="Z1285" s="42">
        <f t="shared" si="120"/>
        <v>0</v>
      </c>
      <c r="AA1285" s="6">
        <f t="shared" si="119"/>
        <v>0</v>
      </c>
    </row>
    <row r="1286" spans="1:27" x14ac:dyDescent="0.3">
      <c r="M1286" s="42"/>
      <c r="Q1286" s="47">
        <f>noRDS2CLD_3*Hypo2CI_3</f>
        <v>0</v>
      </c>
      <c r="R1286" s="47"/>
      <c r="T1286" s="80"/>
      <c r="Z1286" s="42">
        <f t="shared" si="120"/>
        <v>0</v>
      </c>
      <c r="AA1286" s="6">
        <f t="shared" si="119"/>
        <v>0</v>
      </c>
    </row>
    <row r="1287" spans="1:27" x14ac:dyDescent="0.3">
      <c r="A1287" s="42"/>
      <c r="M1287" s="42"/>
      <c r="Q1287" s="48">
        <f>c_lung+c_cog+c_hosp_fu+c_CSG</f>
        <v>58348.510902399998</v>
      </c>
      <c r="R1287" s="48"/>
      <c r="T1287" s="80"/>
      <c r="Z1287" s="42">
        <f t="shared" si="120"/>
        <v>0</v>
      </c>
      <c r="AA1287" s="6">
        <f t="shared" si="119"/>
        <v>0</v>
      </c>
    </row>
    <row r="1288" spans="1:27" x14ac:dyDescent="0.3">
      <c r="M1288" s="42"/>
      <c r="Q1288" s="19" t="s">
        <v>370</v>
      </c>
      <c r="R1288" s="19"/>
      <c r="T1288" s="80"/>
      <c r="U1288">
        <f>$K$1269*$I$1258*$G$1279*$E$1207*$C$1053*$A$1008*$M$1284*$O$1282*Q1289</f>
        <v>2.0341446267766492E-2</v>
      </c>
      <c r="V1288">
        <v>2.0341450374985321E-2</v>
      </c>
      <c r="W1288" s="42">
        <f>$K$1270+$I$1259+$G$1280+$E$1208+$C$1054+$A$1009+$M$1285+$O$1283+Q1290</f>
        <v>18771.4604</v>
      </c>
      <c r="X1288">
        <f>u_Healthy</f>
        <v>0</v>
      </c>
      <c r="Z1288" s="42">
        <f t="shared" si="120"/>
        <v>381.83865309410652</v>
      </c>
      <c r="AA1288" s="6">
        <f t="shared" si="119"/>
        <v>0</v>
      </c>
    </row>
    <row r="1289" spans="1:27" x14ac:dyDescent="0.3">
      <c r="M1289" s="42"/>
      <c r="O1289" s="42"/>
      <c r="Q1289" s="47">
        <f>1-Q1286-Q1283-Q1280</f>
        <v>0.94866666666666666</v>
      </c>
      <c r="R1289" s="47"/>
      <c r="T1289" s="80"/>
      <c r="Z1289" s="42">
        <f t="shared" si="120"/>
        <v>0</v>
      </c>
      <c r="AA1289" s="6">
        <f t="shared" si="119"/>
        <v>0</v>
      </c>
    </row>
    <row r="1290" spans="1:27" x14ac:dyDescent="0.3">
      <c r="M1290" s="42"/>
      <c r="Q1290" s="48">
        <f>c_clinic_fu+c_CSG</f>
        <v>14403</v>
      </c>
      <c r="R1290" s="48"/>
      <c r="S1290" s="96"/>
      <c r="T1290" s="80"/>
      <c r="Z1290" s="42">
        <f t="shared" si="120"/>
        <v>0</v>
      </c>
      <c r="AA1290" s="6">
        <f t="shared" si="119"/>
        <v>0</v>
      </c>
    </row>
    <row r="1291" spans="1:27" x14ac:dyDescent="0.3">
      <c r="M1291" s="42"/>
      <c r="Q1291" s="42"/>
      <c r="R1291" s="42"/>
      <c r="T1291" s="80"/>
      <c r="Z1291" s="42">
        <f t="shared" si="120"/>
        <v>0</v>
      </c>
      <c r="AA1291" s="6">
        <f t="shared" si="119"/>
        <v>0</v>
      </c>
    </row>
    <row r="1292" spans="1:27" x14ac:dyDescent="0.3">
      <c r="M1292" s="42"/>
      <c r="Q1292" s="19" t="s">
        <v>368</v>
      </c>
      <c r="R1292" s="19"/>
      <c r="T1292" s="80"/>
      <c r="U1292">
        <f>$K$1269*$I$1258*$G$1279*$E$1207*$C$1053*$A$1008*$M$1284*$O$1296*Q1293</f>
        <v>0</v>
      </c>
      <c r="V1292">
        <v>0</v>
      </c>
      <c r="W1292" s="42">
        <f>$K$1270+$I$1259+$G$1280+$E$1208+$C$1054+$A$1009+$M$1285+$O$1297+Q1294</f>
        <v>57990.971302399994</v>
      </c>
      <c r="X1292">
        <f>u_ChronicResp</f>
        <v>0.53465956747782661</v>
      </c>
      <c r="Z1292" s="42">
        <f t="shared" si="120"/>
        <v>0</v>
      </c>
      <c r="AA1292" s="6">
        <f t="shared" si="119"/>
        <v>0</v>
      </c>
    </row>
    <row r="1293" spans="1:27" x14ac:dyDescent="0.3">
      <c r="M1293" s="42"/>
      <c r="Q1293" s="47">
        <f>noRDS2CLD_3-(noRDS2CLD_3*noHypo2CI_3)</f>
        <v>0</v>
      </c>
      <c r="R1293" s="47"/>
      <c r="T1293" s="80"/>
      <c r="Z1293" s="42">
        <f t="shared" si="120"/>
        <v>0</v>
      </c>
      <c r="AA1293" s="6">
        <f t="shared" ref="AA1293:AA1356" si="121">U1293*X1293</f>
        <v>0</v>
      </c>
    </row>
    <row r="1294" spans="1:27" x14ac:dyDescent="0.3">
      <c r="M1294" s="42"/>
      <c r="Q1294" s="48">
        <f>c_lung+c_hypo+c_CSG</f>
        <v>56558.771302399997</v>
      </c>
      <c r="R1294" s="48"/>
      <c r="T1294" s="80"/>
      <c r="Z1294" s="42">
        <f t="shared" si="120"/>
        <v>0</v>
      </c>
      <c r="AA1294" s="6">
        <f t="shared" si="121"/>
        <v>0</v>
      </c>
    </row>
    <row r="1295" spans="1:27" x14ac:dyDescent="0.3">
      <c r="M1295" s="42"/>
      <c r="O1295" s="19" t="s">
        <v>371</v>
      </c>
      <c r="Q1295" s="19" t="s">
        <v>226</v>
      </c>
      <c r="R1295" s="19"/>
      <c r="T1295" s="80"/>
      <c r="U1295">
        <f>$K$1269*$I$1258*$G$1279*$E$1207*$C$1053*$A$1008*$M$1284*$O$1296*Q1296</f>
        <v>2.0191345744912767E-3</v>
      </c>
      <c r="V1295">
        <v>2.0191349821824228E-3</v>
      </c>
      <c r="W1295" s="42">
        <f>$K$1270+$I$1259+$G$1280+$E$1208+$C$1054+$A$1009+$M$1285+$O$1297+Q1297</f>
        <v>17198.2</v>
      </c>
      <c r="X1295">
        <f>u_CongnitiveImpairement</f>
        <v>17.270393127285455</v>
      </c>
      <c r="Z1295" s="42">
        <f t="shared" ref="Z1295:Z1358" si="122">U1295*W1295</f>
        <v>34.72548023901588</v>
      </c>
      <c r="AA1295" s="6">
        <f t="shared" si="121"/>
        <v>3.4871247878358588E-2</v>
      </c>
    </row>
    <row r="1296" spans="1:27" x14ac:dyDescent="0.3">
      <c r="M1296" s="42"/>
      <c r="O1296" s="47">
        <f>SGA_term_2normoglycaemia_3</f>
        <v>0.74</v>
      </c>
      <c r="Q1296" s="47">
        <f>noHypo2CI_3</f>
        <v>3.3085576536761752E-2</v>
      </c>
      <c r="R1296" s="47"/>
      <c r="T1296" s="80"/>
      <c r="Z1296" s="42">
        <f t="shared" si="122"/>
        <v>0</v>
      </c>
      <c r="AA1296" s="6">
        <f t="shared" si="121"/>
        <v>0</v>
      </c>
    </row>
    <row r="1297" spans="11:27" x14ac:dyDescent="0.3">
      <c r="M1297" s="42"/>
      <c r="O1297" s="48"/>
      <c r="Q1297" s="48">
        <f>c_cog+c_hosp_fu+c_CSG</f>
        <v>15766</v>
      </c>
      <c r="R1297" s="48"/>
      <c r="T1297" s="80"/>
      <c r="Z1297" s="42">
        <f t="shared" si="122"/>
        <v>0</v>
      </c>
      <c r="AA1297" s="6">
        <f t="shared" si="121"/>
        <v>0</v>
      </c>
    </row>
    <row r="1298" spans="11:27" x14ac:dyDescent="0.3">
      <c r="M1298" s="42"/>
      <c r="Q1298" s="19" t="s">
        <v>369</v>
      </c>
      <c r="R1298" s="19"/>
      <c r="T1298" s="80"/>
      <c r="U1298">
        <f>$K$1269*$I$1258*$G$1279*$E$1207*$C$1053*$A$1008*$M$1284*$O$1296*Q1299</f>
        <v>0</v>
      </c>
      <c r="V1298">
        <v>0</v>
      </c>
      <c r="W1298" s="42">
        <f>$K$1270+$I$1259+$G$1280+$E$1208+$C$1054+$A$1009+$M$1285+$O$1297+Q1300</f>
        <v>59780.710902399995</v>
      </c>
      <c r="X1298">
        <f>u_ChronicResp+u_CongnitiveImpairement</f>
        <v>17.805052694763283</v>
      </c>
      <c r="Z1298" s="42">
        <f t="shared" si="122"/>
        <v>0</v>
      </c>
      <c r="AA1298" s="6">
        <f t="shared" si="121"/>
        <v>0</v>
      </c>
    </row>
    <row r="1299" spans="11:27" x14ac:dyDescent="0.3">
      <c r="M1299" s="42"/>
      <c r="Q1299" s="47">
        <f>noRDS2CLD_3*noHypo2CI_3</f>
        <v>0</v>
      </c>
      <c r="R1299" s="47"/>
      <c r="T1299" s="80"/>
      <c r="Z1299" s="42">
        <f t="shared" si="122"/>
        <v>0</v>
      </c>
      <c r="AA1299" s="6">
        <f t="shared" si="121"/>
        <v>0</v>
      </c>
    </row>
    <row r="1300" spans="11:27" x14ac:dyDescent="0.3">
      <c r="M1300" s="42"/>
      <c r="Q1300" s="48">
        <f>c_cog+c_lung+c_hosp_fu+c_CSG</f>
        <v>58348.510902399998</v>
      </c>
      <c r="R1300" s="48"/>
      <c r="T1300" s="80"/>
      <c r="Z1300" s="42">
        <f t="shared" si="122"/>
        <v>0</v>
      </c>
      <c r="AA1300" s="6">
        <f t="shared" si="121"/>
        <v>0</v>
      </c>
    </row>
    <row r="1301" spans="11:27" x14ac:dyDescent="0.3">
      <c r="M1301" s="42"/>
      <c r="Q1301" s="19" t="s">
        <v>370</v>
      </c>
      <c r="R1301" s="19"/>
      <c r="T1301" s="80"/>
      <c r="U1301">
        <f>$K$1269*$I$1258*$G$1279*$E$1207*$C$1053*$A$1008*$M$1284*$O$1296*Q1302</f>
        <v>5.900850302002953E-2</v>
      </c>
      <c r="V1301">
        <v>5.9008514934660937E-2</v>
      </c>
      <c r="W1301" s="42">
        <f>$K$1270+$I$1259+$G$1280+$E$1208+$C$1054+$A$1009+$M$1285+$O$1297+Q1303</f>
        <v>15835.2</v>
      </c>
      <c r="X1301">
        <f>u_Healthy</f>
        <v>0</v>
      </c>
      <c r="Z1301" s="42">
        <f t="shared" si="122"/>
        <v>934.41144702277165</v>
      </c>
      <c r="AA1301" s="6">
        <f t="shared" si="121"/>
        <v>0</v>
      </c>
    </row>
    <row r="1302" spans="11:27" x14ac:dyDescent="0.3">
      <c r="M1302" s="42"/>
      <c r="Q1302" s="47">
        <f>1-Q1299-Q1296-Q1293</f>
        <v>0.9669144234632383</v>
      </c>
      <c r="R1302" s="47"/>
      <c r="T1302" s="80"/>
      <c r="Z1302" s="42">
        <f t="shared" si="122"/>
        <v>0</v>
      </c>
      <c r="AA1302" s="6">
        <f t="shared" si="121"/>
        <v>0</v>
      </c>
    </row>
    <row r="1303" spans="11:27" x14ac:dyDescent="0.3">
      <c r="M1303" s="42"/>
      <c r="Q1303" s="48">
        <f>c_clinic_fu+c_CSG</f>
        <v>14403</v>
      </c>
      <c r="R1303" s="48"/>
      <c r="T1303" s="80"/>
      <c r="Z1303" s="42">
        <f t="shared" si="122"/>
        <v>0</v>
      </c>
      <c r="AA1303" s="6">
        <f t="shared" si="121"/>
        <v>0</v>
      </c>
    </row>
    <row r="1304" spans="11:27" x14ac:dyDescent="0.3">
      <c r="M1304" s="42"/>
      <c r="Q1304" s="42"/>
      <c r="R1304" s="42"/>
      <c r="T1304" s="80"/>
      <c r="Z1304" s="42">
        <f t="shared" si="122"/>
        <v>0</v>
      </c>
      <c r="AA1304" s="6">
        <f t="shared" si="121"/>
        <v>0</v>
      </c>
    </row>
    <row r="1305" spans="11:27" x14ac:dyDescent="0.3">
      <c r="K1305" s="19" t="s">
        <v>165</v>
      </c>
      <c r="L1305" s="19"/>
      <c r="M1305" s="19"/>
      <c r="N1305" s="19"/>
      <c r="O1305" s="19"/>
      <c r="P1305" s="19"/>
      <c r="Q1305" s="19"/>
      <c r="R1305" s="19"/>
      <c r="T1305" s="80"/>
      <c r="U1305">
        <f>$K$1306*$I$1314*$G$1279*$E$1207*$C$1053*$A$1008</f>
        <v>2.2214703389842575E-3</v>
      </c>
      <c r="V1305">
        <v>2.2214707875297863E-3</v>
      </c>
      <c r="W1305" s="42">
        <f>$K$1307+$I$1315+$G$1280+$E$1208+$C$1054+$A$1009</f>
        <v>3224.2</v>
      </c>
      <c r="X1305">
        <f>u_Death</f>
        <v>19.181538114427529</v>
      </c>
      <c r="Z1305" s="42">
        <f t="shared" si="122"/>
        <v>7.1624646669530421</v>
      </c>
      <c r="AA1305" s="6">
        <f t="shared" si="121"/>
        <v>4.2611217977296778E-2</v>
      </c>
    </row>
    <row r="1306" spans="11:27" x14ac:dyDescent="0.3">
      <c r="K1306" s="47">
        <f>AGA_term_2d_3</f>
        <v>6.2333333333333338E-3</v>
      </c>
      <c r="T1306" s="80"/>
      <c r="Z1306" s="42">
        <f t="shared" si="122"/>
        <v>0</v>
      </c>
      <c r="AA1306" s="6">
        <f t="shared" si="121"/>
        <v>0</v>
      </c>
    </row>
    <row r="1307" spans="11:27" x14ac:dyDescent="0.3">
      <c r="K1307" s="48">
        <f>c_SB</f>
        <v>1792</v>
      </c>
      <c r="T1307" s="80"/>
      <c r="Z1307" s="42">
        <f t="shared" si="122"/>
        <v>0</v>
      </c>
      <c r="AA1307" s="6">
        <f t="shared" si="121"/>
        <v>0</v>
      </c>
    </row>
    <row r="1308" spans="11:27" x14ac:dyDescent="0.3">
      <c r="T1308" s="80"/>
      <c r="Z1308" s="42">
        <f t="shared" si="122"/>
        <v>0</v>
      </c>
      <c r="AA1308" s="6">
        <f t="shared" si="121"/>
        <v>0</v>
      </c>
    </row>
    <row r="1309" spans="11:27" x14ac:dyDescent="0.3">
      <c r="Q1309" s="19" t="s">
        <v>368</v>
      </c>
      <c r="R1309" s="19"/>
      <c r="T1309" s="80"/>
      <c r="U1309">
        <f>$K$1325*$I$1314*$G$1279*$E$1207*$C$1053*$A$1008*$M$1320*$O$1315*Q1310</f>
        <v>0</v>
      </c>
      <c r="W1309" s="42">
        <f>$K$1326+$I$1315+$G$1280+$E$1208+$C$1054+$A$1009+$M$1321+$O$1316+Q1311</f>
        <v>89493.581450605634</v>
      </c>
      <c r="X1309">
        <f>u_ChronicResp</f>
        <v>0.53465956747782661</v>
      </c>
      <c r="Z1309" s="42">
        <f t="shared" si="122"/>
        <v>0</v>
      </c>
      <c r="AA1309" s="6">
        <f t="shared" si="121"/>
        <v>0</v>
      </c>
    </row>
    <row r="1310" spans="11:27" x14ac:dyDescent="0.3">
      <c r="Q1310" s="47">
        <f>RDS2CLD_3-(Hypo2CI_3*RDS2CLD_3)</f>
        <v>0.34246866666666664</v>
      </c>
      <c r="R1310" s="47"/>
      <c r="T1310" s="80"/>
      <c r="V1310">
        <v>0</v>
      </c>
      <c r="Z1310" s="42">
        <f t="shared" si="122"/>
        <v>0</v>
      </c>
      <c r="AA1310" s="6">
        <f t="shared" si="121"/>
        <v>0</v>
      </c>
    </row>
    <row r="1311" spans="11:27" x14ac:dyDescent="0.3">
      <c r="Q1311" s="48">
        <f>c_lung+c_hosp_fu+c_CSG</f>
        <v>54529.510902399998</v>
      </c>
      <c r="R1311" s="48"/>
      <c r="T1311" s="80"/>
      <c r="Z1311" s="42">
        <f t="shared" si="122"/>
        <v>0</v>
      </c>
      <c r="AA1311" s="6">
        <f t="shared" si="121"/>
        <v>0</v>
      </c>
    </row>
    <row r="1312" spans="11:27" x14ac:dyDescent="0.3">
      <c r="Q1312" s="19" t="s">
        <v>226</v>
      </c>
      <c r="R1312" s="19"/>
      <c r="T1312" s="80"/>
      <c r="U1312">
        <f>$K$1325*$I$1314*$G$1279*$E$1207*$C$1053*$A$1008*$M$1320*$O$1315*Q1313</f>
        <v>0</v>
      </c>
      <c r="W1312" s="42">
        <f>$K$1326+$I$1315+$G$1280+$E$1208+$C$1054+$A$1009+$M$1321+$O$1316+Q1314</f>
        <v>50730.070548205636</v>
      </c>
      <c r="X1312">
        <f>u_CongnitiveImpairement</f>
        <v>17.270393127285455</v>
      </c>
      <c r="Z1312" s="42">
        <f t="shared" si="122"/>
        <v>0</v>
      </c>
      <c r="AA1312" s="6">
        <f t="shared" si="121"/>
        <v>0</v>
      </c>
    </row>
    <row r="1313" spans="9:27" x14ac:dyDescent="0.3">
      <c r="I1313" s="19" t="s">
        <v>425</v>
      </c>
      <c r="Q1313" s="47">
        <f>Hypo2CI_3-(Hypo2CI_3*RDS2CLD_3)</f>
        <v>3.2801999999999998E-2</v>
      </c>
      <c r="R1313" s="47"/>
      <c r="T1313" s="80"/>
      <c r="V1313">
        <v>0</v>
      </c>
      <c r="Z1313" s="42">
        <f t="shared" si="122"/>
        <v>0</v>
      </c>
      <c r="AA1313" s="6">
        <f t="shared" si="121"/>
        <v>0</v>
      </c>
    </row>
    <row r="1314" spans="9:27" x14ac:dyDescent="0.3">
      <c r="I1314" s="47">
        <f>NBW_term_2AGA_3</f>
        <v>0.81004360154892219</v>
      </c>
      <c r="O1314" s="19" t="s">
        <v>161</v>
      </c>
      <c r="Q1314" s="48">
        <f>c_cog+c_hosp_fu+c_CSG</f>
        <v>15766</v>
      </c>
      <c r="R1314" s="48"/>
      <c r="T1314" s="80"/>
      <c r="Z1314" s="42">
        <f t="shared" si="122"/>
        <v>0</v>
      </c>
      <c r="AA1314" s="6">
        <f t="shared" si="121"/>
        <v>0</v>
      </c>
    </row>
    <row r="1315" spans="9:27" x14ac:dyDescent="0.3">
      <c r="I1315" s="48"/>
      <c r="O1315" s="47">
        <f>AGA_term_2hypoglycaemia_3</f>
        <v>0</v>
      </c>
      <c r="Q1315" s="19" t="s">
        <v>369</v>
      </c>
      <c r="R1315" s="19"/>
      <c r="T1315" s="80"/>
      <c r="U1315">
        <f>$K$1325*$I$1314*$G$1279*$E$1207*$C$1053*$A$1008*$M$1320*$O$1315*Q1316</f>
        <v>0</v>
      </c>
      <c r="W1315" s="42">
        <f>$K$1326+$I$1315+$G$1280+$E$1208+$C$1054+$A$1009+$M$1321+$O$1316+Q1317</f>
        <v>93312.581450605634</v>
      </c>
      <c r="X1315">
        <f>u_ChronicResp+u_CongnitiveImpairement</f>
        <v>17.805052694763283</v>
      </c>
      <c r="Z1315" s="42">
        <f t="shared" si="122"/>
        <v>0</v>
      </c>
      <c r="AA1315" s="6">
        <f t="shared" si="121"/>
        <v>0</v>
      </c>
    </row>
    <row r="1316" spans="9:27" x14ac:dyDescent="0.3">
      <c r="O1316" s="48">
        <f>c_hypo</f>
        <v>2936.2604000000001</v>
      </c>
      <c r="Q1316" s="47">
        <f>Hypo2CI_3*RDS2CLD_3</f>
        <v>1.8531333333333334E-2</v>
      </c>
      <c r="R1316" s="47"/>
      <c r="T1316" s="80"/>
      <c r="V1316">
        <v>0</v>
      </c>
      <c r="Z1316" s="42">
        <f t="shared" si="122"/>
        <v>0</v>
      </c>
      <c r="AA1316" s="6">
        <f t="shared" si="121"/>
        <v>0</v>
      </c>
    </row>
    <row r="1317" spans="9:27" x14ac:dyDescent="0.3">
      <c r="M1317" s="42"/>
      <c r="Q1317" s="48">
        <f>c_lung+c_cog+c_hosp_fu+c_CSG</f>
        <v>58348.510902399998</v>
      </c>
      <c r="R1317" s="48"/>
      <c r="T1317" s="80"/>
      <c r="Z1317" s="42">
        <f t="shared" si="122"/>
        <v>0</v>
      </c>
      <c r="AA1317" s="6">
        <f t="shared" si="121"/>
        <v>0</v>
      </c>
    </row>
    <row r="1318" spans="9:27" x14ac:dyDescent="0.3">
      <c r="Q1318" s="19" t="s">
        <v>370</v>
      </c>
      <c r="R1318" s="19"/>
      <c r="T1318" s="80"/>
      <c r="U1318">
        <f>$K$1325*$I$1314*$G$1279*$E$1207*$C$1053*$A$1008*$M$1320*$O$1315*Q1319</f>
        <v>0</v>
      </c>
      <c r="W1318" s="42">
        <f>$K$1326+$I$1315+$G$1280+$E$1208+$C$1054+$A$1009+$M$1321+$O$1316+Q1320</f>
        <v>49367.070548205636</v>
      </c>
      <c r="X1318">
        <f>u_Healthy</f>
        <v>0</v>
      </c>
      <c r="Z1318" s="42">
        <f t="shared" si="122"/>
        <v>0</v>
      </c>
      <c r="AA1318" s="6">
        <f t="shared" si="121"/>
        <v>0</v>
      </c>
    </row>
    <row r="1319" spans="9:27" x14ac:dyDescent="0.3">
      <c r="M1319" s="19" t="s">
        <v>9</v>
      </c>
      <c r="Q1319" s="47">
        <f>1-Q1310-Q1313-Q1316</f>
        <v>0.60619800000000001</v>
      </c>
      <c r="R1319" s="47"/>
      <c r="T1319" s="80"/>
      <c r="V1319">
        <v>0</v>
      </c>
      <c r="Z1319" s="42">
        <f t="shared" si="122"/>
        <v>0</v>
      </c>
      <c r="AA1319" s="6">
        <f t="shared" si="121"/>
        <v>0</v>
      </c>
    </row>
    <row r="1320" spans="9:27" x14ac:dyDescent="0.3">
      <c r="K1320" s="42"/>
      <c r="M1320" s="47">
        <f>S_term_2RDS_3</f>
        <v>0</v>
      </c>
      <c r="Q1320" s="48">
        <f>c_clinic_fu+c_CSG</f>
        <v>14403</v>
      </c>
      <c r="R1320" s="48"/>
      <c r="T1320" s="80"/>
      <c r="Z1320" s="42">
        <f t="shared" si="122"/>
        <v>0</v>
      </c>
      <c r="AA1320" s="6">
        <f t="shared" si="121"/>
        <v>0</v>
      </c>
    </row>
    <row r="1321" spans="9:27" x14ac:dyDescent="0.3">
      <c r="K1321" s="42"/>
      <c r="M1321" s="48">
        <f>c_RDS</f>
        <v>30595.610148205637</v>
      </c>
      <c r="Q1321" s="42"/>
      <c r="R1321" s="42"/>
      <c r="T1321" s="80"/>
      <c r="Z1321" s="42">
        <f t="shared" si="122"/>
        <v>0</v>
      </c>
      <c r="AA1321" s="6">
        <f t="shared" si="121"/>
        <v>0</v>
      </c>
    </row>
    <row r="1322" spans="9:27" x14ac:dyDescent="0.3">
      <c r="Q1322" s="19" t="s">
        <v>368</v>
      </c>
      <c r="R1322" s="19"/>
      <c r="T1322" s="80"/>
      <c r="U1322">
        <f>$K$1325*$I$1314*$G$1279*$E$1207*$C$1053*$A$1008*$M$1320*$O$1325*Q1323</f>
        <v>0</v>
      </c>
      <c r="W1322" s="42">
        <f>$K$1326+$I$1315+$G$1280+$E$1208+$C$1054+$A$1009+$M$1321+$O$1326+Q1324</f>
        <v>86557.321050605635</v>
      </c>
      <c r="X1322">
        <f>u_ChronicResp</f>
        <v>0.53465956747782661</v>
      </c>
      <c r="Z1322" s="42">
        <f t="shared" si="122"/>
        <v>0</v>
      </c>
      <c r="AA1322" s="6">
        <f t="shared" si="121"/>
        <v>0</v>
      </c>
    </row>
    <row r="1323" spans="9:27" x14ac:dyDescent="0.3">
      <c r="Q1323" s="47">
        <f>RDS2CLD_3-(RDS2CLD_3*noHypo2CI_3)</f>
        <v>0.34905610687022898</v>
      </c>
      <c r="R1323" s="47"/>
      <c r="T1323" s="80"/>
      <c r="V1323">
        <v>0</v>
      </c>
      <c r="Z1323" s="42">
        <f t="shared" si="122"/>
        <v>0</v>
      </c>
      <c r="AA1323" s="6">
        <f t="shared" si="121"/>
        <v>0</v>
      </c>
    </row>
    <row r="1324" spans="9:27" x14ac:dyDescent="0.3">
      <c r="K1324" s="19" t="s">
        <v>37</v>
      </c>
      <c r="M1324" s="42"/>
      <c r="O1324" s="19" t="s">
        <v>371</v>
      </c>
      <c r="Q1324" s="48">
        <f>c_lung+c_hosp_fu+c_CSG</f>
        <v>54529.510902399998</v>
      </c>
      <c r="R1324" s="48"/>
      <c r="T1324" s="80"/>
      <c r="Z1324" s="42">
        <f t="shared" si="122"/>
        <v>0</v>
      </c>
      <c r="AA1324" s="6">
        <f t="shared" si="121"/>
        <v>0</v>
      </c>
    </row>
    <row r="1325" spans="9:27" x14ac:dyDescent="0.3">
      <c r="K1325" s="47">
        <f>AGA_term_2s_3</f>
        <v>0.99376666666666669</v>
      </c>
      <c r="O1325" s="47">
        <f>AGA_term_2normoglycaemia_3</f>
        <v>1</v>
      </c>
      <c r="Q1325" s="19" t="s">
        <v>226</v>
      </c>
      <c r="R1325" s="19"/>
      <c r="T1325" s="80"/>
      <c r="U1325">
        <f>$K$1325*$I$1314*$G$1279*$E$1207*$C$1053*$A$1008*$M$1320*$O$1325*Q1326</f>
        <v>0</v>
      </c>
      <c r="W1325" s="42">
        <f>$K$1326+$I$1315+$G$1280+$E$1208+$C$1054+$A$1009+$M$1321+$O$1326+Q1327</f>
        <v>47793.810148205637</v>
      </c>
      <c r="X1325">
        <f>u_CongnitiveImpairement</f>
        <v>17.270393127285455</v>
      </c>
      <c r="Z1325" s="42">
        <f t="shared" si="122"/>
        <v>0</v>
      </c>
      <c r="AA1325" s="6">
        <f t="shared" si="121"/>
        <v>0</v>
      </c>
    </row>
    <row r="1326" spans="9:27" x14ac:dyDescent="0.3">
      <c r="K1326" s="48"/>
      <c r="O1326" s="48"/>
      <c r="Q1326" s="47">
        <f>noHypo2CI_3-(RDS2CLD_3*noHypo2CI_3)</f>
        <v>2.1141683406990762E-2</v>
      </c>
      <c r="R1326" s="47"/>
      <c r="T1326" s="80"/>
      <c r="V1326">
        <v>0</v>
      </c>
      <c r="Z1326" s="42">
        <f t="shared" si="122"/>
        <v>0</v>
      </c>
      <c r="AA1326" s="6">
        <f t="shared" si="121"/>
        <v>0</v>
      </c>
    </row>
    <row r="1327" spans="9:27" x14ac:dyDescent="0.3">
      <c r="Q1327" s="48">
        <f>c_cog+c_hosp_fu+c_CSG</f>
        <v>15766</v>
      </c>
      <c r="R1327" s="48"/>
      <c r="T1327" s="80"/>
      <c r="Z1327" s="42">
        <f t="shared" si="122"/>
        <v>0</v>
      </c>
      <c r="AA1327" s="6">
        <f t="shared" si="121"/>
        <v>0</v>
      </c>
    </row>
    <row r="1328" spans="9:27" x14ac:dyDescent="0.3">
      <c r="Q1328" s="19" t="s">
        <v>369</v>
      </c>
      <c r="R1328" s="19"/>
      <c r="T1328" s="80"/>
      <c r="U1328">
        <f>$K$1325*$I$1314*$G$1279*$E$1207*$C$1053*$A$1008*$M$1320*$O$1325*Q1329</f>
        <v>0</v>
      </c>
      <c r="W1328" s="42">
        <f>$K$1326+$I$1315+$G$1280+$E$1208+$C$1054+$A$1009+$M$1321+$O$1326+Q1330</f>
        <v>90376.321050605635</v>
      </c>
      <c r="X1328">
        <f>u_ChronicResp+u_CongnitiveImpairement</f>
        <v>17.805052694763283</v>
      </c>
      <c r="Z1328" s="42">
        <f t="shared" si="122"/>
        <v>0</v>
      </c>
      <c r="AA1328" s="6">
        <f t="shared" si="121"/>
        <v>0</v>
      </c>
    </row>
    <row r="1329" spans="3:27" x14ac:dyDescent="0.3">
      <c r="Q1329" s="47">
        <f>RDS2CLD_3*noHypo2CI_3</f>
        <v>1.1943893129770991E-2</v>
      </c>
      <c r="R1329" s="47"/>
      <c r="T1329" s="80"/>
      <c r="V1329">
        <v>0</v>
      </c>
      <c r="Z1329" s="42">
        <f t="shared" si="122"/>
        <v>0</v>
      </c>
      <c r="AA1329" s="6">
        <f t="shared" si="121"/>
        <v>0</v>
      </c>
    </row>
    <row r="1330" spans="3:27" x14ac:dyDescent="0.3">
      <c r="Q1330" s="48">
        <f>c_cog+c_lung+c_hosp_fu+c_CSG</f>
        <v>58348.510902399998</v>
      </c>
      <c r="R1330" s="48"/>
      <c r="T1330" s="80"/>
      <c r="Z1330" s="42">
        <f t="shared" si="122"/>
        <v>0</v>
      </c>
      <c r="AA1330" s="6">
        <f t="shared" si="121"/>
        <v>0</v>
      </c>
    </row>
    <row r="1331" spans="3:27" x14ac:dyDescent="0.3">
      <c r="Q1331" s="19" t="s">
        <v>370</v>
      </c>
      <c r="R1331" s="19"/>
      <c r="T1331" s="80"/>
      <c r="U1331">
        <f>$K$1325*$I$1314*$G$1279*$E$1207*$C$1053*$A$1008*$M$1320*$O$1325*Q1332</f>
        <v>0</v>
      </c>
      <c r="W1331" s="42">
        <f>$K$1326+$I$1315+$G$1280+$E$1208+$C$1054+$A$1009+$M$1321+$O$1326+Q1333</f>
        <v>46430.810148205637</v>
      </c>
      <c r="X1331">
        <f>u_Healthy</f>
        <v>0</v>
      </c>
      <c r="Z1331" s="42">
        <f t="shared" si="122"/>
        <v>0</v>
      </c>
      <c r="AA1331" s="6">
        <f t="shared" si="121"/>
        <v>0</v>
      </c>
    </row>
    <row r="1332" spans="3:27" x14ac:dyDescent="0.3">
      <c r="C1332" s="42"/>
      <c r="Q1332" s="47">
        <f>1-Q1329-Q1326-Q1323</f>
        <v>0.61785831659300938</v>
      </c>
      <c r="R1332" s="47"/>
      <c r="T1332" s="80"/>
      <c r="V1332">
        <v>0</v>
      </c>
      <c r="Z1332" s="42">
        <f t="shared" si="122"/>
        <v>0</v>
      </c>
      <c r="AA1332" s="6">
        <f t="shared" si="121"/>
        <v>0</v>
      </c>
    </row>
    <row r="1333" spans="3:27" x14ac:dyDescent="0.3">
      <c r="Q1333" s="48">
        <f>c_clinic_fu+c_CSG</f>
        <v>14403</v>
      </c>
      <c r="R1333" s="48"/>
      <c r="T1333" s="80"/>
      <c r="Z1333" s="42">
        <f t="shared" si="122"/>
        <v>0</v>
      </c>
      <c r="AA1333" s="6">
        <f t="shared" si="121"/>
        <v>0</v>
      </c>
    </row>
    <row r="1334" spans="3:27" x14ac:dyDescent="0.3">
      <c r="Q1334" s="42"/>
      <c r="R1334" s="42"/>
      <c r="T1334" s="80"/>
      <c r="Z1334" s="42">
        <f t="shared" si="122"/>
        <v>0</v>
      </c>
      <c r="AA1334" s="6">
        <f t="shared" si="121"/>
        <v>0</v>
      </c>
    </row>
    <row r="1335" spans="3:27" x14ac:dyDescent="0.3">
      <c r="Q1335" s="19" t="s">
        <v>368</v>
      </c>
      <c r="R1335" s="19"/>
      <c r="T1335" s="80"/>
      <c r="U1335">
        <f>$K$1325*$I$1314*$G$1279*$E$1207*$C$1053*$A$1008*$M$1340*$O$1338*Q1336</f>
        <v>0</v>
      </c>
      <c r="W1335" s="42">
        <f>$K$1326+$I$1315+$G$1280+$E$1208+$C$1054+$A$1009+$M$1341+$O$1339+Q1337</f>
        <v>58897.971302399994</v>
      </c>
      <c r="X1335">
        <f>u_ChronicResp</f>
        <v>0.53465956747782661</v>
      </c>
      <c r="Z1335" s="42">
        <f t="shared" si="122"/>
        <v>0</v>
      </c>
      <c r="AA1335" s="6">
        <f t="shared" si="121"/>
        <v>0</v>
      </c>
    </row>
    <row r="1336" spans="3:27" x14ac:dyDescent="0.3">
      <c r="Q1336" s="47">
        <f>noRDS2CLD_3-(Hypo2CI_3*noRDS2CLD_3)</f>
        <v>0</v>
      </c>
      <c r="R1336" s="47"/>
      <c r="T1336" s="80"/>
      <c r="V1336">
        <v>0</v>
      </c>
      <c r="Z1336" s="42">
        <f t="shared" si="122"/>
        <v>0</v>
      </c>
      <c r="AA1336" s="6">
        <f t="shared" si="121"/>
        <v>0</v>
      </c>
    </row>
    <row r="1337" spans="3:27" x14ac:dyDescent="0.3">
      <c r="O1337" s="19" t="s">
        <v>161</v>
      </c>
      <c r="Q1337" s="48">
        <f>c_lung+c_hosp_fu+c_CSG</f>
        <v>54529.510902399998</v>
      </c>
      <c r="R1337" s="48"/>
      <c r="T1337" s="80"/>
      <c r="Z1337" s="42">
        <f t="shared" si="122"/>
        <v>0</v>
      </c>
      <c r="AA1337" s="6">
        <f t="shared" si="121"/>
        <v>0</v>
      </c>
    </row>
    <row r="1338" spans="3:27" x14ac:dyDescent="0.3">
      <c r="O1338" s="47">
        <f>AGA_term_2hypoglycaemia_3</f>
        <v>0</v>
      </c>
      <c r="Q1338" s="19" t="s">
        <v>226</v>
      </c>
      <c r="R1338" s="19"/>
      <c r="T1338" s="80"/>
      <c r="U1338">
        <f>$K$1325*$I$1314*$G$1279*$E$1207*$C$1053*$A$1008*$M$1340*$O$1338*Q1339</f>
        <v>0</v>
      </c>
      <c r="W1338" s="42">
        <f>$K$1326+$I$1315+$G$1280+$E$1208+$C$1054+$A$1009+$M$1341+$O$1339+Q1340</f>
        <v>20134.4604</v>
      </c>
      <c r="X1338">
        <f>u_CongnitiveImpairement</f>
        <v>17.270393127285455</v>
      </c>
      <c r="Z1338" s="42">
        <f t="shared" si="122"/>
        <v>0</v>
      </c>
      <c r="AA1338" s="6">
        <f t="shared" si="121"/>
        <v>0</v>
      </c>
    </row>
    <row r="1339" spans="3:27" x14ac:dyDescent="0.3">
      <c r="M1339" s="19" t="s">
        <v>203</v>
      </c>
      <c r="O1339" s="48">
        <f>c_hypo</f>
        <v>2936.2604000000001</v>
      </c>
      <c r="Q1339" s="47">
        <f>Hypo2CI_3-(Hypo2CI_3*noRDS2CLD_3)</f>
        <v>5.1333333333333335E-2</v>
      </c>
      <c r="R1339" s="47"/>
      <c r="T1339" s="80"/>
      <c r="V1339">
        <v>0</v>
      </c>
      <c r="Z1339" s="42">
        <f t="shared" si="122"/>
        <v>0</v>
      </c>
      <c r="AA1339" s="6">
        <f t="shared" si="121"/>
        <v>0</v>
      </c>
    </row>
    <row r="1340" spans="3:27" x14ac:dyDescent="0.3">
      <c r="M1340" s="47">
        <f>S_term_2noRDS_3</f>
        <v>1</v>
      </c>
      <c r="Q1340" s="48">
        <f>c_cog+c_hosp_fu+c_CSG</f>
        <v>15766</v>
      </c>
      <c r="R1340" s="48"/>
      <c r="T1340" s="80"/>
      <c r="Z1340" s="42">
        <f t="shared" si="122"/>
        <v>0</v>
      </c>
      <c r="AA1340" s="6">
        <f t="shared" si="121"/>
        <v>0</v>
      </c>
    </row>
    <row r="1341" spans="3:27" x14ac:dyDescent="0.3">
      <c r="M1341" s="48"/>
      <c r="O1341" s="42"/>
      <c r="Q1341" s="19" t="s">
        <v>369</v>
      </c>
      <c r="R1341" s="19"/>
      <c r="T1341" s="80"/>
      <c r="U1341">
        <f>$K$1325*$I$1314*$G$1279*$E$1207*$C$1053*$A$1008*$M$1340*$O$1338*Q1342</f>
        <v>0</v>
      </c>
      <c r="W1341" s="42">
        <f>$K$1326+$I$1315+$G$1280+$E$1208+$C$1054+$A$1009+$M$1341+$O$1339+Q1343</f>
        <v>62716.971302399994</v>
      </c>
      <c r="X1341">
        <f>u_ChronicResp+u_CongnitiveImpairement</f>
        <v>17.805052694763283</v>
      </c>
      <c r="Z1341" s="42">
        <f t="shared" si="122"/>
        <v>0</v>
      </c>
      <c r="AA1341" s="6">
        <f t="shared" si="121"/>
        <v>0</v>
      </c>
    </row>
    <row r="1342" spans="3:27" x14ac:dyDescent="0.3">
      <c r="M1342" s="42"/>
      <c r="Q1342" s="47">
        <f>noRDS2CLD_3*Hypo2CI_3</f>
        <v>0</v>
      </c>
      <c r="R1342" s="47"/>
      <c r="T1342" s="80"/>
      <c r="V1342">
        <v>0</v>
      </c>
      <c r="Z1342" s="42">
        <f t="shared" si="122"/>
        <v>0</v>
      </c>
      <c r="AA1342" s="6">
        <f t="shared" si="121"/>
        <v>0</v>
      </c>
    </row>
    <row r="1343" spans="3:27" x14ac:dyDescent="0.3">
      <c r="M1343" s="42"/>
      <c r="Q1343" s="48">
        <f>c_lung+c_cog+c_hosp_fu+c_CSG</f>
        <v>58348.510902399998</v>
      </c>
      <c r="R1343" s="48"/>
      <c r="T1343" s="80"/>
      <c r="Z1343" s="42">
        <f t="shared" si="122"/>
        <v>0</v>
      </c>
      <c r="AA1343" s="6">
        <f t="shared" si="121"/>
        <v>0</v>
      </c>
    </row>
    <row r="1344" spans="3:27" x14ac:dyDescent="0.3">
      <c r="M1344" s="42"/>
      <c r="Q1344" s="19" t="s">
        <v>370</v>
      </c>
      <c r="R1344" s="19"/>
      <c r="T1344" s="80"/>
      <c r="U1344">
        <f>$K$1325*$I$1314*$G$1279*$E$1207*$C$1053*$A$1008*$M$1340*$O$1338*Q1345</f>
        <v>0</v>
      </c>
      <c r="W1344" s="42">
        <f>$K$1326+$I$1315+$G$1280+$E$1208+$C$1054+$A$1009+$M$1341+$O$1339+Q1346</f>
        <v>18771.4604</v>
      </c>
      <c r="X1344">
        <f>u_Healthy</f>
        <v>0</v>
      </c>
      <c r="Z1344" s="42">
        <f t="shared" si="122"/>
        <v>0</v>
      </c>
      <c r="AA1344" s="6">
        <f t="shared" si="121"/>
        <v>0</v>
      </c>
    </row>
    <row r="1345" spans="1:27" x14ac:dyDescent="0.3">
      <c r="M1345" s="42"/>
      <c r="O1345" s="42"/>
      <c r="Q1345" s="47">
        <f>1-Q1342-Q1339-Q1336</f>
        <v>0.94866666666666666</v>
      </c>
      <c r="R1345" s="47"/>
      <c r="T1345" s="80"/>
      <c r="V1345">
        <v>0</v>
      </c>
      <c r="Z1345" s="42">
        <f t="shared" si="122"/>
        <v>0</v>
      </c>
      <c r="AA1345" s="6">
        <f t="shared" si="121"/>
        <v>0</v>
      </c>
    </row>
    <row r="1346" spans="1:27" x14ac:dyDescent="0.3">
      <c r="M1346" s="42"/>
      <c r="Q1346" s="48">
        <f>c_clinic_fu+c_CSG</f>
        <v>14403</v>
      </c>
      <c r="R1346" s="48"/>
      <c r="S1346" s="96"/>
      <c r="T1346" s="80"/>
      <c r="Z1346" s="42">
        <f t="shared" si="122"/>
        <v>0</v>
      </c>
      <c r="AA1346" s="6">
        <f t="shared" si="121"/>
        <v>0</v>
      </c>
    </row>
    <row r="1347" spans="1:27" x14ac:dyDescent="0.3">
      <c r="M1347" s="42"/>
      <c r="Q1347" s="42"/>
      <c r="R1347" s="42"/>
      <c r="T1347" s="80"/>
      <c r="Z1347" s="42">
        <f t="shared" si="122"/>
        <v>0</v>
      </c>
      <c r="AA1347" s="6">
        <f t="shared" si="121"/>
        <v>0</v>
      </c>
    </row>
    <row r="1348" spans="1:27" x14ac:dyDescent="0.3">
      <c r="M1348" s="42"/>
      <c r="Q1348" s="19" t="s">
        <v>368</v>
      </c>
      <c r="R1348" s="19"/>
      <c r="T1348" s="80"/>
      <c r="U1348">
        <f>$K$1325*$I$1314*$G$1279*$E$1207*$C$1053*$A$1008*$M$1340*$O$1352*Q1349</f>
        <v>0</v>
      </c>
      <c r="W1348" s="42">
        <f>$K$1326+$I$1315+$G$1280+$E$1208+$C$1054+$A$1009+$M$1341+$O$1353+Q1350</f>
        <v>57990.971302399994</v>
      </c>
      <c r="X1348">
        <f>u_ChronicResp</f>
        <v>0.53465956747782661</v>
      </c>
      <c r="Z1348" s="42">
        <f t="shared" si="122"/>
        <v>0</v>
      </c>
      <c r="AA1348" s="6">
        <f t="shared" si="121"/>
        <v>0</v>
      </c>
    </row>
    <row r="1349" spans="1:27" x14ac:dyDescent="0.3">
      <c r="M1349" s="42"/>
      <c r="Q1349" s="47">
        <f>noRDS2CLD_3-(noRDS2CLD_3*noHypo2CI_3)</f>
        <v>0</v>
      </c>
      <c r="R1349" s="47"/>
      <c r="T1349" s="80"/>
      <c r="V1349">
        <v>0</v>
      </c>
      <c r="Z1349" s="42">
        <f t="shared" si="122"/>
        <v>0</v>
      </c>
      <c r="AA1349" s="6">
        <f t="shared" si="121"/>
        <v>0</v>
      </c>
    </row>
    <row r="1350" spans="1:27" x14ac:dyDescent="0.3">
      <c r="M1350" s="42"/>
      <c r="Q1350" s="48">
        <f>c_lung+c_hypo+c_CSG</f>
        <v>56558.771302399997</v>
      </c>
      <c r="R1350" s="48"/>
      <c r="T1350" s="80"/>
      <c r="Z1350" s="42">
        <f t="shared" si="122"/>
        <v>0</v>
      </c>
      <c r="AA1350" s="6">
        <f t="shared" si="121"/>
        <v>0</v>
      </c>
    </row>
    <row r="1351" spans="1:27" x14ac:dyDescent="0.3">
      <c r="M1351" s="42"/>
      <c r="O1351" s="19" t="s">
        <v>371</v>
      </c>
      <c r="Q1351" s="19" t="s">
        <v>226</v>
      </c>
      <c r="R1351" s="19"/>
      <c r="T1351" s="80"/>
      <c r="U1351">
        <f>$K$1325*$I$1314*$G$1279*$E$1207*$C$1053*$A$1008*$M$1340*$O$1352*Q1352</f>
        <v>1.1717724943868392E-2</v>
      </c>
      <c r="V1351">
        <v>1.1717727309838824E-2</v>
      </c>
      <c r="W1351" s="42">
        <f>$K$1326+$I$1315+$G$1280+$E$1208+$C$1054+$A$1009+$M$1341+$O$1353+Q1353</f>
        <v>17198.2</v>
      </c>
      <c r="X1351">
        <f>u_CongnitiveImpairement</f>
        <v>17.270393127285455</v>
      </c>
      <c r="Z1351" s="42">
        <f t="shared" si="122"/>
        <v>201.52377712963738</v>
      </c>
      <c r="AA1351" s="6">
        <f t="shared" si="121"/>
        <v>0.20236971633800602</v>
      </c>
    </row>
    <row r="1352" spans="1:27" x14ac:dyDescent="0.3">
      <c r="M1352" s="42"/>
      <c r="O1352" s="47">
        <f>AGA_term_2normoglycaemia_3</f>
        <v>1</v>
      </c>
      <c r="Q1352" s="47">
        <f>noHypo2CI_3</f>
        <v>3.3085576536761752E-2</v>
      </c>
      <c r="R1352" s="47"/>
      <c r="T1352" s="80"/>
      <c r="Z1352" s="42">
        <f t="shared" si="122"/>
        <v>0</v>
      </c>
      <c r="AA1352" s="6">
        <f t="shared" si="121"/>
        <v>0</v>
      </c>
    </row>
    <row r="1353" spans="1:27" x14ac:dyDescent="0.3">
      <c r="M1353" s="42"/>
      <c r="O1353" s="48"/>
      <c r="Q1353" s="48">
        <f>c_cog+c_hosp_fu+c_CSG</f>
        <v>15766</v>
      </c>
      <c r="R1353" s="48"/>
      <c r="T1353" s="80"/>
      <c r="Z1353" s="42">
        <f t="shared" si="122"/>
        <v>0</v>
      </c>
      <c r="AA1353" s="6">
        <f t="shared" si="121"/>
        <v>0</v>
      </c>
    </row>
    <row r="1354" spans="1:27" x14ac:dyDescent="0.3">
      <c r="G1354" s="42"/>
      <c r="M1354" s="42"/>
      <c r="Q1354" s="19" t="s">
        <v>369</v>
      </c>
      <c r="R1354" s="19"/>
      <c r="T1354" s="80"/>
      <c r="U1354">
        <f>$K$1325*$I$1314*$G$1279*$E$1207*$C$1053*$A$1008*$M$1340*$O$1352*Q1355</f>
        <v>0</v>
      </c>
      <c r="W1354" s="42">
        <f>$K$1326+$I$1315+$G$1280+$E$1208+$C$1054+$A$1009+$M$1341+$O$1353+Q1356</f>
        <v>59780.710902399995</v>
      </c>
      <c r="X1354">
        <f>u_ChronicResp+u_CongnitiveImpairement</f>
        <v>17.805052694763283</v>
      </c>
      <c r="Z1354" s="42">
        <f t="shared" si="122"/>
        <v>0</v>
      </c>
      <c r="AA1354" s="6">
        <f t="shared" si="121"/>
        <v>0</v>
      </c>
    </row>
    <row r="1355" spans="1:27" x14ac:dyDescent="0.3">
      <c r="Q1355" s="47">
        <f>noRDS2CLD_3*noHypo2CI_3</f>
        <v>0</v>
      </c>
      <c r="R1355" s="47"/>
      <c r="T1355" s="80"/>
      <c r="V1355">
        <v>0</v>
      </c>
      <c r="Z1355" s="42">
        <f t="shared" si="122"/>
        <v>0</v>
      </c>
      <c r="AA1355" s="6">
        <f t="shared" si="121"/>
        <v>0</v>
      </c>
    </row>
    <row r="1356" spans="1:27" x14ac:dyDescent="0.3">
      <c r="Q1356" s="48">
        <f>c_cog+c_lung+c_hosp_fu+c_CSG</f>
        <v>58348.510902399998</v>
      </c>
      <c r="R1356" s="48"/>
      <c r="T1356" s="80"/>
      <c r="Z1356" s="42">
        <f t="shared" si="122"/>
        <v>0</v>
      </c>
      <c r="AA1356" s="6">
        <f t="shared" si="121"/>
        <v>0</v>
      </c>
    </row>
    <row r="1357" spans="1:27" x14ac:dyDescent="0.3">
      <c r="M1357" s="42"/>
      <c r="Q1357" s="19" t="s">
        <v>370</v>
      </c>
      <c r="R1357" s="19"/>
      <c r="T1357" s="80"/>
      <c r="U1357">
        <f>$K$1325*$I$1314*$G$1279*$E$1207*$C$1053*$A$1008*$M$1340*$O$1352*Q1358</f>
        <v>0.34244642059697472</v>
      </c>
      <c r="V1357">
        <v>0.34244648974163461</v>
      </c>
      <c r="W1357" s="42">
        <f>$K$1326+$I$1315+$G$1280+$E$1208+$C$1054+$A$1009+$M$1341+$O$1353+Q1359</f>
        <v>15835.2</v>
      </c>
      <c r="X1357">
        <f>u_Healthy</f>
        <v>0</v>
      </c>
      <c r="Z1357" s="42">
        <f t="shared" si="122"/>
        <v>5422.7075594372145</v>
      </c>
      <c r="AA1357" s="6">
        <f t="shared" ref="AA1357:AA1420" si="123">U1357*X1357</f>
        <v>0</v>
      </c>
    </row>
    <row r="1358" spans="1:27" x14ac:dyDescent="0.3">
      <c r="M1358" s="42"/>
      <c r="Q1358" s="47">
        <f>1-Q1355-Q1352-Q1349</f>
        <v>0.9669144234632383</v>
      </c>
      <c r="R1358" s="47"/>
      <c r="T1358" s="80"/>
      <c r="Z1358" s="42">
        <f t="shared" si="122"/>
        <v>0</v>
      </c>
      <c r="AA1358" s="6">
        <f t="shared" si="123"/>
        <v>0</v>
      </c>
    </row>
    <row r="1359" spans="1:27" x14ac:dyDescent="0.3">
      <c r="M1359" s="42"/>
      <c r="Q1359" s="48">
        <f>c_clinic_fu+c_CSG</f>
        <v>14403</v>
      </c>
      <c r="R1359" s="48"/>
      <c r="S1359" s="97"/>
      <c r="T1359" s="80"/>
      <c r="Z1359" s="42">
        <f t="shared" ref="Z1359:Z1422" si="124">U1359*W1359</f>
        <v>0</v>
      </c>
      <c r="AA1359" s="6">
        <f t="shared" si="123"/>
        <v>0</v>
      </c>
    </row>
    <row r="1360" spans="1:27" x14ac:dyDescent="0.3">
      <c r="A1360" s="83"/>
      <c r="B1360" s="83"/>
      <c r="C1360" s="83"/>
      <c r="D1360" s="83"/>
      <c r="E1360" s="83"/>
      <c r="F1360" s="83"/>
      <c r="G1360" s="83"/>
      <c r="H1360" s="83"/>
      <c r="I1360" s="83"/>
      <c r="J1360" s="83"/>
      <c r="K1360" s="83"/>
      <c r="L1360" s="83"/>
      <c r="M1360" s="85"/>
      <c r="N1360" s="83"/>
      <c r="O1360" s="83"/>
      <c r="P1360" s="83"/>
      <c r="Q1360" s="85"/>
      <c r="R1360" s="42"/>
      <c r="T1360" s="80"/>
      <c r="Z1360" s="42">
        <f t="shared" si="124"/>
        <v>0</v>
      </c>
      <c r="AA1360" s="6">
        <f t="shared" si="123"/>
        <v>0</v>
      </c>
    </row>
    <row r="1361" spans="3:27" x14ac:dyDescent="0.3">
      <c r="C1361" s="19" t="s">
        <v>3</v>
      </c>
      <c r="D1361" s="19"/>
      <c r="E1361" s="19"/>
      <c r="F1361" s="19"/>
      <c r="G1361" s="19"/>
      <c r="H1361" s="19"/>
      <c r="I1361" s="19"/>
      <c r="J1361" s="19"/>
      <c r="K1361" s="19"/>
      <c r="L1361" s="19"/>
      <c r="M1361" s="19"/>
      <c r="N1361" s="19"/>
      <c r="O1361" s="19"/>
      <c r="P1361" s="19"/>
      <c r="Q1361" s="19"/>
      <c r="R1361" s="19"/>
      <c r="T1361" s="80"/>
      <c r="U1361">
        <f>C1362*A1460</f>
        <v>5.3341426403641888E-3</v>
      </c>
      <c r="V1361">
        <v>5.3341426403641888E-3</v>
      </c>
      <c r="W1361" s="42">
        <f>C1363+A1461</f>
        <v>1792</v>
      </c>
      <c r="X1361">
        <f>u_Death</f>
        <v>19.181538114427529</v>
      </c>
      <c r="Z1361" s="42">
        <f t="shared" si="124"/>
        <v>9.5587836115326255</v>
      </c>
      <c r="AA1361" s="6">
        <f t="shared" si="123"/>
        <v>0.10231706036393878</v>
      </c>
    </row>
    <row r="1362" spans="3:27" x14ac:dyDescent="0.3">
      <c r="C1362" s="47">
        <f>NoANC2SB_4</f>
        <v>3.1562974203338388E-2</v>
      </c>
      <c r="T1362" s="80"/>
      <c r="Z1362" s="42">
        <f t="shared" si="124"/>
        <v>0</v>
      </c>
      <c r="AA1362" s="6">
        <f t="shared" si="123"/>
        <v>0</v>
      </c>
    </row>
    <row r="1363" spans="3:27" x14ac:dyDescent="0.3">
      <c r="C1363" s="48">
        <f>c_SB</f>
        <v>1792</v>
      </c>
      <c r="T1363" s="80"/>
      <c r="Z1363" s="42">
        <f t="shared" si="124"/>
        <v>0</v>
      </c>
      <c r="AA1363" s="6">
        <f t="shared" si="123"/>
        <v>0</v>
      </c>
    </row>
    <row r="1364" spans="3:27" x14ac:dyDescent="0.3">
      <c r="C1364" s="48"/>
      <c r="T1364" s="80"/>
      <c r="Z1364" s="42">
        <f t="shared" si="124"/>
        <v>0</v>
      </c>
      <c r="AA1364" s="6">
        <f t="shared" si="123"/>
        <v>0</v>
      </c>
    </row>
    <row r="1365" spans="3:27" x14ac:dyDescent="0.3">
      <c r="K1365" s="19" t="s">
        <v>165</v>
      </c>
      <c r="L1365" s="19"/>
      <c r="M1365" s="19"/>
      <c r="N1365" s="19"/>
      <c r="O1365" s="19"/>
      <c r="P1365" s="19"/>
      <c r="Q1365" s="19"/>
      <c r="R1365" s="19"/>
      <c r="T1365" s="80"/>
      <c r="U1365">
        <f>$K$1366*$I$1374*$G$1398*$E$1436*$C$1505*$A$1460</f>
        <v>7.2182412917313988E-4</v>
      </c>
      <c r="V1365">
        <v>7.2182412917313988E-4</v>
      </c>
      <c r="W1365" s="42">
        <f>$K$1367+$I$1375+$G$1399+$E$1437+$C$1506+$A$1461</f>
        <v>257071.45980810808</v>
      </c>
      <c r="X1365">
        <f>u_Death</f>
        <v>19.181538114427529</v>
      </c>
      <c r="Z1365" s="42">
        <f t="shared" si="124"/>
        <v>185.56038261125545</v>
      </c>
      <c r="AA1365" s="6">
        <f t="shared" si="123"/>
        <v>1.3845697045648043E-2</v>
      </c>
    </row>
    <row r="1366" spans="3:27" x14ac:dyDescent="0.3">
      <c r="K1366" s="47">
        <f>SGA_prem_2d_4</f>
        <v>8.4066666666666665E-2</v>
      </c>
      <c r="T1366" s="80"/>
      <c r="Z1366" s="42">
        <f t="shared" si="124"/>
        <v>0</v>
      </c>
      <c r="AA1366" s="6">
        <f t="shared" si="123"/>
        <v>0</v>
      </c>
    </row>
    <row r="1367" spans="3:27" x14ac:dyDescent="0.3">
      <c r="K1367" s="48">
        <f>c_SB</f>
        <v>1792</v>
      </c>
      <c r="T1367" s="80"/>
      <c r="Z1367" s="42">
        <f t="shared" si="124"/>
        <v>0</v>
      </c>
      <c r="AA1367" s="6">
        <f t="shared" si="123"/>
        <v>0</v>
      </c>
    </row>
    <row r="1368" spans="3:27" x14ac:dyDescent="0.3">
      <c r="T1368" s="80"/>
      <c r="Z1368" s="42">
        <f t="shared" si="124"/>
        <v>0</v>
      </c>
      <c r="AA1368" s="6">
        <f t="shared" si="123"/>
        <v>0</v>
      </c>
    </row>
    <row r="1369" spans="3:27" x14ac:dyDescent="0.3">
      <c r="Q1369" s="19" t="s">
        <v>368</v>
      </c>
      <c r="R1369" s="19"/>
      <c r="T1369" s="80"/>
      <c r="U1369">
        <f>$K$1385*$I$1374*$G$1398*$E$1436*$C$1505*$A$1460*$M$1380*$O$1375*Q1370</f>
        <v>2.6118730470040626E-4</v>
      </c>
      <c r="V1369">
        <v>2.6118730470040626E-4</v>
      </c>
      <c r="W1369" s="42">
        <f>$K$1386+$I$1375+$G$1399+$E$1437+$C$1506+$A$1461+$M$1381+$O$1376+Q1371</f>
        <v>343340.84125871374</v>
      </c>
      <c r="X1369">
        <f>u_ChronicResp</f>
        <v>0.53465956747782661</v>
      </c>
      <c r="Z1369" s="42">
        <f t="shared" si="124"/>
        <v>89.676268921933485</v>
      </c>
      <c r="AA1369" s="6">
        <f t="shared" si="123"/>
        <v>1.3964629136181851E-4</v>
      </c>
    </row>
    <row r="1370" spans="3:27" x14ac:dyDescent="0.3">
      <c r="Q1370" s="47">
        <f>RDS2CLD_4-(Hypo2CI_4*RDS2CLD_4)</f>
        <v>0.34246866666666664</v>
      </c>
      <c r="R1370" s="47"/>
      <c r="T1370" s="80"/>
      <c r="Z1370" s="42">
        <f t="shared" si="124"/>
        <v>0</v>
      </c>
      <c r="AA1370" s="6">
        <f t="shared" si="123"/>
        <v>0</v>
      </c>
    </row>
    <row r="1371" spans="3:27" x14ac:dyDescent="0.3">
      <c r="Q1371" s="48">
        <f>c_lung+c_hosp_fu+c_CSG</f>
        <v>54529.510902399998</v>
      </c>
      <c r="R1371" s="48"/>
      <c r="T1371" s="80"/>
      <c r="Z1371" s="42">
        <f t="shared" si="124"/>
        <v>0</v>
      </c>
      <c r="AA1371" s="6">
        <f t="shared" si="123"/>
        <v>0</v>
      </c>
    </row>
    <row r="1372" spans="3:27" x14ac:dyDescent="0.3">
      <c r="Q1372" s="19" t="s">
        <v>226</v>
      </c>
      <c r="R1372" s="19"/>
      <c r="T1372" s="80"/>
      <c r="U1372">
        <f>$K$1385*$I$1374*$G$1398*$E$1436*$C$1505*$A$1460*$M$1380*$O$1375*Q1373</f>
        <v>2.501678781937051E-5</v>
      </c>
      <c r="V1372">
        <v>2.501678781937051E-5</v>
      </c>
      <c r="W1372" s="42">
        <f>$K$1386+$I$1375+$G$1399+$E$1437+$C$1506+$A$1461+$M$1381+$O$1376+Q1374</f>
        <v>304577.33035631373</v>
      </c>
      <c r="X1372">
        <f>u_CongnitiveImpairement</f>
        <v>17.270393127285455</v>
      </c>
      <c r="Z1372" s="42">
        <f t="shared" si="124"/>
        <v>7.6195464481142174</v>
      </c>
      <c r="AA1372" s="6">
        <f t="shared" si="123"/>
        <v>4.3204976042241497E-4</v>
      </c>
    </row>
    <row r="1373" spans="3:27" x14ac:dyDescent="0.3">
      <c r="I1373" s="19" t="s">
        <v>164</v>
      </c>
      <c r="Q1373" s="47">
        <f>Hypo2CI_4-(Hypo2CI_4*RDS2CLD_4)</f>
        <v>3.2801999999999998E-2</v>
      </c>
      <c r="R1373" s="47"/>
      <c r="T1373" s="80"/>
      <c r="Z1373" s="42">
        <f t="shared" si="124"/>
        <v>0</v>
      </c>
      <c r="AA1373" s="6">
        <f t="shared" si="123"/>
        <v>0</v>
      </c>
    </row>
    <row r="1374" spans="3:27" x14ac:dyDescent="0.3">
      <c r="I1374" s="47">
        <f>LBW_prem_2SGA_4</f>
        <v>0.44409547738693467</v>
      </c>
      <c r="O1374" s="19" t="s">
        <v>161</v>
      </c>
      <c r="Q1374" s="48">
        <f>c_cog+c_hosp_fu+c_CSG</f>
        <v>15766</v>
      </c>
      <c r="R1374" s="48"/>
      <c r="T1374" s="80"/>
      <c r="Z1374" s="42">
        <f t="shared" si="124"/>
        <v>0</v>
      </c>
      <c r="AA1374" s="6">
        <f t="shared" si="123"/>
        <v>0</v>
      </c>
    </row>
    <row r="1375" spans="3:27" x14ac:dyDescent="0.3">
      <c r="I1375" s="48"/>
      <c r="O1375" s="47">
        <f>SGA_prem_2hypoglycaemia_4</f>
        <v>0.2155</v>
      </c>
      <c r="Q1375" s="19" t="s">
        <v>369</v>
      </c>
      <c r="R1375" s="19"/>
      <c r="T1375" s="80"/>
      <c r="U1375">
        <f>$K$1385*$I$1374*$G$1398*$E$1436*$C$1505*$A$1460*$M$1380*$O$1375*Q1376</f>
        <v>1.4133114871350164E-5</v>
      </c>
      <c r="V1375">
        <v>1.4133114871350164E-5</v>
      </c>
      <c r="W1375" s="42">
        <f>$K$1386+$I$1375+$G$1399+$E$1437+$C$1506+$A$1461+$M$1381+$O$1376+Q1377</f>
        <v>347159.84125871374</v>
      </c>
      <c r="X1375">
        <f>u_ChronicResp+u_CongnitiveImpairement</f>
        <v>17.805052694763283</v>
      </c>
      <c r="Z1375" s="42">
        <f t="shared" si="124"/>
        <v>4.9064499152290892</v>
      </c>
      <c r="AA1375" s="6">
        <f t="shared" si="123"/>
        <v>2.5164085502553228E-4</v>
      </c>
    </row>
    <row r="1376" spans="3:27" x14ac:dyDescent="0.3">
      <c r="O1376" s="48">
        <f>c_hypo</f>
        <v>2936.2604000000001</v>
      </c>
      <c r="Q1376" s="47">
        <f>Hypo2CI_4*RDS2CLD_4</f>
        <v>1.8531333333333334E-2</v>
      </c>
      <c r="R1376" s="47"/>
      <c r="T1376" s="80"/>
      <c r="Z1376" s="42">
        <f t="shared" si="124"/>
        <v>0</v>
      </c>
      <c r="AA1376" s="6">
        <f t="shared" si="123"/>
        <v>0</v>
      </c>
    </row>
    <row r="1377" spans="7:27" x14ac:dyDescent="0.3">
      <c r="M1377" s="42"/>
      <c r="Q1377" s="48">
        <f>c_lung+c_cog+c_hosp_fu+c_CSG</f>
        <v>58348.510902399998</v>
      </c>
      <c r="R1377" s="48"/>
      <c r="T1377" s="80"/>
      <c r="Z1377" s="42">
        <f t="shared" si="124"/>
        <v>0</v>
      </c>
      <c r="AA1377" s="6">
        <f t="shared" si="123"/>
        <v>0</v>
      </c>
    </row>
    <row r="1378" spans="7:27" x14ac:dyDescent="0.3">
      <c r="Q1378" s="19" t="s">
        <v>370</v>
      </c>
      <c r="R1378" s="19"/>
      <c r="T1378" s="80"/>
      <c r="U1378">
        <f>$K$1385*$I$1374*$G$1398*$E$1436*$C$1505*$A$1460*$M$1380*$O$1375*Q1379</f>
        <v>4.623232346358992E-4</v>
      </c>
      <c r="V1378">
        <v>4.623232346358992E-4</v>
      </c>
      <c r="W1378" s="42">
        <f>$K$1386+$I$1375+$G$1399+$E$1437+$C$1506+$A$1461+$M$1381+$O$1376+Q1380</f>
        <v>303214.33035631373</v>
      </c>
      <c r="X1378">
        <f>u_Healthy</f>
        <v>0</v>
      </c>
      <c r="Z1378" s="42">
        <f t="shared" si="124"/>
        <v>140.18302999828907</v>
      </c>
      <c r="AA1378" s="6">
        <f t="shared" si="123"/>
        <v>0</v>
      </c>
    </row>
    <row r="1379" spans="7:27" x14ac:dyDescent="0.3">
      <c r="M1379" s="19" t="s">
        <v>9</v>
      </c>
      <c r="Q1379" s="47">
        <f>1-Q1370-Q1373-Q1376</f>
        <v>0.60619800000000001</v>
      </c>
      <c r="R1379" s="47"/>
      <c r="T1379" s="80"/>
      <c r="Z1379" s="42">
        <f t="shared" si="124"/>
        <v>0</v>
      </c>
      <c r="AA1379" s="6">
        <f t="shared" si="123"/>
        <v>0</v>
      </c>
    </row>
    <row r="1380" spans="7:27" x14ac:dyDescent="0.3">
      <c r="K1380" s="42"/>
      <c r="M1380" s="47">
        <f>S_prem_2RDS_4</f>
        <v>0.45</v>
      </c>
      <c r="Q1380" s="48">
        <f>c_clinic_fu+c_CSG</f>
        <v>14403</v>
      </c>
      <c r="R1380" s="48"/>
      <c r="T1380" s="80"/>
      <c r="Z1380" s="42">
        <f t="shared" si="124"/>
        <v>0</v>
      </c>
      <c r="AA1380" s="6">
        <f t="shared" si="123"/>
        <v>0</v>
      </c>
    </row>
    <row r="1381" spans="7:27" x14ac:dyDescent="0.3">
      <c r="K1381" s="42"/>
      <c r="M1381" s="48">
        <f>c_RDS</f>
        <v>30595.610148205637</v>
      </c>
      <c r="Q1381" s="42"/>
      <c r="R1381" s="42"/>
      <c r="T1381" s="80"/>
      <c r="Z1381" s="42">
        <f t="shared" si="124"/>
        <v>0</v>
      </c>
      <c r="AA1381" s="6">
        <f t="shared" si="123"/>
        <v>0</v>
      </c>
    </row>
    <row r="1382" spans="7:27" x14ac:dyDescent="0.3">
      <c r="Q1382" s="19" t="s">
        <v>368</v>
      </c>
      <c r="R1382" s="19"/>
      <c r="T1382" s="80"/>
      <c r="U1382">
        <f>$K$1385*$I$1374*$G$1398*$E$1436*$C$1505*$A$1460*$M$1380*$O$1385*Q1383</f>
        <v>9.6910790205363435E-4</v>
      </c>
      <c r="V1382">
        <v>9.6910790205363435E-4</v>
      </c>
      <c r="W1382" s="42">
        <f>$K$1386+$I$1375+$G$1399+$E$1437+$C$1506+$A$1461+$M$1381+$O$1386+Q1384</f>
        <v>340404.58085871371</v>
      </c>
      <c r="X1382">
        <f>u_ChronicResp</f>
        <v>0.53465956747782661</v>
      </c>
      <c r="Z1382" s="42">
        <f t="shared" si="124"/>
        <v>329.88876920543476</v>
      </c>
      <c r="AA1382" s="6">
        <f t="shared" si="123"/>
        <v>5.1814281175134006E-4</v>
      </c>
    </row>
    <row r="1383" spans="7:27" x14ac:dyDescent="0.3">
      <c r="Q1383" s="47">
        <f>RDS2CLD_4-(RDS2CLD_4*noHypo2CI_4)</f>
        <v>0.34905610687022898</v>
      </c>
      <c r="R1383" s="47"/>
      <c r="T1383" s="80"/>
      <c r="Z1383" s="42">
        <f t="shared" si="124"/>
        <v>0</v>
      </c>
      <c r="AA1383" s="6">
        <f t="shared" si="123"/>
        <v>0</v>
      </c>
    </row>
    <row r="1384" spans="7:27" x14ac:dyDescent="0.3">
      <c r="K1384" s="19" t="s">
        <v>37</v>
      </c>
      <c r="M1384" s="42"/>
      <c r="O1384" s="19" t="s">
        <v>371</v>
      </c>
      <c r="Q1384" s="48">
        <f>c_lung+c_hosp_fu+c_CSG</f>
        <v>54529.510902399998</v>
      </c>
      <c r="R1384" s="48"/>
      <c r="T1384" s="80"/>
      <c r="Z1384" s="42">
        <f t="shared" si="124"/>
        <v>0</v>
      </c>
      <c r="AA1384" s="6">
        <f t="shared" si="123"/>
        <v>0</v>
      </c>
    </row>
    <row r="1385" spans="7:27" x14ac:dyDescent="0.3">
      <c r="K1385" s="47">
        <f>SGA_prem_2s_4</f>
        <v>0.91593333333333338</v>
      </c>
      <c r="O1385" s="47">
        <f>SGA_prem_2normoglycaemia_4</f>
        <v>0.78449999999999998</v>
      </c>
      <c r="Q1385" s="19" t="s">
        <v>226</v>
      </c>
      <c r="R1385" s="19"/>
      <c r="T1385" s="80"/>
      <c r="U1385">
        <f>$K$1385*$I$1374*$G$1398*$E$1436*$C$1505*$A$1460*$M$1380*$O$1385*Q1386</f>
        <v>5.8697074909072222E-5</v>
      </c>
      <c r="V1385">
        <v>5.8697074909072222E-5</v>
      </c>
      <c r="W1385" s="42">
        <f>$K$1386+$I$1375+$G$1399+$E$1437+$C$1506+$A$1461+$M$1381+$O$1386+Q1387</f>
        <v>301641.0699563137</v>
      </c>
      <c r="X1385">
        <f>u_CongnitiveImpairement</f>
        <v>17.270393127285455</v>
      </c>
      <c r="Z1385" s="42">
        <f t="shared" si="124"/>
        <v>17.705448478878441</v>
      </c>
      <c r="AA1385" s="6">
        <f t="shared" si="123"/>
        <v>1.0137215591014004E-3</v>
      </c>
    </row>
    <row r="1386" spans="7:27" x14ac:dyDescent="0.3">
      <c r="K1386" s="48"/>
      <c r="O1386" s="48"/>
      <c r="Q1386" s="47">
        <f>noHypo2CI_4-(RDS2CLD_4*noHypo2CI_4)</f>
        <v>2.1141683406990762E-2</v>
      </c>
      <c r="R1386" s="47"/>
      <c r="T1386" s="80"/>
      <c r="Z1386" s="42">
        <f t="shared" si="124"/>
        <v>0</v>
      </c>
      <c r="AA1386" s="6">
        <f t="shared" si="123"/>
        <v>0</v>
      </c>
    </row>
    <row r="1387" spans="7:27" x14ac:dyDescent="0.3">
      <c r="Q1387" s="48">
        <f>c_cog+c_hosp_fu+c_CSG</f>
        <v>15766</v>
      </c>
      <c r="R1387" s="48"/>
      <c r="T1387" s="80"/>
      <c r="Z1387" s="42">
        <f t="shared" si="124"/>
        <v>0</v>
      </c>
      <c r="AA1387" s="6">
        <f t="shared" si="123"/>
        <v>0</v>
      </c>
    </row>
    <row r="1388" spans="7:27" x14ac:dyDescent="0.3">
      <c r="Q1388" s="19" t="s">
        <v>369</v>
      </c>
      <c r="R1388" s="19"/>
      <c r="T1388" s="80"/>
      <c r="U1388">
        <f>$K$1385*$I$1374*$G$1398*$E$1436*$C$1505*$A$1460*$M$1380*$O$1385*Q1389</f>
        <v>3.3160632303873344E-5</v>
      </c>
      <c r="V1388">
        <v>3.3160632303873344E-5</v>
      </c>
      <c r="W1388" s="42">
        <f>$K$1386+$I$1375+$G$1399+$E$1437+$C$1506+$A$1461+$M$1381+$O$1386+Q1390</f>
        <v>344223.58085871371</v>
      </c>
      <c r="X1388">
        <f>u_ChronicResp+u_CongnitiveImpairement</f>
        <v>17.805052694763283</v>
      </c>
      <c r="Z1388" s="42">
        <f t="shared" si="124"/>
        <v>11.414671595178421</v>
      </c>
      <c r="AA1388" s="6">
        <f t="shared" si="123"/>
        <v>5.9042680556213448E-4</v>
      </c>
    </row>
    <row r="1389" spans="7:27" x14ac:dyDescent="0.3">
      <c r="G1389" s="42"/>
      <c r="Q1389" s="47">
        <f>RDS2CLD_4*noHypo2CI_4</f>
        <v>1.1943893129770991E-2</v>
      </c>
      <c r="R1389" s="47"/>
      <c r="T1389" s="80"/>
      <c r="Z1389" s="42">
        <f t="shared" si="124"/>
        <v>0</v>
      </c>
      <c r="AA1389" s="6">
        <f t="shared" si="123"/>
        <v>0</v>
      </c>
    </row>
    <row r="1390" spans="7:27" x14ac:dyDescent="0.3">
      <c r="G1390" s="42"/>
      <c r="Q1390" s="48">
        <f>c_cog+c_lung+c_hosp_fu+c_CSG</f>
        <v>58348.510902399998</v>
      </c>
      <c r="R1390" s="48"/>
      <c r="T1390" s="80"/>
      <c r="Z1390" s="42">
        <f t="shared" si="124"/>
        <v>0</v>
      </c>
      <c r="AA1390" s="6">
        <f t="shared" si="123"/>
        <v>0</v>
      </c>
    </row>
    <row r="1391" spans="7:27" x14ac:dyDescent="0.3">
      <c r="Q1391" s="19" t="s">
        <v>370</v>
      </c>
      <c r="R1391" s="19"/>
      <c r="T1391" s="80"/>
      <c r="U1391">
        <f>$K$1385*$I$1374*$G$1398*$E$1436*$C$1505*$A$1460*$M$1380*$O$1385*Q1392</f>
        <v>1.7154015219176524E-3</v>
      </c>
      <c r="V1391">
        <v>1.7154015219176524E-3</v>
      </c>
      <c r="W1391" s="42">
        <f>$K$1386+$I$1375+$G$1399+$E$1437+$C$1506+$A$1461+$M$1381+$O$1386+Q1393</f>
        <v>300278.0699563137</v>
      </c>
      <c r="X1391">
        <f>u_Healthy</f>
        <v>0</v>
      </c>
      <c r="Z1391" s="42">
        <f t="shared" si="124"/>
        <v>515.09745820155581</v>
      </c>
      <c r="AA1391" s="6">
        <f t="shared" si="123"/>
        <v>0</v>
      </c>
    </row>
    <row r="1392" spans="7:27" x14ac:dyDescent="0.3">
      <c r="Q1392" s="47">
        <f>1-Q1389-Q1386-Q1383</f>
        <v>0.61785831659300938</v>
      </c>
      <c r="R1392" s="47"/>
      <c r="T1392" s="80"/>
      <c r="Z1392" s="42">
        <f t="shared" si="124"/>
        <v>0</v>
      </c>
      <c r="AA1392" s="6">
        <f t="shared" si="123"/>
        <v>0</v>
      </c>
    </row>
    <row r="1393" spans="7:27" x14ac:dyDescent="0.3">
      <c r="Q1393" s="48">
        <f>c_clinic_fu+c_CSG</f>
        <v>14403</v>
      </c>
      <c r="R1393" s="48"/>
      <c r="T1393" s="80"/>
      <c r="Z1393" s="42">
        <f t="shared" si="124"/>
        <v>0</v>
      </c>
      <c r="AA1393" s="6">
        <f t="shared" si="123"/>
        <v>0</v>
      </c>
    </row>
    <row r="1394" spans="7:27" x14ac:dyDescent="0.3">
      <c r="Q1394" s="42"/>
      <c r="R1394" s="42"/>
      <c r="T1394" s="80"/>
      <c r="Z1394" s="42">
        <f t="shared" si="124"/>
        <v>0</v>
      </c>
      <c r="AA1394" s="6">
        <f t="shared" si="123"/>
        <v>0</v>
      </c>
    </row>
    <row r="1395" spans="7:27" x14ac:dyDescent="0.3">
      <c r="Q1395" s="19" t="s">
        <v>368</v>
      </c>
      <c r="R1395" s="19"/>
      <c r="T1395" s="80"/>
      <c r="U1395">
        <f>$K$1385*$I$1374*$G$1398*$E$1436*$C$1505*$A$1460*$M$1400*$O$1398*Q1396</f>
        <v>3.1922892796716319E-4</v>
      </c>
      <c r="V1395">
        <v>3.1922892796716319E-4</v>
      </c>
      <c r="W1395" s="42">
        <f>$K$1386+$I$1375+$G$1399+$E$1437+$C$1506+$A$1461+$M$1401+$O$1399+Q1397</f>
        <v>312745.23111050809</v>
      </c>
      <c r="X1395">
        <f>u_ChronicResp</f>
        <v>0.53465956747782661</v>
      </c>
      <c r="Z1395" s="42">
        <f t="shared" si="124"/>
        <v>99.837324854250198</v>
      </c>
      <c r="AA1395" s="6">
        <f t="shared" si="123"/>
        <v>1.7067880055333373E-4</v>
      </c>
    </row>
    <row r="1396" spans="7:27" x14ac:dyDescent="0.3">
      <c r="Q1396" s="47">
        <f>RDS2CLD_4-(Hypo2CI_4*RDS2CLD_4)</f>
        <v>0.34246866666666664</v>
      </c>
      <c r="R1396" s="47"/>
      <c r="T1396" s="80"/>
      <c r="Z1396" s="42">
        <f t="shared" si="124"/>
        <v>0</v>
      </c>
      <c r="AA1396" s="6">
        <f t="shared" si="123"/>
        <v>0</v>
      </c>
    </row>
    <row r="1397" spans="7:27" x14ac:dyDescent="0.3">
      <c r="G1397" s="19" t="s">
        <v>8</v>
      </c>
      <c r="O1397" s="19" t="s">
        <v>161</v>
      </c>
      <c r="Q1397" s="48">
        <f>c_lung+c_hosp_fu+c_CSG</f>
        <v>54529.510902399998</v>
      </c>
      <c r="R1397" s="48"/>
      <c r="T1397" s="80"/>
      <c r="Z1397" s="42">
        <f t="shared" si="124"/>
        <v>0</v>
      </c>
      <c r="AA1397" s="6">
        <f t="shared" si="123"/>
        <v>0</v>
      </c>
    </row>
    <row r="1398" spans="7:27" x14ac:dyDescent="0.3">
      <c r="G1398" s="47">
        <f>Prem2LBW_4</f>
        <v>0.68135593220338986</v>
      </c>
      <c r="O1398" s="47">
        <f>SGA_prem_2hypoglycaemia_4</f>
        <v>0.2155</v>
      </c>
      <c r="Q1398" s="19" t="s">
        <v>226</v>
      </c>
      <c r="R1398" s="19"/>
      <c r="T1398" s="80"/>
      <c r="U1398">
        <f>$K$1385*$I$1374*$G$1398*$E$1436*$C$1505*$A$1460*$M$1400*$O$1398*Q1399</f>
        <v>3.0576074001452847E-5</v>
      </c>
      <c r="V1398">
        <v>3.0576074001452847E-5</v>
      </c>
      <c r="W1398" s="42">
        <f>$K$1386+$I$1375+$G$1399+$E$1437+$C$1506+$A$1461+$M$1401+$O$1399+Q1400</f>
        <v>273981.72020810808</v>
      </c>
      <c r="X1398">
        <f>u_CongnitiveImpairement</f>
        <v>17.270393127285455</v>
      </c>
      <c r="Z1398" s="42">
        <f t="shared" si="124"/>
        <v>8.377285352128462</v>
      </c>
      <c r="AA1398" s="6">
        <f t="shared" si="123"/>
        <v>5.2806081829406273E-4</v>
      </c>
    </row>
    <row r="1399" spans="7:27" x14ac:dyDescent="0.3">
      <c r="G1399" s="48">
        <f>c_LBW</f>
        <v>254701.55809999997</v>
      </c>
      <c r="M1399" s="19" t="s">
        <v>203</v>
      </c>
      <c r="O1399" s="48">
        <f>c_hypo</f>
        <v>2936.2604000000001</v>
      </c>
      <c r="Q1399" s="47">
        <f>Hypo2CI_4-(Hypo2CI_4*RDS2CLD_4)</f>
        <v>3.2801999999999998E-2</v>
      </c>
      <c r="R1399" s="47"/>
      <c r="T1399" s="80"/>
      <c r="Z1399" s="42">
        <f t="shared" si="124"/>
        <v>0</v>
      </c>
      <c r="AA1399" s="6">
        <f t="shared" si="123"/>
        <v>0</v>
      </c>
    </row>
    <row r="1400" spans="7:27" x14ac:dyDescent="0.3">
      <c r="M1400" s="47">
        <f>S_prem_2noRDS_4</f>
        <v>0.55000000000000004</v>
      </c>
      <c r="Q1400" s="48">
        <f>c_cog+c_hosp_fu+c_CSG</f>
        <v>15766</v>
      </c>
      <c r="R1400" s="48"/>
      <c r="T1400" s="80"/>
      <c r="Z1400" s="42">
        <f t="shared" si="124"/>
        <v>0</v>
      </c>
      <c r="AA1400" s="6">
        <f t="shared" si="123"/>
        <v>0</v>
      </c>
    </row>
    <row r="1401" spans="7:27" x14ac:dyDescent="0.3">
      <c r="M1401" s="48"/>
      <c r="O1401" s="42"/>
      <c r="Q1401" s="19" t="s">
        <v>369</v>
      </c>
      <c r="R1401" s="19"/>
      <c r="T1401" s="80"/>
      <c r="U1401">
        <f>$K$1385*$I$1374*$G$1398*$E$1436*$C$1505*$A$1460*$M$1400*$O$1398*Q1402</f>
        <v>1.7273807064983534E-5</v>
      </c>
      <c r="V1401">
        <v>1.7273807064983534E-5</v>
      </c>
      <c r="W1401" s="42">
        <f>$K$1386+$I$1375+$G$1399+$E$1437+$C$1506+$A$1461+$M$1401+$O$1399+Q1403</f>
        <v>316564.23111050809</v>
      </c>
      <c r="X1401">
        <f>u_ChronicResp+u_CongnitiveImpairement</f>
        <v>17.805052694763283</v>
      </c>
      <c r="Z1401" s="42">
        <f t="shared" si="124"/>
        <v>5.4682694518777746</v>
      </c>
      <c r="AA1401" s="6">
        <f t="shared" si="123"/>
        <v>3.0756104503120612E-4</v>
      </c>
    </row>
    <row r="1402" spans="7:27" x14ac:dyDescent="0.3">
      <c r="M1402" s="42"/>
      <c r="Q1402" s="47">
        <f>Hypo2CI_4*RDS2CLD_4</f>
        <v>1.8531333333333334E-2</v>
      </c>
      <c r="R1402" s="47"/>
      <c r="T1402" s="80"/>
      <c r="Z1402" s="42">
        <f t="shared" si="124"/>
        <v>0</v>
      </c>
      <c r="AA1402" s="6">
        <f t="shared" si="123"/>
        <v>0</v>
      </c>
    </row>
    <row r="1403" spans="7:27" x14ac:dyDescent="0.3">
      <c r="M1403" s="42"/>
      <c r="Q1403" s="48">
        <f>c_lung+c_cog+c_hosp_fu+c_CSG</f>
        <v>58348.510902399998</v>
      </c>
      <c r="R1403" s="48"/>
      <c r="T1403" s="80"/>
      <c r="Z1403" s="42">
        <f t="shared" si="124"/>
        <v>0</v>
      </c>
      <c r="AA1403" s="6">
        <f t="shared" si="123"/>
        <v>0</v>
      </c>
    </row>
    <row r="1404" spans="7:27" x14ac:dyDescent="0.3">
      <c r="M1404" s="42"/>
      <c r="Q1404" s="19" t="s">
        <v>370</v>
      </c>
      <c r="R1404" s="19"/>
      <c r="T1404" s="80"/>
      <c r="U1404">
        <f>$K$1385*$I$1374*$G$1398*$E$1436*$C$1505*$A$1460*$M$1400*$O$1398*Q1405</f>
        <v>5.6506173122165457E-4</v>
      </c>
      <c r="V1404">
        <v>5.6506173122165457E-4</v>
      </c>
      <c r="W1404" s="42">
        <f>$K$1386+$I$1375+$G$1399+$E$1437+$C$1506+$A$1461+$M$1401+$O$1399+Q1406</f>
        <v>272618.72020810808</v>
      </c>
      <c r="X1404">
        <f>u_Healthy</f>
        <v>0</v>
      </c>
      <c r="Z1404" s="42">
        <f t="shared" si="124"/>
        <v>154.04640600422542</v>
      </c>
      <c r="AA1404" s="6">
        <f t="shared" si="123"/>
        <v>0</v>
      </c>
    </row>
    <row r="1405" spans="7:27" x14ac:dyDescent="0.3">
      <c r="M1405" s="42"/>
      <c r="O1405" s="42"/>
      <c r="Q1405" s="47">
        <f>1-Q1396-Q1399-Q1402</f>
        <v>0.60619800000000001</v>
      </c>
      <c r="R1405" s="47"/>
      <c r="T1405" s="80"/>
      <c r="Z1405" s="42">
        <f t="shared" si="124"/>
        <v>0</v>
      </c>
      <c r="AA1405" s="6">
        <f t="shared" si="123"/>
        <v>0</v>
      </c>
    </row>
    <row r="1406" spans="7:27" x14ac:dyDescent="0.3">
      <c r="M1406" s="42"/>
      <c r="Q1406" s="48">
        <f>c_clinic_fu+c_CSG</f>
        <v>14403</v>
      </c>
      <c r="R1406" s="48"/>
      <c r="S1406" s="96"/>
      <c r="T1406" s="80"/>
      <c r="Z1406" s="42">
        <f t="shared" si="124"/>
        <v>0</v>
      </c>
      <c r="AA1406" s="6">
        <f t="shared" si="123"/>
        <v>0</v>
      </c>
    </row>
    <row r="1407" spans="7:27" x14ac:dyDescent="0.3">
      <c r="M1407" s="42"/>
      <c r="Q1407" s="42"/>
      <c r="R1407" s="42"/>
      <c r="T1407" s="80"/>
      <c r="Z1407" s="42">
        <f t="shared" si="124"/>
        <v>0</v>
      </c>
      <c r="AA1407" s="6">
        <f t="shared" si="123"/>
        <v>0</v>
      </c>
    </row>
    <row r="1408" spans="7:27" x14ac:dyDescent="0.3">
      <c r="M1408" s="42"/>
      <c r="Q1408" s="19" t="s">
        <v>368</v>
      </c>
      <c r="R1408" s="19"/>
      <c r="T1408" s="80"/>
      <c r="U1408">
        <f>$K$1385*$I$1374*$G$1398*$E$1436*$C$1505*$A$1460*$M$1400*$O$1412*Q1409</f>
        <v>1.1844652136211086E-3</v>
      </c>
      <c r="V1408">
        <v>1.1844652136211086E-3</v>
      </c>
      <c r="W1408" s="42">
        <f>$K$1386+$I$1375+$G$1399+$E$1437+$C$1506+$A$1461+$M$1401+$O$1413+Q1410</f>
        <v>309808.97071050806</v>
      </c>
      <c r="X1408">
        <f>u_ChronicResp</f>
        <v>0.53465956747782661</v>
      </c>
      <c r="Z1408" s="42">
        <f t="shared" si="124"/>
        <v>366.95794867435774</v>
      </c>
      <c r="AA1408" s="6">
        <f t="shared" si="123"/>
        <v>6.332856588071934E-4</v>
      </c>
    </row>
    <row r="1409" spans="11:27" x14ac:dyDescent="0.3">
      <c r="M1409" s="42"/>
      <c r="Q1409" s="47">
        <f>RDS2CLD_4-(RDS2CLD_4*noHypo2CI_4)</f>
        <v>0.34905610687022898</v>
      </c>
      <c r="R1409" s="47"/>
      <c r="T1409" s="80"/>
      <c r="Z1409" s="42">
        <f t="shared" si="124"/>
        <v>0</v>
      </c>
      <c r="AA1409" s="6">
        <f t="shared" si="123"/>
        <v>0</v>
      </c>
    </row>
    <row r="1410" spans="11:27" x14ac:dyDescent="0.3">
      <c r="M1410" s="42"/>
      <c r="Q1410" s="48">
        <f>c_lung+c_hosp_fu+c_CSG</f>
        <v>54529.510902399998</v>
      </c>
      <c r="R1410" s="48"/>
      <c r="T1410" s="80"/>
      <c r="Z1410" s="42">
        <f t="shared" si="124"/>
        <v>0</v>
      </c>
      <c r="AA1410" s="6">
        <f t="shared" si="123"/>
        <v>0</v>
      </c>
    </row>
    <row r="1411" spans="11:27" x14ac:dyDescent="0.3">
      <c r="M1411" s="42"/>
      <c r="O1411" s="19" t="s">
        <v>371</v>
      </c>
      <c r="Q1411" s="19" t="s">
        <v>226</v>
      </c>
      <c r="R1411" s="19"/>
      <c r="T1411" s="80"/>
      <c r="U1411">
        <f>$K$1385*$I$1374*$G$1398*$E$1436*$C$1505*$A$1460*$M$1400*$O$1412*Q1412</f>
        <v>7.1740869333310485E-5</v>
      </c>
      <c r="V1411">
        <v>7.1740869333310485E-5</v>
      </c>
      <c r="W1411" s="42">
        <f>$K$1386+$I$1375+$G$1399+$E$1437+$C$1506+$A$1461+$M$1401+$O$1413+Q1413</f>
        <v>271045.45980810805</v>
      </c>
      <c r="X1411">
        <f>u_CongnitiveImpairement</f>
        <v>17.270393127285455</v>
      </c>
      <c r="Z1411" s="42">
        <f t="shared" si="124"/>
        <v>19.445036915480539</v>
      </c>
      <c r="AA1411" s="6">
        <f t="shared" si="123"/>
        <v>1.2389930166794893E-3</v>
      </c>
    </row>
    <row r="1412" spans="11:27" x14ac:dyDescent="0.3">
      <c r="M1412" s="42"/>
      <c r="O1412" s="47">
        <f>SGA_prem_2normoglycaemia_4</f>
        <v>0.78449999999999998</v>
      </c>
      <c r="Q1412" s="47">
        <f>noHypo2CI_4-(RDS2CLD_4*noHypo2CI_4)</f>
        <v>2.1141683406990762E-2</v>
      </c>
      <c r="R1412" s="47"/>
      <c r="T1412" s="80"/>
      <c r="Z1412" s="42">
        <f t="shared" si="124"/>
        <v>0</v>
      </c>
      <c r="AA1412" s="6">
        <f t="shared" si="123"/>
        <v>0</v>
      </c>
    </row>
    <row r="1413" spans="11:27" x14ac:dyDescent="0.3">
      <c r="M1413" s="42"/>
      <c r="O1413" s="48"/>
      <c r="Q1413" s="48">
        <f>c_cog+c_hosp_fu+c_CSG</f>
        <v>15766</v>
      </c>
      <c r="R1413" s="48"/>
      <c r="T1413" s="80"/>
      <c r="Z1413" s="42">
        <f t="shared" si="124"/>
        <v>0</v>
      </c>
      <c r="AA1413" s="6">
        <f t="shared" si="123"/>
        <v>0</v>
      </c>
    </row>
    <row r="1414" spans="11:27" x14ac:dyDescent="0.3">
      <c r="M1414" s="42"/>
      <c r="Q1414" s="19" t="s">
        <v>369</v>
      </c>
      <c r="R1414" s="19"/>
      <c r="T1414" s="80"/>
      <c r="U1414">
        <f>$K$1385*$I$1374*$G$1398*$E$1436*$C$1505*$A$1460*$M$1400*$O$1412*Q1415</f>
        <v>4.0529661704734088E-5</v>
      </c>
      <c r="V1414">
        <v>4.0529661704734088E-5</v>
      </c>
      <c r="W1414" s="42">
        <f>$K$1386+$I$1375+$G$1399+$E$1437+$C$1506+$A$1461+$M$1401+$O$1413+Q1416</f>
        <v>313627.97071050806</v>
      </c>
      <c r="X1414">
        <f>u_ChronicResp+u_CongnitiveImpairement</f>
        <v>17.805052694763283</v>
      </c>
      <c r="Z1414" s="42">
        <f t="shared" si="124"/>
        <v>12.711235554039142</v>
      </c>
      <c r="AA1414" s="6">
        <f t="shared" si="123"/>
        <v>7.2163276235371991E-4</v>
      </c>
    </row>
    <row r="1415" spans="11:27" x14ac:dyDescent="0.3">
      <c r="M1415" s="42"/>
      <c r="Q1415" s="47">
        <f>RDS2CLD_4*noHypo2CI_4</f>
        <v>1.1943893129770991E-2</v>
      </c>
      <c r="R1415" s="47"/>
      <c r="T1415" s="80"/>
      <c r="Z1415" s="42">
        <f t="shared" si="124"/>
        <v>0</v>
      </c>
      <c r="AA1415" s="6">
        <f t="shared" si="123"/>
        <v>0</v>
      </c>
    </row>
    <row r="1416" spans="11:27" x14ac:dyDescent="0.3">
      <c r="M1416" s="42"/>
      <c r="Q1416" s="48">
        <f>c_cog+c_lung+c_hosp_fu+c_CSG</f>
        <v>58348.510902399998</v>
      </c>
      <c r="R1416" s="48"/>
      <c r="T1416" s="80"/>
      <c r="Z1416" s="42">
        <f t="shared" si="124"/>
        <v>0</v>
      </c>
      <c r="AA1416" s="6">
        <f t="shared" si="123"/>
        <v>0</v>
      </c>
    </row>
    <row r="1417" spans="11:27" x14ac:dyDescent="0.3">
      <c r="M1417" s="42"/>
      <c r="Q1417" s="19" t="s">
        <v>370</v>
      </c>
      <c r="R1417" s="19"/>
      <c r="T1417" s="80"/>
      <c r="U1417">
        <f>$K$1385*$I$1374*$G$1398*$E$1436*$C$1505*$A$1460*$M$1400*$O$1412*Q1418</f>
        <v>2.0966018601215751E-3</v>
      </c>
      <c r="V1417">
        <v>2.0966018601215751E-3</v>
      </c>
      <c r="W1417" s="42">
        <f>$K$1386+$I$1375+$G$1399+$E$1437+$C$1506+$A$1461+$M$1401+$O$1413+Q1419</f>
        <v>269682.45980810805</v>
      </c>
      <c r="X1417">
        <f>u_Healthy</f>
        <v>0</v>
      </c>
      <c r="Z1417" s="42">
        <f t="shared" si="124"/>
        <v>565.41674687584123</v>
      </c>
      <c r="AA1417" s="6">
        <f t="shared" si="123"/>
        <v>0</v>
      </c>
    </row>
    <row r="1418" spans="11:27" x14ac:dyDescent="0.3">
      <c r="M1418" s="42"/>
      <c r="Q1418" s="47">
        <f>1-Q1415-Q1412-Q1409</f>
        <v>0.61785831659300938</v>
      </c>
      <c r="R1418" s="47"/>
      <c r="T1418" s="80"/>
      <c r="Z1418" s="42">
        <f t="shared" si="124"/>
        <v>0</v>
      </c>
      <c r="AA1418" s="6">
        <f t="shared" si="123"/>
        <v>0</v>
      </c>
    </row>
    <row r="1419" spans="11:27" x14ac:dyDescent="0.3">
      <c r="M1419" s="42"/>
      <c r="Q1419" s="48">
        <f>c_clinic_fu+c_CSG</f>
        <v>14403</v>
      </c>
      <c r="R1419" s="48"/>
      <c r="T1419" s="80"/>
      <c r="Z1419" s="42">
        <f t="shared" si="124"/>
        <v>0</v>
      </c>
      <c r="AA1419" s="6">
        <f t="shared" si="123"/>
        <v>0</v>
      </c>
    </row>
    <row r="1420" spans="11:27" x14ac:dyDescent="0.3">
      <c r="M1420" s="42"/>
      <c r="Q1420" s="42"/>
      <c r="R1420" s="42"/>
      <c r="T1420" s="80"/>
      <c r="Z1420" s="42">
        <f t="shared" si="124"/>
        <v>0</v>
      </c>
      <c r="AA1420" s="6">
        <f t="shared" si="123"/>
        <v>0</v>
      </c>
    </row>
    <row r="1421" spans="11:27" x14ac:dyDescent="0.3">
      <c r="K1421" s="19" t="s">
        <v>165</v>
      </c>
      <c r="L1421" s="19"/>
      <c r="M1421" s="19"/>
      <c r="N1421" s="19"/>
      <c r="O1421" s="19"/>
      <c r="P1421" s="19"/>
      <c r="Q1421" s="19"/>
      <c r="R1421" s="19"/>
      <c r="T1421" s="80"/>
      <c r="U1421">
        <f>$K$1422*$I$1430*$G$1398*$E$1436*$C$1505*$A$1460</f>
        <v>3.7806417943276585E-4</v>
      </c>
      <c r="V1421">
        <v>3.7806417943276585E-4</v>
      </c>
      <c r="W1421" s="42">
        <f>$K$1423+$I$1431+$G$1399+$E$1437+$C$1506+$A$1461</f>
        <v>257071.45980810808</v>
      </c>
      <c r="X1421">
        <f>u_Death</f>
        <v>19.181538114427529</v>
      </c>
      <c r="Z1421" s="42">
        <f t="shared" si="124"/>
        <v>97.189510507935623</v>
      </c>
      <c r="AA1421" s="6">
        <f t="shared" ref="AA1421:AA1484" si="125">U1421*X1421</f>
        <v>7.2518524674893663E-3</v>
      </c>
    </row>
    <row r="1422" spans="11:27" x14ac:dyDescent="0.3">
      <c r="K1422" s="47">
        <f>AGA_prem_2d_4</f>
        <v>3.5174999999999998E-2</v>
      </c>
      <c r="T1422" s="80"/>
      <c r="Z1422" s="42">
        <f t="shared" si="124"/>
        <v>0</v>
      </c>
      <c r="AA1422" s="6">
        <f t="shared" si="125"/>
        <v>0</v>
      </c>
    </row>
    <row r="1423" spans="11:27" x14ac:dyDescent="0.3">
      <c r="K1423" s="48">
        <f>c_SB</f>
        <v>1792</v>
      </c>
      <c r="T1423" s="80"/>
      <c r="Z1423" s="42">
        <f t="shared" ref="Z1423:Z1486" si="126">U1423*W1423</f>
        <v>0</v>
      </c>
      <c r="AA1423" s="6">
        <f t="shared" si="125"/>
        <v>0</v>
      </c>
    </row>
    <row r="1424" spans="11:27" x14ac:dyDescent="0.3">
      <c r="T1424" s="80"/>
      <c r="Z1424" s="42">
        <f t="shared" si="126"/>
        <v>0</v>
      </c>
      <c r="AA1424" s="6">
        <f t="shared" si="125"/>
        <v>0</v>
      </c>
    </row>
    <row r="1425" spans="5:27" x14ac:dyDescent="0.3">
      <c r="Q1425" s="19" t="s">
        <v>368</v>
      </c>
      <c r="R1425" s="19"/>
      <c r="T1425" s="80"/>
      <c r="U1425">
        <f>$K$1441*$I$1430*$G$1398*$E$1436*$C$1505*$A$1460*$M$1436*$O$1431*Q1426</f>
        <v>2.3972017654572998E-4</v>
      </c>
      <c r="V1425">
        <v>2.3972017654573001E-4</v>
      </c>
      <c r="W1425" s="42">
        <f>$K$1442+$I$1431+$G$1399+$E$1437+$C$1506+$A$1461+$M$1437+$O$1432+Q1427</f>
        <v>343340.84125871374</v>
      </c>
      <c r="X1425">
        <f>u_ChronicResp</f>
        <v>0.53465956747782661</v>
      </c>
      <c r="Z1425" s="42">
        <f t="shared" si="126"/>
        <v>82.305727081898311</v>
      </c>
      <c r="AA1425" s="6">
        <f t="shared" si="125"/>
        <v>1.2816868590764823E-4</v>
      </c>
    </row>
    <row r="1426" spans="5:27" x14ac:dyDescent="0.3">
      <c r="Q1426" s="47">
        <f>RDS2CLD_4-(Hypo2CI_4*RDS2CLD_4)</f>
        <v>0.34246866666666664</v>
      </c>
      <c r="R1426" s="47"/>
      <c r="T1426" s="80"/>
      <c r="Z1426" s="42">
        <f t="shared" si="126"/>
        <v>0</v>
      </c>
      <c r="AA1426" s="6">
        <f t="shared" si="125"/>
        <v>0</v>
      </c>
    </row>
    <row r="1427" spans="5:27" x14ac:dyDescent="0.3">
      <c r="Q1427" s="48">
        <f>c_lung+c_hosp_fu+c_CSG</f>
        <v>54529.510902399998</v>
      </c>
      <c r="R1427" s="48"/>
      <c r="T1427" s="80"/>
      <c r="Z1427" s="42">
        <f t="shared" si="126"/>
        <v>0</v>
      </c>
      <c r="AA1427" s="6">
        <f t="shared" si="125"/>
        <v>0</v>
      </c>
    </row>
    <row r="1428" spans="5:27" x14ac:dyDescent="0.3">
      <c r="Q1428" s="19" t="s">
        <v>226</v>
      </c>
      <c r="R1428" s="19"/>
      <c r="T1428" s="80"/>
      <c r="U1428">
        <f>$K$1441*$I$1430*$G$1398*$E$1436*$C$1505*$A$1460*$M$1436*$O$1431*Q1429</f>
        <v>2.2960644276127552E-5</v>
      </c>
      <c r="V1428">
        <v>2.2960644276127556E-5</v>
      </c>
      <c r="W1428" s="42">
        <f>$K$1442+$I$1431+$G$1399+$E$1437+$C$1506+$A$1461+$M$1437+$O$1432+Q1430</f>
        <v>304577.33035631373</v>
      </c>
      <c r="X1428">
        <f>u_CongnitiveImpairement</f>
        <v>17.270393127285455</v>
      </c>
      <c r="Z1428" s="42">
        <f t="shared" si="126"/>
        <v>6.9932917368839052</v>
      </c>
      <c r="AA1428" s="6">
        <f t="shared" si="125"/>
        <v>3.9653935310447942E-4</v>
      </c>
    </row>
    <row r="1429" spans="5:27" x14ac:dyDescent="0.3">
      <c r="I1429" s="19" t="s">
        <v>425</v>
      </c>
      <c r="Q1429" s="47">
        <f>Hypo2CI_4-(Hypo2CI_4*RDS2CLD_4)</f>
        <v>3.2801999999999998E-2</v>
      </c>
      <c r="R1429" s="47"/>
      <c r="T1429" s="80"/>
      <c r="Z1429" s="42">
        <f t="shared" si="126"/>
        <v>0</v>
      </c>
      <c r="AA1429" s="6">
        <f t="shared" si="125"/>
        <v>0</v>
      </c>
    </row>
    <row r="1430" spans="5:27" x14ac:dyDescent="0.3">
      <c r="I1430" s="47">
        <f>LBW_prem_2AGA_4</f>
        <v>0.55590452261306533</v>
      </c>
      <c r="O1430" s="19" t="s">
        <v>161</v>
      </c>
      <c r="Q1430" s="48">
        <f>c_cog+c_hosp_fu+c_CSG</f>
        <v>15766</v>
      </c>
      <c r="R1430" s="48"/>
      <c r="T1430" s="80"/>
      <c r="Z1430" s="42">
        <f t="shared" si="126"/>
        <v>0</v>
      </c>
      <c r="AA1430" s="6">
        <f t="shared" si="125"/>
        <v>0</v>
      </c>
    </row>
    <row r="1431" spans="5:27" x14ac:dyDescent="0.3">
      <c r="I1431" s="48"/>
      <c r="O1431" s="47">
        <f>AGA_prem_2hypoglycaemia_4</f>
        <v>0.15</v>
      </c>
      <c r="Q1431" s="19" t="s">
        <v>369</v>
      </c>
      <c r="R1431" s="19"/>
      <c r="T1431" s="80"/>
      <c r="U1431">
        <f>$K$1441*$I$1430*$G$1398*$E$1436*$C$1505*$A$1460*$M$1436*$O$1431*Q1432</f>
        <v>1.2971506390738727E-5</v>
      </c>
      <c r="V1431">
        <v>1.297150639073873E-5</v>
      </c>
      <c r="W1431" s="42">
        <f>$K$1442+$I$1431+$G$1399+$E$1437+$C$1506+$A$1461+$M$1437+$O$1432+Q1433</f>
        <v>347159.84125871374</v>
      </c>
      <c r="X1431">
        <f>u_ChronicResp+u_CongnitiveImpairement</f>
        <v>17.805052694763283</v>
      </c>
      <c r="Z1431" s="42">
        <f t="shared" si="126"/>
        <v>4.5031860994952471</v>
      </c>
      <c r="AA1431" s="6">
        <f t="shared" si="125"/>
        <v>2.3095835481756172E-4</v>
      </c>
    </row>
    <row r="1432" spans="5:27" x14ac:dyDescent="0.3">
      <c r="O1432" s="48">
        <f>c_hypo</f>
        <v>2936.2604000000001</v>
      </c>
      <c r="Q1432" s="47">
        <f>Hypo2CI_4*RDS2CLD_4</f>
        <v>1.8531333333333334E-2</v>
      </c>
      <c r="R1432" s="47"/>
      <c r="T1432" s="80"/>
      <c r="Z1432" s="42">
        <f t="shared" si="126"/>
        <v>0</v>
      </c>
      <c r="AA1432" s="6">
        <f t="shared" si="125"/>
        <v>0</v>
      </c>
    </row>
    <row r="1433" spans="5:27" x14ac:dyDescent="0.3">
      <c r="M1433" s="42"/>
      <c r="Q1433" s="48">
        <f>c_lung+c_cog+c_hosp_fu+c_CSG</f>
        <v>58348.510902399998</v>
      </c>
      <c r="R1433" s="48"/>
      <c r="T1433" s="80"/>
      <c r="Z1433" s="42">
        <f t="shared" si="126"/>
        <v>0</v>
      </c>
      <c r="AA1433" s="6">
        <f t="shared" si="125"/>
        <v>0</v>
      </c>
    </row>
    <row r="1434" spans="5:27" x14ac:dyDescent="0.3">
      <c r="Q1434" s="19" t="s">
        <v>370</v>
      </c>
      <c r="R1434" s="19"/>
      <c r="T1434" s="80"/>
      <c r="U1434">
        <f>$K$1441*$I$1430*$G$1398*$E$1436*$C$1505*$A$1460*$M$1436*$O$1431*Q1435</f>
        <v>4.2432463383025338E-4</v>
      </c>
      <c r="V1434">
        <v>4.2432463383025343E-4</v>
      </c>
      <c r="W1434" s="42">
        <f>$K$1442+$I$1431+$G$1399+$E$1437+$C$1506+$A$1461+$M$1437+$O$1432+Q1436</f>
        <v>303214.33035631373</v>
      </c>
      <c r="X1434">
        <f>u_Healthy</f>
        <v>0</v>
      </c>
      <c r="Z1434" s="42">
        <f t="shared" si="126"/>
        <v>128.66130970052831</v>
      </c>
      <c r="AA1434" s="6">
        <f t="shared" si="125"/>
        <v>0</v>
      </c>
    </row>
    <row r="1435" spans="5:27" x14ac:dyDescent="0.3">
      <c r="E1435" s="19" t="s">
        <v>10</v>
      </c>
      <c r="M1435" s="19" t="s">
        <v>9</v>
      </c>
      <c r="Q1435" s="47">
        <f>1-Q1426-Q1429-Q1432</f>
        <v>0.60619800000000001</v>
      </c>
      <c r="R1435" s="47"/>
      <c r="T1435" s="80"/>
      <c r="Z1435" s="42">
        <f t="shared" si="126"/>
        <v>0</v>
      </c>
      <c r="AA1435" s="6">
        <f t="shared" si="125"/>
        <v>0</v>
      </c>
    </row>
    <row r="1436" spans="5:27" x14ac:dyDescent="0.3">
      <c r="E1436" s="47">
        <f>LB2prem_4</f>
        <v>0.1733800350262697</v>
      </c>
      <c r="K1436" s="42"/>
      <c r="M1436" s="47">
        <f>S_prem_2RDS_4</f>
        <v>0.45</v>
      </c>
      <c r="Q1436" s="48">
        <f>c_clinic_fu+c_CSG</f>
        <v>14403</v>
      </c>
      <c r="R1436" s="48"/>
      <c r="T1436" s="80"/>
      <c r="Z1436" s="42">
        <f t="shared" si="126"/>
        <v>0</v>
      </c>
      <c r="AA1436" s="6">
        <f t="shared" si="125"/>
        <v>0</v>
      </c>
    </row>
    <row r="1437" spans="5:27" x14ac:dyDescent="0.3">
      <c r="E1437" s="48">
        <f>c_prem</f>
        <v>577.9017081081081</v>
      </c>
      <c r="K1437" s="42"/>
      <c r="M1437" s="48">
        <f>c_RDS</f>
        <v>30595.610148205637</v>
      </c>
      <c r="Q1437" s="42"/>
      <c r="R1437" s="42"/>
      <c r="T1437" s="80"/>
      <c r="Z1437" s="42">
        <f t="shared" si="126"/>
        <v>0</v>
      </c>
      <c r="AA1437" s="6">
        <f t="shared" si="125"/>
        <v>0</v>
      </c>
    </row>
    <row r="1438" spans="5:27" x14ac:dyDescent="0.3">
      <c r="Q1438" s="19" t="s">
        <v>368</v>
      </c>
      <c r="R1438" s="19"/>
      <c r="T1438" s="80"/>
      <c r="U1438">
        <f>$K$1441*$I$1430*$G$1398*$E$1436*$C$1505*$A$1460*$M$1436*$O$1441*Q1439</f>
        <v>1.3845436532160024E-3</v>
      </c>
      <c r="V1438">
        <v>1.3845436532160028E-3</v>
      </c>
      <c r="W1438" s="42">
        <f>$K$1442+$I$1431+$G$1399+$E$1437+$C$1506+$A$1461+$M$1437+$O$1442+Q1440</f>
        <v>340404.58085871371</v>
      </c>
      <c r="X1438">
        <f>u_ChronicResp</f>
        <v>0.53465956747782661</v>
      </c>
      <c r="Z1438" s="42">
        <f t="shared" si="126"/>
        <v>471.30500195358553</v>
      </c>
      <c r="AA1438" s="6">
        <f t="shared" si="125"/>
        <v>7.4025951078263781E-4</v>
      </c>
    </row>
    <row r="1439" spans="5:27" x14ac:dyDescent="0.3">
      <c r="Q1439" s="47">
        <f>RDS2CLD_4-(RDS2CLD_4*noHypo2CI_4)</f>
        <v>0.34905610687022898</v>
      </c>
      <c r="R1439" s="47"/>
      <c r="T1439" s="80"/>
      <c r="Z1439" s="42">
        <f t="shared" si="126"/>
        <v>0</v>
      </c>
      <c r="AA1439" s="6">
        <f t="shared" si="125"/>
        <v>0</v>
      </c>
    </row>
    <row r="1440" spans="5:27" x14ac:dyDescent="0.3">
      <c r="K1440" s="19" t="s">
        <v>37</v>
      </c>
      <c r="M1440" s="42"/>
      <c r="O1440" s="19" t="s">
        <v>371</v>
      </c>
      <c r="Q1440" s="48">
        <f>c_lung+c_hosp_fu+c_CSG</f>
        <v>54529.510902399998</v>
      </c>
      <c r="R1440" s="48"/>
      <c r="T1440" s="80"/>
      <c r="Z1440" s="42">
        <f t="shared" si="126"/>
        <v>0</v>
      </c>
      <c r="AA1440" s="6">
        <f t="shared" si="125"/>
        <v>0</v>
      </c>
    </row>
    <row r="1441" spans="11:27" x14ac:dyDescent="0.3">
      <c r="K1441" s="47">
        <f>AGA_prem_2s_4</f>
        <v>0.96482500000000004</v>
      </c>
      <c r="O1441" s="47">
        <f>AGA_prem_2normoglycaemia_4</f>
        <v>0.85</v>
      </c>
      <c r="Q1441" s="19" t="s">
        <v>226</v>
      </c>
      <c r="R1441" s="19"/>
      <c r="T1441" s="80"/>
      <c r="U1441">
        <f>$K$1441*$I$1430*$G$1398*$E$1436*$C$1505*$A$1460*$M$1436*$O$1441*Q1442</f>
        <v>8.3859250714480777E-5</v>
      </c>
      <c r="V1441">
        <v>8.3859250714480804E-5</v>
      </c>
      <c r="W1441" s="42">
        <f>$K$1442+$I$1431+$G$1399+$E$1437+$C$1506+$A$1461+$M$1437+$O$1442+Q1443</f>
        <v>301641.0699563137</v>
      </c>
      <c r="X1441">
        <f>u_CongnitiveImpairement</f>
        <v>17.270393127285455</v>
      </c>
      <c r="Z1441" s="42">
        <f t="shared" si="126"/>
        <v>25.295394111250747</v>
      </c>
      <c r="AA1441" s="6">
        <f t="shared" si="125"/>
        <v>1.4482822271986767E-3</v>
      </c>
    </row>
    <row r="1442" spans="11:27" x14ac:dyDescent="0.3">
      <c r="K1442" s="48"/>
      <c r="O1442" s="48"/>
      <c r="Q1442" s="47">
        <f>noHypo2CI_4-(RDS2CLD_4*noHypo2CI_4)</f>
        <v>2.1141683406990762E-2</v>
      </c>
      <c r="R1442" s="47"/>
      <c r="T1442" s="80"/>
      <c r="Z1442" s="42">
        <f t="shared" si="126"/>
        <v>0</v>
      </c>
      <c r="AA1442" s="6">
        <f t="shared" si="125"/>
        <v>0</v>
      </c>
    </row>
    <row r="1443" spans="11:27" x14ac:dyDescent="0.3">
      <c r="Q1443" s="48">
        <f>c_cog+c_hosp_fu+c_CSG</f>
        <v>15766</v>
      </c>
      <c r="R1443" s="48"/>
      <c r="T1443" s="80"/>
      <c r="Z1443" s="42">
        <f t="shared" si="126"/>
        <v>0</v>
      </c>
      <c r="AA1443" s="6">
        <f t="shared" si="125"/>
        <v>0</v>
      </c>
    </row>
    <row r="1444" spans="11:27" x14ac:dyDescent="0.3">
      <c r="Q1444" s="19" t="s">
        <v>369</v>
      </c>
      <c r="R1444" s="19"/>
      <c r="T1444" s="80"/>
      <c r="U1444">
        <f>$K$1441*$I$1430*$G$1398*$E$1436*$C$1505*$A$1460*$M$1436*$O$1441*Q1445</f>
        <v>4.7375883423986789E-5</v>
      </c>
      <c r="V1444">
        <v>4.7375883423986795E-5</v>
      </c>
      <c r="W1444" s="42">
        <f>$K$1442+$I$1431+$G$1399+$E$1437+$C$1506+$A$1461+$M$1437+$O$1442+Q1446</f>
        <v>344223.58085871371</v>
      </c>
      <c r="X1444">
        <f>u_ChronicResp+u_CongnitiveImpairement</f>
        <v>17.805052694763283</v>
      </c>
      <c r="Z1444" s="42">
        <f t="shared" si="126"/>
        <v>16.307896238549713</v>
      </c>
      <c r="AA1444" s="6">
        <f t="shared" si="125"/>
        <v>8.4353010082504709E-4</v>
      </c>
    </row>
    <row r="1445" spans="11:27" x14ac:dyDescent="0.3">
      <c r="Q1445" s="47">
        <f>RDS2CLD_4*noHypo2CI_4</f>
        <v>1.1943893129770991E-2</v>
      </c>
      <c r="R1445" s="47"/>
      <c r="T1445" s="80"/>
      <c r="Z1445" s="42">
        <f t="shared" si="126"/>
        <v>0</v>
      </c>
      <c r="AA1445" s="6">
        <f t="shared" si="125"/>
        <v>0</v>
      </c>
    </row>
    <row r="1446" spans="11:27" x14ac:dyDescent="0.3">
      <c r="Q1446" s="48">
        <f>c_cog+c_lung+c_hosp_fu+c_CSG</f>
        <v>58348.510902399998</v>
      </c>
      <c r="R1446" s="48"/>
      <c r="T1446" s="80"/>
      <c r="Z1446" s="42">
        <f t="shared" si="126"/>
        <v>0</v>
      </c>
      <c r="AA1446" s="6">
        <f t="shared" si="125"/>
        <v>0</v>
      </c>
    </row>
    <row r="1447" spans="11:27" x14ac:dyDescent="0.3">
      <c r="Q1447" s="19" t="s">
        <v>370</v>
      </c>
      <c r="R1447" s="19"/>
      <c r="T1447" s="80"/>
      <c r="U1447">
        <f>$K$1441*$I$1430*$G$1398*$E$1436*$C$1505*$A$1460*$M$1436*$O$1441*Q1448</f>
        <v>2.4507573252216782E-3</v>
      </c>
      <c r="V1447">
        <v>2.4507573252216786E-3</v>
      </c>
      <c r="W1447" s="42">
        <f>$K$1442+$I$1431+$G$1399+$E$1437+$C$1506+$A$1461+$M$1437+$O$1442+Q1449</f>
        <v>300278.0699563137</v>
      </c>
      <c r="X1447">
        <f>u_Healthy</f>
        <v>0</v>
      </c>
      <c r="Z1447" s="42">
        <f t="shared" si="126"/>
        <v>735.90867954886335</v>
      </c>
      <c r="AA1447" s="6">
        <f t="shared" si="125"/>
        <v>0</v>
      </c>
    </row>
    <row r="1448" spans="11:27" x14ac:dyDescent="0.3">
      <c r="Q1448" s="47">
        <f>1-Q1445-Q1442-Q1439</f>
        <v>0.61785831659300938</v>
      </c>
      <c r="R1448" s="47"/>
      <c r="T1448" s="80"/>
      <c r="Z1448" s="42">
        <f t="shared" si="126"/>
        <v>0</v>
      </c>
      <c r="AA1448" s="6">
        <f t="shared" si="125"/>
        <v>0</v>
      </c>
    </row>
    <row r="1449" spans="11:27" x14ac:dyDescent="0.3">
      <c r="Q1449" s="48">
        <f>c_clinic_fu+c_CSG</f>
        <v>14403</v>
      </c>
      <c r="R1449" s="48"/>
      <c r="T1449" s="80"/>
      <c r="Z1449" s="42">
        <f t="shared" si="126"/>
        <v>0</v>
      </c>
      <c r="AA1449" s="6">
        <f t="shared" si="125"/>
        <v>0</v>
      </c>
    </row>
    <row r="1450" spans="11:27" x14ac:dyDescent="0.3">
      <c r="Q1450" s="42"/>
      <c r="R1450" s="42"/>
      <c r="T1450" s="80"/>
      <c r="Z1450" s="42">
        <f t="shared" si="126"/>
        <v>0</v>
      </c>
      <c r="AA1450" s="6">
        <f t="shared" si="125"/>
        <v>0</v>
      </c>
    </row>
    <row r="1451" spans="11:27" x14ac:dyDescent="0.3">
      <c r="Q1451" s="19" t="s">
        <v>368</v>
      </c>
      <c r="R1451" s="19"/>
      <c r="T1451" s="80"/>
      <c r="U1451">
        <f>$K$1441*$I$1430*$G$1398*$E$1436*$C$1505*$A$1460*$M$1456*$O$1454*Q1452</f>
        <v>2.9299132688922553E-4</v>
      </c>
      <c r="V1451">
        <v>2.9299132688922564E-4</v>
      </c>
      <c r="W1451" s="42">
        <f>$K$1442+$I$1431+$G$1399+$E$1437+$C$1506+$A$1461+$M$1457+$O$1455+Q1453</f>
        <v>312745.23111050809</v>
      </c>
      <c r="X1451">
        <f>u_ChronicResp</f>
        <v>0.53465956747782661</v>
      </c>
      <c r="Z1451" s="42">
        <f t="shared" si="126"/>
        <v>91.631640241345266</v>
      </c>
      <c r="AA1451" s="6">
        <f t="shared" si="125"/>
        <v>1.5665061610934782E-4</v>
      </c>
    </row>
    <row r="1452" spans="11:27" x14ac:dyDescent="0.3">
      <c r="Q1452" s="47">
        <f>RDS2CLD_4-(Hypo2CI_4*RDS2CLD_4)</f>
        <v>0.34246866666666664</v>
      </c>
      <c r="R1452" s="47"/>
      <c r="T1452" s="80"/>
      <c r="Z1452" s="42">
        <f t="shared" si="126"/>
        <v>0</v>
      </c>
      <c r="AA1452" s="6">
        <f t="shared" si="125"/>
        <v>0</v>
      </c>
    </row>
    <row r="1453" spans="11:27" x14ac:dyDescent="0.3">
      <c r="O1453" s="19" t="s">
        <v>161</v>
      </c>
      <c r="Q1453" s="48">
        <f>c_lung+c_hosp_fu+c_CSG</f>
        <v>54529.510902399998</v>
      </c>
      <c r="R1453" s="48"/>
      <c r="T1453" s="80"/>
      <c r="Z1453" s="42">
        <f t="shared" si="126"/>
        <v>0</v>
      </c>
      <c r="AA1453" s="6">
        <f t="shared" si="125"/>
        <v>0</v>
      </c>
    </row>
    <row r="1454" spans="11:27" x14ac:dyDescent="0.3">
      <c r="O1454" s="47">
        <f>AGA_prem_2hypoglycaemia_4</f>
        <v>0.15</v>
      </c>
      <c r="Q1454" s="19" t="s">
        <v>226</v>
      </c>
      <c r="R1454" s="19"/>
      <c r="T1454" s="80"/>
      <c r="U1454">
        <f>$K$1441*$I$1430*$G$1398*$E$1436*$C$1505*$A$1460*$M$1456*$O$1454*Q1455</f>
        <v>2.8063009670822566E-5</v>
      </c>
      <c r="V1454">
        <v>2.8063009670822573E-5</v>
      </c>
      <c r="W1454" s="42">
        <f>$K$1442+$I$1431+$G$1399+$E$1437+$C$1506+$A$1461+$M$1457+$O$1455+Q1456</f>
        <v>273981.72020810808</v>
      </c>
      <c r="X1454">
        <f>u_CongnitiveImpairement</f>
        <v>17.270393127285455</v>
      </c>
      <c r="Z1454" s="42">
        <f t="shared" si="126"/>
        <v>7.6887516638287394</v>
      </c>
      <c r="AA1454" s="6">
        <f t="shared" si="125"/>
        <v>4.8465920934991931E-4</v>
      </c>
    </row>
    <row r="1455" spans="11:27" x14ac:dyDescent="0.3">
      <c r="M1455" s="19" t="s">
        <v>203</v>
      </c>
      <c r="O1455" s="48">
        <f>c_hypo</f>
        <v>2936.2604000000001</v>
      </c>
      <c r="Q1455" s="47">
        <f>Hypo2CI_4-(Hypo2CI_4*RDS2CLD_4)</f>
        <v>3.2801999999999998E-2</v>
      </c>
      <c r="R1455" s="47"/>
      <c r="T1455" s="80"/>
      <c r="Z1455" s="42">
        <f t="shared" si="126"/>
        <v>0</v>
      </c>
      <c r="AA1455" s="6">
        <f t="shared" si="125"/>
        <v>0</v>
      </c>
    </row>
    <row r="1456" spans="11:27" x14ac:dyDescent="0.3">
      <c r="M1456" s="47">
        <f>S_prem_2noRDS_4</f>
        <v>0.55000000000000004</v>
      </c>
      <c r="Q1456" s="48">
        <f>c_cog+c_hosp_fu+c_CSG</f>
        <v>15766</v>
      </c>
      <c r="R1456" s="48"/>
      <c r="T1456" s="80"/>
      <c r="Z1456" s="42">
        <f t="shared" si="126"/>
        <v>0</v>
      </c>
      <c r="AA1456" s="6">
        <f t="shared" si="125"/>
        <v>0</v>
      </c>
    </row>
    <row r="1457" spans="1:27" x14ac:dyDescent="0.3">
      <c r="M1457" s="48"/>
      <c r="O1457" s="42"/>
      <c r="Q1457" s="19" t="s">
        <v>369</v>
      </c>
      <c r="R1457" s="19"/>
      <c r="T1457" s="80"/>
      <c r="U1457" s="99">
        <f>G1398*E1436*C1505*A1460*I1430*K1441*M1456*O1454*Q1458</f>
        <v>1.585406336645845E-5</v>
      </c>
      <c r="V1457">
        <v>1.585406336645845E-5</v>
      </c>
      <c r="W1457" s="42">
        <f>$K$1442+$I$1431+$G$1399+$E$1437+$C$1506+$A$1461+$M$1457+$O$1455+Q1459</f>
        <v>316564.23111050809</v>
      </c>
      <c r="X1457">
        <f>u_ChronicResp+u_CongnitiveImpairement</f>
        <v>17.805052694763283</v>
      </c>
      <c r="Z1457" s="42">
        <f t="shared" si="126"/>
        <v>5.0188293795801924</v>
      </c>
      <c r="AA1457" s="6">
        <f t="shared" si="125"/>
        <v>2.8228243366590887E-4</v>
      </c>
    </row>
    <row r="1458" spans="1:27" x14ac:dyDescent="0.3">
      <c r="A1458" t="s">
        <v>300</v>
      </c>
      <c r="M1458" s="42"/>
      <c r="Q1458" s="47">
        <f>Hypo2CI_4*RDS2CLD_4</f>
        <v>1.8531333333333334E-2</v>
      </c>
      <c r="R1458" s="47"/>
      <c r="T1458" s="80"/>
      <c r="Z1458" s="42">
        <f t="shared" si="126"/>
        <v>0</v>
      </c>
      <c r="AA1458" s="6">
        <f t="shared" si="125"/>
        <v>0</v>
      </c>
    </row>
    <row r="1459" spans="1:27" x14ac:dyDescent="0.3">
      <c r="A1459" s="19" t="s">
        <v>23</v>
      </c>
      <c r="M1459" s="42"/>
      <c r="Q1459" s="48">
        <f>c_lung+c_cog+c_hosp_fu+c_CSG</f>
        <v>58348.510902399998</v>
      </c>
      <c r="R1459" s="48"/>
      <c r="T1459" s="80"/>
      <c r="Z1459" s="42">
        <f t="shared" si="126"/>
        <v>0</v>
      </c>
      <c r="AA1459" s="6">
        <f t="shared" si="125"/>
        <v>0</v>
      </c>
    </row>
    <row r="1460" spans="1:27" x14ac:dyDescent="0.3">
      <c r="A1460" s="47">
        <f>NoG2noANC</f>
        <v>0.16900000000000004</v>
      </c>
      <c r="M1460" s="42"/>
      <c r="Q1460" s="19" t="s">
        <v>370</v>
      </c>
      <c r="R1460" s="19"/>
      <c r="T1460" s="80"/>
      <c r="U1460">
        <f>$K$1441*$I$1430*$G$1398*$E$1436*$C$1505*$A$1460*$M$1456*$O$1454*Q1461</f>
        <v>5.1861899690364306E-4</v>
      </c>
      <c r="V1460">
        <v>5.1861899690364317E-4</v>
      </c>
      <c r="W1460" s="42">
        <f>$K$1442+$I$1431+$G$1399+$E$1437+$C$1506+$A$1461+$M$1457+$O$1455+Q1462</f>
        <v>272618.72020810808</v>
      </c>
      <c r="X1460">
        <f>u_Healthy</f>
        <v>0</v>
      </c>
      <c r="Z1460" s="42">
        <f t="shared" si="126"/>
        <v>141.38524721148394</v>
      </c>
      <c r="AA1460" s="6">
        <f t="shared" si="125"/>
        <v>0</v>
      </c>
    </row>
    <row r="1461" spans="1:27" x14ac:dyDescent="0.3">
      <c r="A1461" s="48"/>
      <c r="M1461" s="42"/>
      <c r="O1461" s="42"/>
      <c r="Q1461" s="47">
        <f>1-Q1452-Q1455-Q1458</f>
        <v>0.60619800000000001</v>
      </c>
      <c r="R1461" s="47"/>
      <c r="T1461" s="80"/>
      <c r="Z1461" s="42">
        <f t="shared" si="126"/>
        <v>0</v>
      </c>
      <c r="AA1461" s="6">
        <f t="shared" si="125"/>
        <v>0</v>
      </c>
    </row>
    <row r="1462" spans="1:27" x14ac:dyDescent="0.3">
      <c r="M1462" s="42"/>
      <c r="Q1462" s="48">
        <f>c_clinic_fu+c_CSG</f>
        <v>14403</v>
      </c>
      <c r="R1462" s="48"/>
      <c r="S1462" s="96"/>
      <c r="T1462" s="80"/>
      <c r="Z1462" s="42">
        <f t="shared" si="126"/>
        <v>0</v>
      </c>
      <c r="AA1462" s="6">
        <f t="shared" si="125"/>
        <v>0</v>
      </c>
    </row>
    <row r="1463" spans="1:27" x14ac:dyDescent="0.3">
      <c r="M1463" s="42"/>
      <c r="Q1463" s="42"/>
      <c r="R1463" s="42"/>
      <c r="T1463" s="80"/>
      <c r="Z1463" s="42">
        <f t="shared" si="126"/>
        <v>0</v>
      </c>
      <c r="AA1463" s="6">
        <f t="shared" si="125"/>
        <v>0</v>
      </c>
    </row>
    <row r="1464" spans="1:27" x14ac:dyDescent="0.3">
      <c r="M1464" s="42"/>
      <c r="Q1464" s="19" t="s">
        <v>368</v>
      </c>
      <c r="R1464" s="19"/>
      <c r="T1464" s="80"/>
      <c r="U1464">
        <f>$K$1441*$I$1430*$G$1398*$E$1436*$C$1505*$A$1460*$M$1456*$O$1468*Q1465</f>
        <v>1.6922200205973365E-3</v>
      </c>
      <c r="V1464">
        <v>1.6922200205973369E-3</v>
      </c>
      <c r="W1464" s="42">
        <f>$K$1442+$I$1431+$G$1399+$E$1437+$C$1506+$A$1461+$M$1457+$O$1469+Q1466</f>
        <v>309808.97071050806</v>
      </c>
      <c r="X1464">
        <f>u_ChronicResp</f>
        <v>0.53465956747782661</v>
      </c>
      <c r="Z1464" s="42">
        <f t="shared" si="126"/>
        <v>524.26494279697556</v>
      </c>
      <c r="AA1464" s="6">
        <f t="shared" si="125"/>
        <v>9.0476162428989074E-4</v>
      </c>
    </row>
    <row r="1465" spans="1:27" x14ac:dyDescent="0.3">
      <c r="M1465" s="42"/>
      <c r="Q1465" s="47">
        <f>RDS2CLD_4-(RDS2CLD_4*noHypo2CI_4)</f>
        <v>0.34905610687022898</v>
      </c>
      <c r="R1465" s="47"/>
      <c r="T1465" s="80"/>
      <c r="Z1465" s="42">
        <f t="shared" si="126"/>
        <v>0</v>
      </c>
      <c r="AA1465" s="6">
        <f t="shared" si="125"/>
        <v>0</v>
      </c>
    </row>
    <row r="1466" spans="1:27" x14ac:dyDescent="0.3">
      <c r="M1466" s="42"/>
      <c r="Q1466" s="48">
        <f>c_lung+c_hosp_fu+c_CSG</f>
        <v>54529.510902399998</v>
      </c>
      <c r="R1466" s="48"/>
      <c r="T1466" s="80"/>
      <c r="Z1466" s="42">
        <f t="shared" si="126"/>
        <v>0</v>
      </c>
      <c r="AA1466" s="6">
        <f t="shared" si="125"/>
        <v>0</v>
      </c>
    </row>
    <row r="1467" spans="1:27" x14ac:dyDescent="0.3">
      <c r="M1467" s="42"/>
      <c r="O1467" s="19" t="s">
        <v>371</v>
      </c>
      <c r="Q1467" s="19" t="s">
        <v>226</v>
      </c>
      <c r="R1467" s="19"/>
      <c r="T1467" s="80"/>
      <c r="U1467">
        <f>$K$1441*$I$1430*$G$1398*$E$1436*$C$1505*$A$1460*$M$1456*$O$1468*Q1468</f>
        <v>1.0249463976214319E-4</v>
      </c>
      <c r="V1467">
        <v>1.0249463976214322E-4</v>
      </c>
      <c r="W1467" s="42">
        <f>$K$1442+$I$1431+$G$1399+$E$1437+$C$1506+$A$1461+$M$1457+$O$1469+Q1469</f>
        <v>271045.45980810805</v>
      </c>
      <c r="X1467">
        <f>u_CongnitiveImpairement</f>
        <v>17.270393127285455</v>
      </c>
      <c r="Z1467" s="42">
        <f t="shared" si="126"/>
        <v>27.780706762196495</v>
      </c>
      <c r="AA1467" s="6">
        <f t="shared" si="125"/>
        <v>1.7701227221317162E-3</v>
      </c>
    </row>
    <row r="1468" spans="1:27" x14ac:dyDescent="0.3">
      <c r="M1468" s="42"/>
      <c r="O1468" s="47">
        <f>AGA_prem_2normoglycaemia_4</f>
        <v>0.85</v>
      </c>
      <c r="Q1468" s="47">
        <f>noHypo2CI_4-(RDS2CLD_4*noHypo2CI_4)</f>
        <v>2.1141683406990762E-2</v>
      </c>
      <c r="R1468" s="47"/>
      <c r="T1468" s="80"/>
      <c r="Z1468" s="42">
        <f t="shared" si="126"/>
        <v>0</v>
      </c>
      <c r="AA1468" s="6">
        <f t="shared" si="125"/>
        <v>0</v>
      </c>
    </row>
    <row r="1469" spans="1:27" x14ac:dyDescent="0.3">
      <c r="M1469" s="42"/>
      <c r="O1469" s="48"/>
      <c r="Q1469" s="48">
        <f>c_cog+c_hosp_fu+c_CSG</f>
        <v>15766</v>
      </c>
      <c r="R1469" s="48"/>
      <c r="T1469" s="80"/>
      <c r="Z1469" s="42">
        <f t="shared" si="126"/>
        <v>0</v>
      </c>
      <c r="AA1469" s="6">
        <f t="shared" si="125"/>
        <v>0</v>
      </c>
    </row>
    <row r="1470" spans="1:27" x14ac:dyDescent="0.3">
      <c r="M1470" s="42"/>
      <c r="Q1470" s="19" t="s">
        <v>369</v>
      </c>
      <c r="R1470" s="19"/>
      <c r="T1470" s="80"/>
      <c r="U1470">
        <f>$K$1441*$I$1430*$G$1398*$E$1436*$C$1505*$A$1460*$M$1456*$O$1468*Q1471</f>
        <v>5.7903857518206079E-5</v>
      </c>
      <c r="V1470">
        <v>5.7903857518206092E-5</v>
      </c>
      <c r="W1470" s="42">
        <f>$K$1442+$I$1431+$G$1399+$E$1437+$C$1506+$A$1461+$M$1457+$O$1469+Q1472</f>
        <v>313627.97071050806</v>
      </c>
      <c r="X1470">
        <f>u_ChronicResp+u_CongnitiveImpairement</f>
        <v>17.805052694763283</v>
      </c>
      <c r="Z1470" s="42">
        <f t="shared" si="126"/>
        <v>18.160269329745368</v>
      </c>
      <c r="AA1470" s="6">
        <f t="shared" si="125"/>
        <v>1.0309812343417242E-3</v>
      </c>
    </row>
    <row r="1471" spans="1:27" x14ac:dyDescent="0.3">
      <c r="Q1471" s="47">
        <f>RDS2CLD_4*noHypo2CI_4</f>
        <v>1.1943893129770991E-2</v>
      </c>
      <c r="R1471" s="47"/>
      <c r="T1471" s="80"/>
      <c r="Z1471" s="42">
        <f t="shared" si="126"/>
        <v>0</v>
      </c>
      <c r="AA1471" s="6">
        <f t="shared" si="125"/>
        <v>0</v>
      </c>
    </row>
    <row r="1472" spans="1:27" x14ac:dyDescent="0.3">
      <c r="Q1472" s="48">
        <f>c_cog+c_lung+c_hosp_fu+c_CSG</f>
        <v>58348.510902399998</v>
      </c>
      <c r="R1472" s="48"/>
      <c r="T1472" s="80"/>
      <c r="Z1472" s="42">
        <f t="shared" si="126"/>
        <v>0</v>
      </c>
      <c r="AA1472" s="6">
        <f t="shared" si="125"/>
        <v>0</v>
      </c>
    </row>
    <row r="1473" spans="9:27" x14ac:dyDescent="0.3">
      <c r="M1473" s="42"/>
      <c r="Q1473" s="19" t="s">
        <v>370</v>
      </c>
      <c r="R1473" s="19"/>
      <c r="T1473" s="80"/>
      <c r="U1473">
        <f>$K$1441*$I$1430*$G$1398*$E$1436*$C$1505*$A$1460*$M$1456*$O$1468*Q1474</f>
        <v>2.9953700641598292E-3</v>
      </c>
      <c r="V1473">
        <v>2.99537006415983E-3</v>
      </c>
      <c r="W1473" s="42">
        <f>$K$1442+$I$1431+$G$1399+$E$1437+$C$1506+$A$1461+$M$1457+$O$1469+Q1475</f>
        <v>269682.45980810805</v>
      </c>
      <c r="X1473">
        <f>u_Healthy</f>
        <v>0</v>
      </c>
      <c r="Z1473" s="42">
        <f t="shared" si="126"/>
        <v>807.79876693819313</v>
      </c>
      <c r="AA1473" s="6">
        <f t="shared" si="125"/>
        <v>0</v>
      </c>
    </row>
    <row r="1474" spans="9:27" x14ac:dyDescent="0.3">
      <c r="M1474" s="42"/>
      <c r="Q1474" s="47">
        <f>1-Q1471-Q1468-Q1465</f>
        <v>0.61785831659300938</v>
      </c>
      <c r="R1474" s="47"/>
      <c r="T1474" s="80"/>
      <c r="Z1474" s="42">
        <f t="shared" si="126"/>
        <v>0</v>
      </c>
      <c r="AA1474" s="6">
        <f t="shared" si="125"/>
        <v>0</v>
      </c>
    </row>
    <row r="1475" spans="9:27" x14ac:dyDescent="0.3">
      <c r="M1475" s="42"/>
      <c r="Q1475" s="48">
        <f>c_clinic_fu+c_CSG</f>
        <v>14403</v>
      </c>
      <c r="R1475" s="48"/>
      <c r="T1475" s="80"/>
      <c r="Z1475" s="42">
        <f t="shared" si="126"/>
        <v>0</v>
      </c>
      <c r="AA1475" s="6">
        <f t="shared" si="125"/>
        <v>0</v>
      </c>
    </row>
    <row r="1476" spans="9:27" x14ac:dyDescent="0.3">
      <c r="M1476" s="42"/>
      <c r="Q1476" s="42"/>
      <c r="R1476" s="42"/>
      <c r="T1476" s="80"/>
      <c r="Z1476" s="42">
        <f t="shared" si="126"/>
        <v>0</v>
      </c>
      <c r="AA1476" s="6">
        <f t="shared" si="125"/>
        <v>0</v>
      </c>
    </row>
    <row r="1477" spans="9:27" x14ac:dyDescent="0.3">
      <c r="K1477" s="19" t="s">
        <v>165</v>
      </c>
      <c r="L1477" s="19"/>
      <c r="M1477" s="19"/>
      <c r="N1477" s="19"/>
      <c r="O1477" s="19"/>
      <c r="P1477" s="19"/>
      <c r="Q1477" s="19"/>
      <c r="R1477" s="19"/>
      <c r="T1477" s="80"/>
      <c r="U1477">
        <f>$K$1478*$I$1486*$G$1507*$E$1436*$C$1505*$A$1460</f>
        <v>0</v>
      </c>
      <c r="W1477" s="42">
        <f>$K$1479+$I$1487+$G$1508+$E$1437+$C$1506+$A$1461</f>
        <v>3625.1017081081081</v>
      </c>
      <c r="X1477">
        <f>u_Death</f>
        <v>19.181538114427529</v>
      </c>
      <c r="Z1477" s="42">
        <f t="shared" si="126"/>
        <v>0</v>
      </c>
      <c r="AA1477" s="6">
        <f t="shared" si="125"/>
        <v>0</v>
      </c>
    </row>
    <row r="1478" spans="9:27" x14ac:dyDescent="0.3">
      <c r="K1478" s="47">
        <f>SGA_prem_2d_4</f>
        <v>8.4066666666666665E-2</v>
      </c>
      <c r="T1478" s="80"/>
      <c r="V1478">
        <v>0</v>
      </c>
      <c r="Z1478" s="42">
        <f t="shared" si="126"/>
        <v>0</v>
      </c>
      <c r="AA1478" s="6">
        <f t="shared" si="125"/>
        <v>0</v>
      </c>
    </row>
    <row r="1479" spans="9:27" x14ac:dyDescent="0.3">
      <c r="K1479" s="48">
        <f>c_SB</f>
        <v>1792</v>
      </c>
      <c r="T1479" s="80"/>
      <c r="Z1479" s="42">
        <f t="shared" si="126"/>
        <v>0</v>
      </c>
      <c r="AA1479" s="6">
        <f t="shared" si="125"/>
        <v>0</v>
      </c>
    </row>
    <row r="1480" spans="9:27" x14ac:dyDescent="0.3">
      <c r="T1480" s="80"/>
      <c r="Z1480" s="42">
        <f t="shared" si="126"/>
        <v>0</v>
      </c>
      <c r="AA1480" s="6">
        <f t="shared" si="125"/>
        <v>0</v>
      </c>
    </row>
    <row r="1481" spans="9:27" x14ac:dyDescent="0.3">
      <c r="Q1481" s="19" t="s">
        <v>368</v>
      </c>
      <c r="R1481" s="19"/>
      <c r="T1481" s="80"/>
      <c r="U1481">
        <f>$K$1497*$I$1486*$G$1507*$E$1436*$C$1505*$A$1460*$M$1492*$O$1487*Q1482</f>
        <v>0</v>
      </c>
      <c r="W1481" s="42">
        <f>$K$1498+$I$1487+$G$1508+$E$1437+$C$1506+$A$1461+$M$1493+$O$1488+Q1483</f>
        <v>89894.483158713745</v>
      </c>
      <c r="X1481">
        <f>u_ChronicResp</f>
        <v>0.53465956747782661</v>
      </c>
      <c r="Z1481" s="42">
        <f t="shared" si="126"/>
        <v>0</v>
      </c>
      <c r="AA1481" s="6">
        <f t="shared" si="125"/>
        <v>0</v>
      </c>
    </row>
    <row r="1482" spans="9:27" x14ac:dyDescent="0.3">
      <c r="Q1482" s="47">
        <f>RDS2CLD_4-(Hypo2CI_4*RDS2CLD_4)</f>
        <v>0.34246866666666664</v>
      </c>
      <c r="R1482" s="47"/>
      <c r="T1482" s="80"/>
      <c r="V1482">
        <v>0</v>
      </c>
      <c r="Z1482" s="42">
        <f t="shared" si="126"/>
        <v>0</v>
      </c>
      <c r="AA1482" s="6">
        <f t="shared" si="125"/>
        <v>0</v>
      </c>
    </row>
    <row r="1483" spans="9:27" x14ac:dyDescent="0.3">
      <c r="Q1483" s="48">
        <f>c_lung+c_hosp_fu+c_CSG</f>
        <v>54529.510902399998</v>
      </c>
      <c r="R1483" s="48"/>
      <c r="T1483" s="80"/>
      <c r="Z1483" s="42">
        <f t="shared" si="126"/>
        <v>0</v>
      </c>
      <c r="AA1483" s="6">
        <f t="shared" si="125"/>
        <v>0</v>
      </c>
    </row>
    <row r="1484" spans="9:27" x14ac:dyDescent="0.3">
      <c r="Q1484" s="19" t="s">
        <v>226</v>
      </c>
      <c r="R1484" s="19"/>
      <c r="T1484" s="80"/>
      <c r="U1484">
        <f>$K$1497*$I$1486*$G$1507*$E$1436*$C$1505*$A$1460*$M$1492*$O$1487*Q1485</f>
        <v>0</v>
      </c>
      <c r="W1484" s="42">
        <f>$K$1498+$I$1487+$G$1508+$E$1437+$C$1506+$A$1461+$M$1493+$O$1488+Q1486</f>
        <v>51130.972256313747</v>
      </c>
      <c r="X1484">
        <f>u_CongnitiveImpairement</f>
        <v>17.270393127285455</v>
      </c>
      <c r="Z1484" s="42">
        <f t="shared" si="126"/>
        <v>0</v>
      </c>
      <c r="AA1484" s="6">
        <f t="shared" si="125"/>
        <v>0</v>
      </c>
    </row>
    <row r="1485" spans="9:27" x14ac:dyDescent="0.3">
      <c r="I1485" s="19" t="s">
        <v>164</v>
      </c>
      <c r="Q1485" s="47">
        <f>Hypo2CI_4-(Hypo2CI_4*RDS2CLD_4)</f>
        <v>3.2801999999999998E-2</v>
      </c>
      <c r="R1485" s="47"/>
      <c r="T1485" s="80"/>
      <c r="V1485">
        <v>0</v>
      </c>
      <c r="Z1485" s="42">
        <f t="shared" si="126"/>
        <v>0</v>
      </c>
      <c r="AA1485" s="6">
        <f t="shared" ref="AA1485:AA1548" si="127">U1485*X1485</f>
        <v>0</v>
      </c>
    </row>
    <row r="1486" spans="9:27" x14ac:dyDescent="0.3">
      <c r="I1486" s="47">
        <f>NBW_prem_2SGA_4</f>
        <v>0</v>
      </c>
      <c r="O1486" s="19" t="s">
        <v>161</v>
      </c>
      <c r="Q1486" s="48">
        <f>c_cog+c_hosp_fu+c_CSG</f>
        <v>15766</v>
      </c>
      <c r="R1486" s="48"/>
      <c r="T1486" s="80"/>
      <c r="Z1486" s="42">
        <f t="shared" si="126"/>
        <v>0</v>
      </c>
      <c r="AA1486" s="6">
        <f t="shared" si="127"/>
        <v>0</v>
      </c>
    </row>
    <row r="1487" spans="9:27" x14ac:dyDescent="0.3">
      <c r="I1487" s="48"/>
      <c r="O1487" s="47">
        <f>SGA_prem_2hypoglycaemia_4</f>
        <v>0.2155</v>
      </c>
      <c r="Q1487" s="19" t="s">
        <v>369</v>
      </c>
      <c r="R1487" s="19"/>
      <c r="T1487" s="80"/>
      <c r="U1487">
        <f>$K$1497*$I$1486*$G$1507*$E$1436*$C$1505*$A$1460*$M$1492*$O$1487*Q1488</f>
        <v>0</v>
      </c>
      <c r="W1487" s="42">
        <f>$K$1498+$I$1487+$G$1508+$E$1437+$C$1506+$A$1461+$M$1493+$O$1488+Q1489</f>
        <v>93713.483158713745</v>
      </c>
      <c r="X1487">
        <f>u_ChronicResp+u_CongnitiveImpairement</f>
        <v>17.805052694763283</v>
      </c>
      <c r="Z1487" s="42">
        <f t="shared" ref="Z1487:Z1550" si="128">U1487*W1487</f>
        <v>0</v>
      </c>
      <c r="AA1487" s="6">
        <f t="shared" si="127"/>
        <v>0</v>
      </c>
    </row>
    <row r="1488" spans="9:27" x14ac:dyDescent="0.3">
      <c r="O1488" s="48">
        <f>c_hypo</f>
        <v>2936.2604000000001</v>
      </c>
      <c r="Q1488" s="47">
        <f>Hypo2CI_4*RDS2CLD_4</f>
        <v>1.8531333333333334E-2</v>
      </c>
      <c r="R1488" s="47"/>
      <c r="T1488" s="80"/>
      <c r="V1488">
        <v>0</v>
      </c>
      <c r="Z1488" s="42">
        <f t="shared" si="128"/>
        <v>0</v>
      </c>
      <c r="AA1488" s="6">
        <f t="shared" si="127"/>
        <v>0</v>
      </c>
    </row>
    <row r="1489" spans="3:27" x14ac:dyDescent="0.3">
      <c r="M1489" s="42"/>
      <c r="Q1489" s="48">
        <f>c_lung+c_cog+c_hosp_fu+c_CSG</f>
        <v>58348.510902399998</v>
      </c>
      <c r="R1489" s="48"/>
      <c r="T1489" s="80"/>
      <c r="Z1489" s="42">
        <f t="shared" si="128"/>
        <v>0</v>
      </c>
      <c r="AA1489" s="6">
        <f t="shared" si="127"/>
        <v>0</v>
      </c>
    </row>
    <row r="1490" spans="3:27" x14ac:dyDescent="0.3">
      <c r="Q1490" s="19" t="s">
        <v>370</v>
      </c>
      <c r="R1490" s="19"/>
      <c r="T1490" s="80"/>
      <c r="U1490">
        <f>$K$1497*$I$1486*$G$1507*$E$1436*$C$1505*$A$1460*$M$1492*$O$1487*Q1491</f>
        <v>0</v>
      </c>
      <c r="W1490" s="42">
        <f>$K$1498+$I$1487+$G$1508+$E$1437+$C$1506+$A$1461+$M$1493+$O$1488+Q1492</f>
        <v>49767.972256313747</v>
      </c>
      <c r="X1490">
        <f>u_Healthy</f>
        <v>0</v>
      </c>
      <c r="Z1490" s="42">
        <f t="shared" si="128"/>
        <v>0</v>
      </c>
      <c r="AA1490" s="6">
        <f t="shared" si="127"/>
        <v>0</v>
      </c>
    </row>
    <row r="1491" spans="3:27" x14ac:dyDescent="0.3">
      <c r="M1491" s="19" t="s">
        <v>9</v>
      </c>
      <c r="Q1491" s="47">
        <f>1-Q1482-Q1485-Q1488</f>
        <v>0.60619800000000001</v>
      </c>
      <c r="R1491" s="47"/>
      <c r="T1491" s="80"/>
      <c r="V1491">
        <v>0</v>
      </c>
      <c r="Z1491" s="42">
        <f t="shared" si="128"/>
        <v>0</v>
      </c>
      <c r="AA1491" s="6">
        <f t="shared" si="127"/>
        <v>0</v>
      </c>
    </row>
    <row r="1492" spans="3:27" x14ac:dyDescent="0.3">
      <c r="K1492" s="42"/>
      <c r="M1492" s="47">
        <f>S_prem_2RDS_4</f>
        <v>0.45</v>
      </c>
      <c r="Q1492" s="48">
        <f>c_clinic_fu+c_CSG</f>
        <v>14403</v>
      </c>
      <c r="R1492" s="48"/>
      <c r="T1492" s="80"/>
      <c r="Z1492" s="42">
        <f t="shared" si="128"/>
        <v>0</v>
      </c>
      <c r="AA1492" s="6">
        <f t="shared" si="127"/>
        <v>0</v>
      </c>
    </row>
    <row r="1493" spans="3:27" x14ac:dyDescent="0.3">
      <c r="K1493" s="42"/>
      <c r="M1493" s="48">
        <f>c_RDS</f>
        <v>30595.610148205637</v>
      </c>
      <c r="Q1493" s="42"/>
      <c r="R1493" s="42"/>
      <c r="T1493" s="80"/>
      <c r="Z1493" s="42">
        <f t="shared" si="128"/>
        <v>0</v>
      </c>
      <c r="AA1493" s="6">
        <f t="shared" si="127"/>
        <v>0</v>
      </c>
    </row>
    <row r="1494" spans="3:27" x14ac:dyDescent="0.3">
      <c r="Q1494" s="19" t="s">
        <v>368</v>
      </c>
      <c r="R1494" s="19"/>
      <c r="T1494" s="80"/>
      <c r="U1494">
        <f>$K$1497*$I$1486*$G$1507*$E$1436*$C$1505*$A$1460*$M$1492*$O$1497*Q1495</f>
        <v>0</v>
      </c>
      <c r="W1494" s="42">
        <f>$K$1498+$I$1487+$G$1508+$E$1437+$C$1506+$A$1461+$M$1493+$O$1498+Q1496</f>
        <v>86958.222758713746</v>
      </c>
      <c r="X1494">
        <f>u_ChronicResp</f>
        <v>0.53465956747782661</v>
      </c>
      <c r="Z1494" s="42">
        <f t="shared" si="128"/>
        <v>0</v>
      </c>
      <c r="AA1494" s="6">
        <f t="shared" si="127"/>
        <v>0</v>
      </c>
    </row>
    <row r="1495" spans="3:27" x14ac:dyDescent="0.3">
      <c r="Q1495" s="47">
        <f>RDS2CLD_4-(RDS2CLD_4*noHypo2CI_4)</f>
        <v>0.34905610687022898</v>
      </c>
      <c r="R1495" s="47"/>
      <c r="T1495" s="80"/>
      <c r="V1495">
        <v>0</v>
      </c>
      <c r="Z1495" s="42">
        <f t="shared" si="128"/>
        <v>0</v>
      </c>
      <c r="AA1495" s="6">
        <f t="shared" si="127"/>
        <v>0</v>
      </c>
    </row>
    <row r="1496" spans="3:27" x14ac:dyDescent="0.3">
      <c r="K1496" s="19" t="s">
        <v>37</v>
      </c>
      <c r="M1496" s="42"/>
      <c r="O1496" s="19" t="s">
        <v>371</v>
      </c>
      <c r="Q1496" s="48">
        <f>c_lung+c_hosp_fu+c_CSG</f>
        <v>54529.510902399998</v>
      </c>
      <c r="R1496" s="48"/>
      <c r="T1496" s="80"/>
      <c r="Z1496" s="42">
        <f t="shared" si="128"/>
        <v>0</v>
      </c>
      <c r="AA1496" s="6">
        <f t="shared" si="127"/>
        <v>0</v>
      </c>
    </row>
    <row r="1497" spans="3:27" x14ac:dyDescent="0.3">
      <c r="K1497" s="47">
        <f>SGA_prem_2s_4</f>
        <v>0.91593333333333338</v>
      </c>
      <c r="O1497" s="47">
        <f>SGA_prem_2normoglycaemia_4</f>
        <v>0.78449999999999998</v>
      </c>
      <c r="Q1497" s="19" t="s">
        <v>226</v>
      </c>
      <c r="R1497" s="19"/>
      <c r="T1497" s="80"/>
      <c r="U1497">
        <f>$K$1497*$I$1486*$G$1507*$E$1436*$C$1505*$A$1460*$M$1492*$O$1497*Q1498</f>
        <v>0</v>
      </c>
      <c r="W1497" s="42">
        <f>$K$1498+$I$1487+$G$1508+$E$1437+$C$1506+$A$1461+$M$1493+$O$1498+Q1499</f>
        <v>48194.711856313748</v>
      </c>
      <c r="X1497">
        <f>u_CongnitiveImpairement</f>
        <v>17.270393127285455</v>
      </c>
      <c r="Z1497" s="42">
        <f t="shared" si="128"/>
        <v>0</v>
      </c>
      <c r="AA1497" s="6">
        <f t="shared" si="127"/>
        <v>0</v>
      </c>
    </row>
    <row r="1498" spans="3:27" x14ac:dyDescent="0.3">
      <c r="K1498" s="48"/>
      <c r="O1498" s="48"/>
      <c r="Q1498" s="47">
        <f>noHypo2CI_4-(RDS2CLD_4*noHypo2CI_4)</f>
        <v>2.1141683406990762E-2</v>
      </c>
      <c r="R1498" s="47"/>
      <c r="T1498" s="80"/>
      <c r="V1498">
        <v>0</v>
      </c>
      <c r="Z1498" s="42">
        <f t="shared" si="128"/>
        <v>0</v>
      </c>
      <c r="AA1498" s="6">
        <f t="shared" si="127"/>
        <v>0</v>
      </c>
    </row>
    <row r="1499" spans="3:27" x14ac:dyDescent="0.3">
      <c r="Q1499" s="48">
        <f>c_cog+c_hosp_fu+c_CSG</f>
        <v>15766</v>
      </c>
      <c r="R1499" s="48"/>
      <c r="T1499" s="80"/>
      <c r="Z1499" s="42">
        <f t="shared" si="128"/>
        <v>0</v>
      </c>
      <c r="AA1499" s="6">
        <f t="shared" si="127"/>
        <v>0</v>
      </c>
    </row>
    <row r="1500" spans="3:27" x14ac:dyDescent="0.3">
      <c r="Q1500" s="19" t="s">
        <v>369</v>
      </c>
      <c r="R1500" s="19"/>
      <c r="T1500" s="80"/>
      <c r="U1500">
        <f>$K$1497*$I$1486*$G$1507*$E$1436*$C$1505*$A$1460*$M$1492*$O$1497*Q1501</f>
        <v>0</v>
      </c>
      <c r="W1500" s="42">
        <f>$K$1498+$I$1487+$G$1508+$E$1437+$C$1506+$A$1461+$M$1493+$O$1498+Q1502</f>
        <v>90777.222758713746</v>
      </c>
      <c r="X1500">
        <f>u_ChronicResp+u_CongnitiveImpairement</f>
        <v>17.805052694763283</v>
      </c>
      <c r="Z1500" s="42">
        <f t="shared" si="128"/>
        <v>0</v>
      </c>
      <c r="AA1500" s="6">
        <f t="shared" si="127"/>
        <v>0</v>
      </c>
    </row>
    <row r="1501" spans="3:27" x14ac:dyDescent="0.3">
      <c r="Q1501" s="47">
        <f>RDS2CLD_4*noHypo2CI_4</f>
        <v>1.1943893129770991E-2</v>
      </c>
      <c r="R1501" s="47"/>
      <c r="T1501" s="80"/>
      <c r="V1501">
        <v>0</v>
      </c>
      <c r="Z1501" s="42">
        <f t="shared" si="128"/>
        <v>0</v>
      </c>
      <c r="AA1501" s="6">
        <f t="shared" si="127"/>
        <v>0</v>
      </c>
    </row>
    <row r="1502" spans="3:27" x14ac:dyDescent="0.3">
      <c r="Q1502" s="48">
        <f>c_cog+c_lung+c_hosp_fu+c_CSG</f>
        <v>58348.510902399998</v>
      </c>
      <c r="R1502" s="48"/>
      <c r="T1502" s="80"/>
      <c r="Z1502" s="42">
        <f t="shared" si="128"/>
        <v>0</v>
      </c>
      <c r="AA1502" s="6">
        <f t="shared" si="127"/>
        <v>0</v>
      </c>
    </row>
    <row r="1503" spans="3:27" x14ac:dyDescent="0.3">
      <c r="Q1503" s="19" t="s">
        <v>370</v>
      </c>
      <c r="R1503" s="19"/>
      <c r="T1503" s="80"/>
      <c r="U1503">
        <f>$K$1497*$I$1486*$G$1507*$E$1436*$C$1505*$A$1460*$M$1492*$O$1497*Q1504</f>
        <v>0</v>
      </c>
      <c r="W1503" s="42">
        <f>$K$1498+$I$1487+$G$1508+$E$1437+$C$1506+$A$1461+$M$1493+$O$1498+Q1505</f>
        <v>46831.711856313748</v>
      </c>
      <c r="X1503">
        <f>u_Healthy</f>
        <v>0</v>
      </c>
      <c r="Z1503" s="42">
        <f t="shared" si="128"/>
        <v>0</v>
      </c>
      <c r="AA1503" s="6">
        <f t="shared" si="127"/>
        <v>0</v>
      </c>
    </row>
    <row r="1504" spans="3:27" x14ac:dyDescent="0.3">
      <c r="C1504" s="19" t="s">
        <v>373</v>
      </c>
      <c r="Q1504" s="47">
        <f>1-Q1501-Q1498-Q1495</f>
        <v>0.61785831659300938</v>
      </c>
      <c r="R1504" s="47"/>
      <c r="T1504" s="80"/>
      <c r="V1504">
        <v>0</v>
      </c>
      <c r="Z1504" s="42">
        <f t="shared" si="128"/>
        <v>0</v>
      </c>
      <c r="AA1504" s="6">
        <f t="shared" si="127"/>
        <v>0</v>
      </c>
    </row>
    <row r="1505" spans="3:27" x14ac:dyDescent="0.3">
      <c r="C1505" s="47">
        <f>NoANC2LB_4</f>
        <v>0.96843702579666158</v>
      </c>
      <c r="Q1505" s="48">
        <f>c_clinic_fu+c_CSG</f>
        <v>14403</v>
      </c>
      <c r="R1505" s="48"/>
      <c r="T1505" s="80"/>
      <c r="Z1505" s="42">
        <f t="shared" si="128"/>
        <v>0</v>
      </c>
      <c r="AA1505" s="6">
        <f t="shared" si="127"/>
        <v>0</v>
      </c>
    </row>
    <row r="1506" spans="3:27" x14ac:dyDescent="0.3">
      <c r="C1506" s="48"/>
      <c r="G1506" s="19" t="s">
        <v>372</v>
      </c>
      <c r="Q1506" s="42"/>
      <c r="R1506" s="42"/>
      <c r="T1506" s="80"/>
      <c r="Z1506" s="42">
        <f t="shared" si="128"/>
        <v>0</v>
      </c>
      <c r="AA1506" s="6">
        <f t="shared" si="127"/>
        <v>0</v>
      </c>
    </row>
    <row r="1507" spans="3:27" x14ac:dyDescent="0.3">
      <c r="G1507" s="47">
        <f>Prem2NBW_4</f>
        <v>0.31864406779661014</v>
      </c>
      <c r="Q1507" s="19" t="s">
        <v>368</v>
      </c>
      <c r="R1507" s="19"/>
      <c r="T1507" s="80"/>
      <c r="U1507">
        <f>$K$1497*$I$1486*$G$1507*$E$1436*$C$1505*$A$1460*$M$1512*$O$1510*Q1508</f>
        <v>0</v>
      </c>
      <c r="W1507" s="42">
        <f>$K$1498+$I$1487+$G$1508+$E$1437+$C$1506+$A$1461+$M$1513+$O$1511+Q1509</f>
        <v>59298.873010508105</v>
      </c>
      <c r="X1507">
        <f>u_ChronicResp</f>
        <v>0.53465956747782661</v>
      </c>
      <c r="Z1507" s="42">
        <f t="shared" si="128"/>
        <v>0</v>
      </c>
      <c r="AA1507" s="6">
        <f t="shared" si="127"/>
        <v>0</v>
      </c>
    </row>
    <row r="1508" spans="3:27" x14ac:dyDescent="0.3">
      <c r="G1508" s="48">
        <f>c_NICU_NBW</f>
        <v>1255.2</v>
      </c>
      <c r="Q1508" s="47">
        <f>RDS2CLD_4-(Hypo2CI_4*RDS2CLD_4)</f>
        <v>0.34246866666666664</v>
      </c>
      <c r="R1508" s="47"/>
      <c r="T1508" s="80"/>
      <c r="V1508">
        <v>0</v>
      </c>
      <c r="Z1508" s="42">
        <f t="shared" si="128"/>
        <v>0</v>
      </c>
      <c r="AA1508" s="6">
        <f t="shared" si="127"/>
        <v>0</v>
      </c>
    </row>
    <row r="1509" spans="3:27" x14ac:dyDescent="0.3">
      <c r="O1509" s="19" t="s">
        <v>161</v>
      </c>
      <c r="Q1509" s="48">
        <f>c_lung+c_hosp_fu+c_CSG</f>
        <v>54529.510902399998</v>
      </c>
      <c r="R1509" s="48"/>
      <c r="T1509" s="80"/>
      <c r="Z1509" s="42">
        <f t="shared" si="128"/>
        <v>0</v>
      </c>
      <c r="AA1509" s="6">
        <f t="shared" si="127"/>
        <v>0</v>
      </c>
    </row>
    <row r="1510" spans="3:27" x14ac:dyDescent="0.3">
      <c r="O1510" s="47">
        <f>SGA_prem_2hypoglycaemia_4</f>
        <v>0.2155</v>
      </c>
      <c r="Q1510" s="19" t="s">
        <v>226</v>
      </c>
      <c r="R1510" s="19"/>
      <c r="T1510" s="80"/>
      <c r="U1510">
        <f>$K$1497*$I$1486*$G$1507*$E$1436*$C$1505*$A$1460*$M$1512*$O$1510*Q1511</f>
        <v>0</v>
      </c>
      <c r="W1510" s="42">
        <f>$K$1498+$I$1487+$G$1508+$E$1437+$C$1506+$A$1461+$M$1513+$O$1511+Q1512</f>
        <v>20535.362108108107</v>
      </c>
      <c r="X1510">
        <f>u_CongnitiveImpairement</f>
        <v>17.270393127285455</v>
      </c>
      <c r="Z1510" s="42">
        <f t="shared" si="128"/>
        <v>0</v>
      </c>
      <c r="AA1510" s="6">
        <f t="shared" si="127"/>
        <v>0</v>
      </c>
    </row>
    <row r="1511" spans="3:27" x14ac:dyDescent="0.3">
      <c r="M1511" s="19" t="s">
        <v>203</v>
      </c>
      <c r="O1511" s="48">
        <f>c_hypo</f>
        <v>2936.2604000000001</v>
      </c>
      <c r="Q1511" s="47">
        <f>Hypo2CI_4-(Hypo2CI_4*RDS2CLD_4)</f>
        <v>3.2801999999999998E-2</v>
      </c>
      <c r="R1511" s="47"/>
      <c r="T1511" s="80"/>
      <c r="V1511">
        <v>0</v>
      </c>
      <c r="Z1511" s="42">
        <f t="shared" si="128"/>
        <v>0</v>
      </c>
      <c r="AA1511" s="6">
        <f t="shared" si="127"/>
        <v>0</v>
      </c>
    </row>
    <row r="1512" spans="3:27" x14ac:dyDescent="0.3">
      <c r="M1512" s="47">
        <f>S_prem_2noRDS_4</f>
        <v>0.55000000000000004</v>
      </c>
      <c r="Q1512" s="48">
        <f>c_cog+c_hosp_fu+c_CSG</f>
        <v>15766</v>
      </c>
      <c r="R1512" s="48"/>
      <c r="T1512" s="80"/>
      <c r="Z1512" s="42">
        <f t="shared" si="128"/>
        <v>0</v>
      </c>
      <c r="AA1512" s="6">
        <f t="shared" si="127"/>
        <v>0</v>
      </c>
    </row>
    <row r="1513" spans="3:27" x14ac:dyDescent="0.3">
      <c r="G1513" s="42"/>
      <c r="M1513" s="48"/>
      <c r="O1513" s="42"/>
      <c r="Q1513" s="19" t="s">
        <v>369</v>
      </c>
      <c r="R1513" s="19"/>
      <c r="T1513" s="80"/>
      <c r="U1513">
        <f>$K$1497*$I$1486*$G$1507*$E$1436*$C$1505*$A$1460*$M$1512*$O$1510*Q1514</f>
        <v>0</v>
      </c>
      <c r="W1513" s="42">
        <f>$K$1498+$I$1487+$G$1508+$E$1437+$C$1506+$A$1461+$M$1513+$O$1511+Q1515</f>
        <v>63117.873010508105</v>
      </c>
      <c r="X1513">
        <f>u_ChronicResp+u_CongnitiveImpairement</f>
        <v>17.805052694763283</v>
      </c>
      <c r="Z1513" s="42">
        <f t="shared" si="128"/>
        <v>0</v>
      </c>
      <c r="AA1513" s="6">
        <f t="shared" si="127"/>
        <v>0</v>
      </c>
    </row>
    <row r="1514" spans="3:27" x14ac:dyDescent="0.3">
      <c r="M1514" s="42"/>
      <c r="Q1514" s="47">
        <f>Hypo2CI_4*RDS2CLD_4</f>
        <v>1.8531333333333334E-2</v>
      </c>
      <c r="R1514" s="47"/>
      <c r="T1514" s="80"/>
      <c r="V1514">
        <v>0</v>
      </c>
      <c r="Z1514" s="42">
        <f t="shared" si="128"/>
        <v>0</v>
      </c>
      <c r="AA1514" s="6">
        <f t="shared" si="127"/>
        <v>0</v>
      </c>
    </row>
    <row r="1515" spans="3:27" x14ac:dyDescent="0.3">
      <c r="M1515" s="42"/>
      <c r="Q1515" s="48">
        <f>c_lung+c_cog+c_hosp_fu+c_CSG</f>
        <v>58348.510902399998</v>
      </c>
      <c r="R1515" s="48"/>
      <c r="T1515" s="80"/>
      <c r="Z1515" s="42">
        <f t="shared" si="128"/>
        <v>0</v>
      </c>
      <c r="AA1515" s="6">
        <f t="shared" si="127"/>
        <v>0</v>
      </c>
    </row>
    <row r="1516" spans="3:27" x14ac:dyDescent="0.3">
      <c r="M1516" s="42"/>
      <c r="Q1516" s="19" t="s">
        <v>370</v>
      </c>
      <c r="R1516" s="19"/>
      <c r="T1516" s="80"/>
      <c r="U1516">
        <f>$K$1497*$I$1486*$G$1507*$E$1436*$C$1505*$A$1460*$M$1512*$O$1510*Q1517</f>
        <v>0</v>
      </c>
      <c r="W1516" s="42">
        <f>$K$1498+$I$1487+$G$1508+$E$1437+$C$1506+$A$1461+$M$1513+$O$1511+Q1518</f>
        <v>19172.362108108107</v>
      </c>
      <c r="X1516">
        <f>u_Healthy</f>
        <v>0</v>
      </c>
      <c r="Z1516" s="42">
        <f t="shared" si="128"/>
        <v>0</v>
      </c>
      <c r="AA1516" s="6">
        <f t="shared" si="127"/>
        <v>0</v>
      </c>
    </row>
    <row r="1517" spans="3:27" x14ac:dyDescent="0.3">
      <c r="M1517" s="42"/>
      <c r="O1517" s="42"/>
      <c r="Q1517" s="47">
        <f>1-Q1508-Q1511-Q1514</f>
        <v>0.60619800000000001</v>
      </c>
      <c r="R1517" s="47"/>
      <c r="T1517" s="80"/>
      <c r="V1517">
        <v>0</v>
      </c>
      <c r="Z1517" s="42">
        <f t="shared" si="128"/>
        <v>0</v>
      </c>
      <c r="AA1517" s="6">
        <f t="shared" si="127"/>
        <v>0</v>
      </c>
    </row>
    <row r="1518" spans="3:27" x14ac:dyDescent="0.3">
      <c r="M1518" s="42"/>
      <c r="Q1518" s="48">
        <f>c_clinic_fu+c_CSG</f>
        <v>14403</v>
      </c>
      <c r="R1518" s="48"/>
      <c r="S1518" s="96"/>
      <c r="T1518" s="80"/>
      <c r="Z1518" s="42">
        <f t="shared" si="128"/>
        <v>0</v>
      </c>
      <c r="AA1518" s="6">
        <f t="shared" si="127"/>
        <v>0</v>
      </c>
    </row>
    <row r="1519" spans="3:27" x14ac:dyDescent="0.3">
      <c r="M1519" s="42"/>
      <c r="Q1519" s="42"/>
      <c r="R1519" s="42"/>
      <c r="T1519" s="80"/>
      <c r="Z1519" s="42">
        <f t="shared" si="128"/>
        <v>0</v>
      </c>
      <c r="AA1519" s="6">
        <f t="shared" si="127"/>
        <v>0</v>
      </c>
    </row>
    <row r="1520" spans="3:27" x14ac:dyDescent="0.3">
      <c r="M1520" s="42"/>
      <c r="Q1520" s="19" t="s">
        <v>368</v>
      </c>
      <c r="R1520" s="19"/>
      <c r="T1520" s="80"/>
      <c r="U1520">
        <f>$K$1497*$I$1486*$G$1507*$E$1436*$C$1505*$A$1460*$M$1512*$O$1524*Q1521</f>
        <v>0</v>
      </c>
      <c r="W1520" s="42">
        <f>$K$1498+$I$1487+$G$1508+$E$1437+$C$1506+$A$1461+$M$1513+$O$1525+Q1522</f>
        <v>56362.612610508106</v>
      </c>
      <c r="X1520">
        <f>u_ChronicResp</f>
        <v>0.53465956747782661</v>
      </c>
      <c r="Z1520" s="42">
        <f t="shared" si="128"/>
        <v>0</v>
      </c>
      <c r="AA1520" s="6">
        <f t="shared" si="127"/>
        <v>0</v>
      </c>
    </row>
    <row r="1521" spans="11:27" x14ac:dyDescent="0.3">
      <c r="M1521" s="42"/>
      <c r="Q1521" s="47">
        <f>RDS2CLD_4-(RDS2CLD_4*noHypo2CI_4)</f>
        <v>0.34905610687022898</v>
      </c>
      <c r="R1521" s="47"/>
      <c r="T1521" s="80"/>
      <c r="V1521">
        <v>0</v>
      </c>
      <c r="Z1521" s="42">
        <f t="shared" si="128"/>
        <v>0</v>
      </c>
      <c r="AA1521" s="6">
        <f t="shared" si="127"/>
        <v>0</v>
      </c>
    </row>
    <row r="1522" spans="11:27" x14ac:dyDescent="0.3">
      <c r="M1522" s="42"/>
      <c r="Q1522" s="48">
        <f>c_lung+c_hosp_fu+c_CSG</f>
        <v>54529.510902399998</v>
      </c>
      <c r="R1522" s="48"/>
      <c r="T1522" s="80"/>
      <c r="Z1522" s="42">
        <f t="shared" si="128"/>
        <v>0</v>
      </c>
      <c r="AA1522" s="6">
        <f t="shared" si="127"/>
        <v>0</v>
      </c>
    </row>
    <row r="1523" spans="11:27" x14ac:dyDescent="0.3">
      <c r="M1523" s="42"/>
      <c r="O1523" s="19" t="s">
        <v>371</v>
      </c>
      <c r="Q1523" s="19" t="s">
        <v>226</v>
      </c>
      <c r="R1523" s="19"/>
      <c r="T1523" s="80"/>
      <c r="U1523">
        <f>$K$1497*$I$1486*$G$1507*$E$1436*$C$1505*$A$1460*$M$1512*$O$1524*Q1524</f>
        <v>0</v>
      </c>
      <c r="W1523" s="42">
        <f>$K$1498+$I$1487+$G$1508+$E$1437+$C$1506+$A$1461+$M$1513+$O$1525+Q1525</f>
        <v>17599.101708108108</v>
      </c>
      <c r="X1523">
        <f>u_CongnitiveImpairement</f>
        <v>17.270393127285455</v>
      </c>
      <c r="Z1523" s="42">
        <f t="shared" si="128"/>
        <v>0</v>
      </c>
      <c r="AA1523" s="6">
        <f t="shared" si="127"/>
        <v>0</v>
      </c>
    </row>
    <row r="1524" spans="11:27" x14ac:dyDescent="0.3">
      <c r="M1524" s="42"/>
      <c r="O1524" s="47">
        <f>SGA_prem_2normoglycaemia_4</f>
        <v>0.78449999999999998</v>
      </c>
      <c r="Q1524" s="47">
        <f>noHypo2CI_4-(RDS2CLD_4*noHypo2CI_4)</f>
        <v>2.1141683406990762E-2</v>
      </c>
      <c r="R1524" s="47"/>
      <c r="T1524" s="80"/>
      <c r="V1524">
        <v>0</v>
      </c>
      <c r="Z1524" s="42">
        <f t="shared" si="128"/>
        <v>0</v>
      </c>
      <c r="AA1524" s="6">
        <f t="shared" si="127"/>
        <v>0</v>
      </c>
    </row>
    <row r="1525" spans="11:27" x14ac:dyDescent="0.3">
      <c r="M1525" s="42"/>
      <c r="O1525" s="48"/>
      <c r="Q1525" s="48">
        <f>c_cog+c_hosp_fu+c_CSG</f>
        <v>15766</v>
      </c>
      <c r="R1525" s="48"/>
      <c r="T1525" s="80"/>
      <c r="Z1525" s="42">
        <f t="shared" si="128"/>
        <v>0</v>
      </c>
      <c r="AA1525" s="6">
        <f t="shared" si="127"/>
        <v>0</v>
      </c>
    </row>
    <row r="1526" spans="11:27" x14ac:dyDescent="0.3">
      <c r="M1526" s="42"/>
      <c r="Q1526" s="19" t="s">
        <v>369</v>
      </c>
      <c r="R1526" s="19"/>
      <c r="T1526" s="80"/>
      <c r="U1526">
        <f>$K$1497*$I$1486*$G$1507*$E$1436*$C$1505*$A$1460*$M$1512*$O$1524*Q1527</f>
        <v>0</v>
      </c>
      <c r="W1526" s="42">
        <f>$K$1498+$I$1487+$G$1508+$E$1437+$C$1506+$A$1461+$M$1513+$O$1525+Q1528</f>
        <v>60181.612610508106</v>
      </c>
      <c r="X1526">
        <f>u_ChronicResp+u_CongnitiveImpairement</f>
        <v>17.805052694763283</v>
      </c>
      <c r="Z1526" s="42">
        <f t="shared" si="128"/>
        <v>0</v>
      </c>
      <c r="AA1526" s="6">
        <f t="shared" si="127"/>
        <v>0</v>
      </c>
    </row>
    <row r="1527" spans="11:27" x14ac:dyDescent="0.3">
      <c r="M1527" s="42"/>
      <c r="Q1527" s="47">
        <f>RDS2CLD_4*noHypo2CI_4</f>
        <v>1.1943893129770991E-2</v>
      </c>
      <c r="R1527" s="47"/>
      <c r="T1527" s="80"/>
      <c r="V1527">
        <v>0</v>
      </c>
      <c r="Z1527" s="42">
        <f t="shared" si="128"/>
        <v>0</v>
      </c>
      <c r="AA1527" s="6">
        <f t="shared" si="127"/>
        <v>0</v>
      </c>
    </row>
    <row r="1528" spans="11:27" x14ac:dyDescent="0.3">
      <c r="M1528" s="42"/>
      <c r="Q1528" s="48">
        <f>c_cog+c_lung+c_hosp_fu+c_CSG</f>
        <v>58348.510902399998</v>
      </c>
      <c r="R1528" s="48"/>
      <c r="T1528" s="80"/>
      <c r="Z1528" s="42">
        <f t="shared" si="128"/>
        <v>0</v>
      </c>
      <c r="AA1528" s="6">
        <f t="shared" si="127"/>
        <v>0</v>
      </c>
    </row>
    <row r="1529" spans="11:27" x14ac:dyDescent="0.3">
      <c r="M1529" s="42"/>
      <c r="Q1529" s="19" t="s">
        <v>370</v>
      </c>
      <c r="R1529" s="19"/>
      <c r="T1529" s="80"/>
      <c r="U1529">
        <f>$K$1497*$I$1486*$G$1507*$E$1436*$C$1505*$A$1460*$M$1512*$O$1524*Q1530</f>
        <v>0</v>
      </c>
      <c r="W1529" s="42">
        <f>$K$1498+$I$1487+$G$1508+$E$1437+$C$1506+$A$1461+$M$1513+$O$1525+Q1531</f>
        <v>16236.101708108108</v>
      </c>
      <c r="X1529">
        <f>u_Healthy</f>
        <v>0</v>
      </c>
      <c r="Z1529" s="42">
        <f t="shared" si="128"/>
        <v>0</v>
      </c>
      <c r="AA1529" s="6">
        <f t="shared" si="127"/>
        <v>0</v>
      </c>
    </row>
    <row r="1530" spans="11:27" x14ac:dyDescent="0.3">
      <c r="M1530" s="42"/>
      <c r="Q1530" s="47">
        <f>1-Q1527-Q1524-Q1521</f>
        <v>0.61785831659300938</v>
      </c>
      <c r="R1530" s="47"/>
      <c r="T1530" s="80"/>
      <c r="V1530">
        <v>0</v>
      </c>
      <c r="Z1530" s="42">
        <f t="shared" si="128"/>
        <v>0</v>
      </c>
      <c r="AA1530" s="6">
        <f t="shared" si="127"/>
        <v>0</v>
      </c>
    </row>
    <row r="1531" spans="11:27" x14ac:dyDescent="0.3">
      <c r="M1531" s="42"/>
      <c r="Q1531" s="48">
        <f>c_clinic_fu+c_CSG</f>
        <v>14403</v>
      </c>
      <c r="R1531" s="48"/>
      <c r="T1531" s="80"/>
      <c r="Z1531" s="42">
        <f t="shared" si="128"/>
        <v>0</v>
      </c>
      <c r="AA1531" s="6">
        <f t="shared" si="127"/>
        <v>0</v>
      </c>
    </row>
    <row r="1532" spans="11:27" x14ac:dyDescent="0.3">
      <c r="M1532" s="42"/>
      <c r="Q1532" s="42"/>
      <c r="R1532" s="42"/>
      <c r="T1532" s="80"/>
      <c r="Z1532" s="42">
        <f t="shared" si="128"/>
        <v>0</v>
      </c>
      <c r="AA1532" s="6">
        <f t="shared" si="127"/>
        <v>0</v>
      </c>
    </row>
    <row r="1533" spans="11:27" x14ac:dyDescent="0.3">
      <c r="K1533" s="19" t="s">
        <v>165</v>
      </c>
      <c r="L1533" s="19"/>
      <c r="M1533" s="19"/>
      <c r="N1533" s="19"/>
      <c r="O1533" s="19"/>
      <c r="P1533" s="19"/>
      <c r="Q1533" s="19"/>
      <c r="R1533" s="19"/>
      <c r="T1533" s="80"/>
      <c r="U1533">
        <f>$K$1534*$I$1542*$G$1507*$E$1436*$C$1505*$A$1460</f>
        <v>3.180512596551397E-4</v>
      </c>
      <c r="V1533">
        <v>3.180512596551397E-4</v>
      </c>
      <c r="W1533" s="42">
        <f>$K$1535+$I$1543+$G$1508+$E$1437+$C$1506+$A$1461</f>
        <v>3625.1017081081081</v>
      </c>
      <c r="X1533">
        <f>u_Death</f>
        <v>19.181538114427529</v>
      </c>
      <c r="Z1533" s="42">
        <f t="shared" si="128"/>
        <v>1.1529681646417824</v>
      </c>
      <c r="AA1533" s="6">
        <f t="shared" si="127"/>
        <v>6.1007123594167484E-3</v>
      </c>
    </row>
    <row r="1534" spans="11:27" x14ac:dyDescent="0.3">
      <c r="K1534" s="47">
        <f>AGA_prem_2d_4</f>
        <v>3.5174999999999998E-2</v>
      </c>
      <c r="T1534" s="80"/>
      <c r="Z1534" s="42">
        <f t="shared" si="128"/>
        <v>0</v>
      </c>
      <c r="AA1534" s="6">
        <f t="shared" si="127"/>
        <v>0</v>
      </c>
    </row>
    <row r="1535" spans="11:27" x14ac:dyDescent="0.3">
      <c r="K1535" s="48">
        <f>c_SB</f>
        <v>1792</v>
      </c>
      <c r="T1535" s="80"/>
      <c r="Z1535" s="42">
        <f t="shared" si="128"/>
        <v>0</v>
      </c>
      <c r="AA1535" s="6">
        <f t="shared" si="127"/>
        <v>0</v>
      </c>
    </row>
    <row r="1536" spans="11:27" x14ac:dyDescent="0.3">
      <c r="T1536" s="80"/>
      <c r="Z1536" s="42">
        <f t="shared" si="128"/>
        <v>0</v>
      </c>
      <c r="AA1536" s="6">
        <f t="shared" si="127"/>
        <v>0</v>
      </c>
    </row>
    <row r="1537" spans="9:27" x14ac:dyDescent="0.3">
      <c r="Q1537" s="19" t="s">
        <v>368</v>
      </c>
      <c r="R1537" s="19"/>
      <c r="T1537" s="80"/>
      <c r="U1537">
        <f>$K$1553*$I$1542*$G$1507*$E$1436*$C$1505*$A$1460*$M$1548*$O$1543*Q1538</f>
        <v>2.0166762222624391E-4</v>
      </c>
      <c r="V1537">
        <v>2.0166762222624391E-4</v>
      </c>
      <c r="W1537" s="42">
        <f>$K$1554+$I$1543+$G$1508+$E$1437+$C$1506+$A$1461+$M$1549+$O$1544+Q1539</f>
        <v>89894.483158713745</v>
      </c>
      <c r="X1537">
        <f>u_ChronicResp</f>
        <v>0.53465956747782661</v>
      </c>
      <c r="Z1537" s="42">
        <f t="shared" si="128"/>
        <v>18.12880666987493</v>
      </c>
      <c r="AA1537" s="6">
        <f t="shared" si="127"/>
        <v>1.0782352367376531E-4</v>
      </c>
    </row>
    <row r="1538" spans="9:27" x14ac:dyDescent="0.3">
      <c r="Q1538" s="47">
        <f>RDS2CLD_4-(Hypo2CI_4*RDS2CLD_4)</f>
        <v>0.34246866666666664</v>
      </c>
      <c r="R1538" s="47"/>
      <c r="T1538" s="80"/>
      <c r="Z1538" s="42">
        <f t="shared" si="128"/>
        <v>0</v>
      </c>
      <c r="AA1538" s="6">
        <f t="shared" si="127"/>
        <v>0</v>
      </c>
    </row>
    <row r="1539" spans="9:27" x14ac:dyDescent="0.3">
      <c r="Q1539" s="48">
        <f>c_lung+c_hosp_fu+c_CSG</f>
        <v>54529.510902399998</v>
      </c>
      <c r="R1539" s="48"/>
      <c r="T1539" s="80"/>
      <c r="Z1539" s="42">
        <f t="shared" si="128"/>
        <v>0</v>
      </c>
      <c r="AA1539" s="6">
        <f t="shared" si="127"/>
        <v>0</v>
      </c>
    </row>
    <row r="1540" spans="9:27" x14ac:dyDescent="0.3">
      <c r="Q1540" s="19" t="s">
        <v>226</v>
      </c>
      <c r="R1540" s="19"/>
      <c r="T1540" s="80"/>
      <c r="U1540">
        <f>$K$1553*$I$1542*$G$1507*$E$1436*$C$1505*$A$1460*$M$1548*$O$1543*Q1541</f>
        <v>1.9315931611062969E-5</v>
      </c>
      <c r="V1540">
        <v>1.9315931611062969E-5</v>
      </c>
      <c r="W1540" s="42">
        <f>$K$1554+$I$1543+$G$1508+$E$1437+$C$1506+$A$1461+$M$1549+$O$1544+Q1542</f>
        <v>51130.972256313747</v>
      </c>
      <c r="X1540">
        <f>u_CongnitiveImpairement</f>
        <v>17.270393127285455</v>
      </c>
      <c r="Z1540" s="42">
        <f t="shared" si="128"/>
        <v>0.98764236331011435</v>
      </c>
      <c r="AA1540" s="6">
        <f t="shared" si="127"/>
        <v>3.3359373254281778E-4</v>
      </c>
    </row>
    <row r="1541" spans="9:27" x14ac:dyDescent="0.3">
      <c r="I1541" s="19" t="s">
        <v>425</v>
      </c>
      <c r="Q1541" s="47">
        <f>Hypo2CI_4-(Hypo2CI_4*RDS2CLD_4)</f>
        <v>3.2801999999999998E-2</v>
      </c>
      <c r="R1541" s="47"/>
      <c r="T1541" s="80"/>
      <c r="Z1541" s="42">
        <f t="shared" si="128"/>
        <v>0</v>
      </c>
      <c r="AA1541" s="6">
        <f t="shared" si="127"/>
        <v>0</v>
      </c>
    </row>
    <row r="1542" spans="9:27" x14ac:dyDescent="0.3">
      <c r="I1542" s="47">
        <f>NBW_prem_2AGA_4</f>
        <v>1</v>
      </c>
      <c r="O1542" s="19" t="s">
        <v>161</v>
      </c>
      <c r="Q1542" s="48">
        <f>c_cog+c_hosp_fu+c_CSG</f>
        <v>15766</v>
      </c>
      <c r="R1542" s="48"/>
      <c r="T1542" s="80"/>
      <c r="Z1542" s="42">
        <f t="shared" si="128"/>
        <v>0</v>
      </c>
      <c r="AA1542" s="6">
        <f t="shared" si="127"/>
        <v>0</v>
      </c>
    </row>
    <row r="1543" spans="9:27" x14ac:dyDescent="0.3">
      <c r="I1543" s="48"/>
      <c r="O1543" s="47">
        <f>AGA_prem_2hypoglycaemia_4</f>
        <v>0.15</v>
      </c>
      <c r="Q1543" s="19" t="s">
        <v>369</v>
      </c>
      <c r="R1543" s="19"/>
      <c r="T1543" s="80"/>
      <c r="U1543">
        <f>$K$1553*$I$1542*$G$1507*$E$1436*$C$1505*$A$1460*$M$1548*$O$1543*Q1544</f>
        <v>1.0912443367126341E-5</v>
      </c>
      <c r="V1543">
        <v>1.0912443367126341E-5</v>
      </c>
      <c r="W1543" s="42">
        <f>$K$1554+$I$1543+$G$1508+$E$1437+$C$1506+$A$1461+$M$1549+$O$1544+Q1545</f>
        <v>93713.483158713745</v>
      </c>
      <c r="X1543">
        <f>u_ChronicResp+u_CongnitiveImpairement</f>
        <v>17.805052694763283</v>
      </c>
      <c r="Z1543" s="42">
        <f t="shared" si="128"/>
        <v>1.0226430777056119</v>
      </c>
      <c r="AA1543" s="6">
        <f t="shared" si="127"/>
        <v>1.9429662918030459E-4</v>
      </c>
    </row>
    <row r="1544" spans="9:27" x14ac:dyDescent="0.3">
      <c r="O1544" s="48">
        <f>c_hypo</f>
        <v>2936.2604000000001</v>
      </c>
      <c r="Q1544" s="47">
        <f>Hypo2CI_4*RDS2CLD_4</f>
        <v>1.8531333333333334E-2</v>
      </c>
      <c r="R1544" s="47"/>
      <c r="T1544" s="80"/>
      <c r="Z1544" s="42">
        <f t="shared" si="128"/>
        <v>0</v>
      </c>
      <c r="AA1544" s="6">
        <f t="shared" si="127"/>
        <v>0</v>
      </c>
    </row>
    <row r="1545" spans="9:27" x14ac:dyDescent="0.3">
      <c r="M1545" s="42"/>
      <c r="Q1545" s="48">
        <f>c_lung+c_cog+c_hosp_fu+c_CSG</f>
        <v>58348.510902399998</v>
      </c>
      <c r="R1545" s="48"/>
      <c r="T1545" s="80"/>
      <c r="Z1545" s="42">
        <f t="shared" si="128"/>
        <v>0</v>
      </c>
      <c r="AA1545" s="6">
        <f t="shared" si="127"/>
        <v>0</v>
      </c>
    </row>
    <row r="1546" spans="9:27" x14ac:dyDescent="0.3">
      <c r="Q1546" s="19" t="s">
        <v>370</v>
      </c>
      <c r="R1546" s="19"/>
      <c r="T1546" s="80"/>
      <c r="U1546">
        <f>$K$1553*$I$1542*$G$1507*$E$1436*$C$1505*$A$1460*$M$1548*$O$1543*Q1547</f>
        <v>3.5696845042263126E-4</v>
      </c>
      <c r="V1546">
        <v>3.5696845042263126E-4</v>
      </c>
      <c r="W1546" s="42">
        <f>$K$1554+$I$1543+$G$1508+$E$1437+$C$1506+$A$1461+$M$1549+$O$1544+Q1548</f>
        <v>49767.972256313747</v>
      </c>
      <c r="X1546">
        <f>u_Healthy</f>
        <v>0</v>
      </c>
      <c r="Z1546" s="42">
        <f t="shared" si="128"/>
        <v>17.765595937012822</v>
      </c>
      <c r="AA1546" s="6">
        <f t="shared" si="127"/>
        <v>0</v>
      </c>
    </row>
    <row r="1547" spans="9:27" x14ac:dyDescent="0.3">
      <c r="M1547" s="19" t="s">
        <v>9</v>
      </c>
      <c r="Q1547" s="47">
        <f>1-Q1538-Q1541-Q1544</f>
        <v>0.60619800000000001</v>
      </c>
      <c r="R1547" s="47"/>
      <c r="T1547" s="80"/>
      <c r="Z1547" s="42">
        <f t="shared" si="128"/>
        <v>0</v>
      </c>
      <c r="AA1547" s="6">
        <f t="shared" si="127"/>
        <v>0</v>
      </c>
    </row>
    <row r="1548" spans="9:27" x14ac:dyDescent="0.3">
      <c r="K1548" s="42"/>
      <c r="M1548" s="47">
        <f>S_prem_2RDS_4</f>
        <v>0.45</v>
      </c>
      <c r="Q1548" s="48">
        <f>c_clinic_fu+c_CSG</f>
        <v>14403</v>
      </c>
      <c r="R1548" s="48"/>
      <c r="T1548" s="80"/>
      <c r="Z1548" s="42">
        <f t="shared" si="128"/>
        <v>0</v>
      </c>
      <c r="AA1548" s="6">
        <f t="shared" si="127"/>
        <v>0</v>
      </c>
    </row>
    <row r="1549" spans="9:27" x14ac:dyDescent="0.3">
      <c r="K1549" s="42"/>
      <c r="M1549" s="48">
        <f>c_RDS</f>
        <v>30595.610148205637</v>
      </c>
      <c r="Q1549" s="42"/>
      <c r="R1549" s="42"/>
      <c r="T1549" s="80"/>
      <c r="Z1549" s="42">
        <f t="shared" si="128"/>
        <v>0</v>
      </c>
      <c r="AA1549" s="6">
        <f t="shared" ref="AA1549:AA1612" si="129">U1549*X1549</f>
        <v>0</v>
      </c>
    </row>
    <row r="1550" spans="9:27" x14ac:dyDescent="0.3">
      <c r="Q1550" s="19" t="s">
        <v>368</v>
      </c>
      <c r="R1550" s="19"/>
      <c r="T1550" s="80"/>
      <c r="U1550">
        <f>$K$1553*$I$1542*$G$1507*$E$1436*$C$1505*$A$1460*$M$1548*$O$1553*Q1551</f>
        <v>1.1647648121902823E-3</v>
      </c>
      <c r="V1550">
        <v>1.1647648121902823E-3</v>
      </c>
      <c r="W1550" s="42">
        <f>$K$1554+$I$1543+$G$1508+$E$1437+$C$1506+$A$1461+$M$1549+$O$1554+Q1552</f>
        <v>86958.222758713746</v>
      </c>
      <c r="X1550">
        <f>u_ChronicResp</f>
        <v>0.53465956747782661</v>
      </c>
      <c r="Z1550" s="42">
        <f t="shared" si="128"/>
        <v>101.28587799995394</v>
      </c>
      <c r="AA1550" s="6">
        <f t="shared" si="129"/>
        <v>6.2275265069904821E-4</v>
      </c>
    </row>
    <row r="1551" spans="9:27" x14ac:dyDescent="0.3">
      <c r="Q1551" s="47">
        <f>RDS2CLD_4-(RDS2CLD_4*noHypo2CI_4)</f>
        <v>0.34905610687022898</v>
      </c>
      <c r="R1551" s="47"/>
      <c r="T1551" s="80"/>
      <c r="Z1551" s="42">
        <f t="shared" ref="Z1551:Z1614" si="130">U1551*W1551</f>
        <v>0</v>
      </c>
      <c r="AA1551" s="6">
        <f t="shared" si="129"/>
        <v>0</v>
      </c>
    </row>
    <row r="1552" spans="9:27" x14ac:dyDescent="0.3">
      <c r="K1552" s="19" t="s">
        <v>37</v>
      </c>
      <c r="M1552" s="42"/>
      <c r="O1552" s="19" t="s">
        <v>371</v>
      </c>
      <c r="Q1552" s="48">
        <f>c_lung+c_hosp_fu+c_CSG</f>
        <v>54529.510902399998</v>
      </c>
      <c r="R1552" s="48"/>
      <c r="T1552" s="80"/>
      <c r="Z1552" s="42">
        <f t="shared" si="130"/>
        <v>0</v>
      </c>
      <c r="AA1552" s="6">
        <f t="shared" si="129"/>
        <v>0</v>
      </c>
    </row>
    <row r="1553" spans="11:27" x14ac:dyDescent="0.3">
      <c r="K1553" s="47">
        <f>AGA_prem_2s_4</f>
        <v>0.96482500000000004</v>
      </c>
      <c r="O1553" s="47">
        <f>AGA_prem_2normoglycaemia_4</f>
        <v>0.85</v>
      </c>
      <c r="Q1553" s="19" t="s">
        <v>226</v>
      </c>
      <c r="R1553" s="19"/>
      <c r="T1553" s="80"/>
      <c r="U1553">
        <f>$K$1553*$I$1542*$G$1507*$E$1436*$C$1505*$A$1460*$M$1548*$O$1553*Q1554</f>
        <v>7.0547652421062041E-5</v>
      </c>
      <c r="V1553">
        <v>7.0547652421062041E-5</v>
      </c>
      <c r="W1553" s="42">
        <f>$K$1554+$I$1543+$G$1508+$E$1437+$C$1506+$A$1461+$M$1549+$O$1554+Q1555</f>
        <v>48194.711856313748</v>
      </c>
      <c r="X1553">
        <f>u_CongnitiveImpairement</f>
        <v>17.270393127285455</v>
      </c>
      <c r="Z1553" s="42">
        <f t="shared" si="130"/>
        <v>3.40002378057246</v>
      </c>
      <c r="AA1553" s="6">
        <f t="shared" si="129"/>
        <v>1.2183856915188331E-3</v>
      </c>
    </row>
    <row r="1554" spans="11:27" x14ac:dyDescent="0.3">
      <c r="K1554" s="48"/>
      <c r="O1554" s="48"/>
      <c r="Q1554" s="47">
        <f>noHypo2CI_4-(RDS2CLD_4*noHypo2CI_4)</f>
        <v>2.1141683406990762E-2</v>
      </c>
      <c r="R1554" s="47"/>
      <c r="T1554" s="80"/>
      <c r="Z1554" s="42">
        <f t="shared" si="130"/>
        <v>0</v>
      </c>
      <c r="AA1554" s="6">
        <f t="shared" si="129"/>
        <v>0</v>
      </c>
    </row>
    <row r="1555" spans="11:27" x14ac:dyDescent="0.3">
      <c r="Q1555" s="48">
        <f>c_cog+c_hosp_fu+c_CSG</f>
        <v>15766</v>
      </c>
      <c r="R1555" s="48"/>
      <c r="T1555" s="80"/>
      <c r="Z1555" s="42">
        <f t="shared" si="130"/>
        <v>0</v>
      </c>
      <c r="AA1555" s="6">
        <f t="shared" si="129"/>
        <v>0</v>
      </c>
    </row>
    <row r="1556" spans="11:27" x14ac:dyDescent="0.3">
      <c r="Q1556" s="19" t="s">
        <v>369</v>
      </c>
      <c r="R1556" s="19"/>
      <c r="T1556" s="80"/>
      <c r="U1556">
        <f>$K$1553*$I$1542*$G$1507*$E$1436*$C$1505*$A$1460*$M$1548*$O$1553*Q1557</f>
        <v>3.9855559505482618E-5</v>
      </c>
      <c r="V1556">
        <v>3.9855559505482618E-5</v>
      </c>
      <c r="W1556" s="42">
        <f>$K$1554+$I$1543+$G$1508+$E$1437+$C$1506+$A$1461+$M$1549+$O$1554+Q1558</f>
        <v>90777.222758713746</v>
      </c>
      <c r="X1556">
        <f>u_ChronicResp+u_CongnitiveImpairement</f>
        <v>17.805052694763283</v>
      </c>
      <c r="Z1556" s="42">
        <f t="shared" si="130"/>
        <v>3.6179770034023666</v>
      </c>
      <c r="AA1556" s="6">
        <f t="shared" si="129"/>
        <v>7.0963033717439165E-4</v>
      </c>
    </row>
    <row r="1557" spans="11:27" x14ac:dyDescent="0.3">
      <c r="Q1557" s="47">
        <f>RDS2CLD_4*noHypo2CI_4</f>
        <v>1.1943893129770991E-2</v>
      </c>
      <c r="R1557" s="47"/>
      <c r="T1557" s="80"/>
      <c r="Z1557" s="42">
        <f t="shared" si="130"/>
        <v>0</v>
      </c>
      <c r="AA1557" s="6">
        <f t="shared" si="129"/>
        <v>0</v>
      </c>
    </row>
    <row r="1558" spans="11:27" x14ac:dyDescent="0.3">
      <c r="Q1558" s="48">
        <f>c_cog+c_lung+c_hosp_fu+c_CSG</f>
        <v>58348.510902399998</v>
      </c>
      <c r="R1558" s="48"/>
      <c r="T1558" s="80"/>
      <c r="Z1558" s="42">
        <f t="shared" si="130"/>
        <v>0</v>
      </c>
      <c r="AA1558" s="6">
        <f t="shared" si="129"/>
        <v>0</v>
      </c>
    </row>
    <row r="1559" spans="11:27" x14ac:dyDescent="0.3">
      <c r="Q1559" s="19" t="s">
        <v>370</v>
      </c>
      <c r="R1559" s="19"/>
      <c r="T1559" s="80"/>
      <c r="U1559">
        <f>$K$1553*$I$1542*$G$1507*$E$1436*$C$1505*$A$1460*$M$1548*$O$1553*Q1560</f>
        <v>2.0617305124365388E-3</v>
      </c>
      <c r="V1559">
        <v>2.0617305124365388E-3</v>
      </c>
      <c r="W1559" s="42">
        <f>$K$1554+$I$1543+$G$1508+$E$1437+$C$1506+$A$1461+$M$1549+$O$1554+Q1561</f>
        <v>46831.711856313748</v>
      </c>
      <c r="X1559">
        <f>u_Healthy</f>
        <v>0</v>
      </c>
      <c r="Z1559" s="42">
        <f t="shared" si="130"/>
        <v>96.554369283798081</v>
      </c>
      <c r="AA1559" s="6">
        <f t="shared" si="129"/>
        <v>0</v>
      </c>
    </row>
    <row r="1560" spans="11:27" x14ac:dyDescent="0.3">
      <c r="Q1560" s="47">
        <f>1-Q1557-Q1554-Q1551</f>
        <v>0.61785831659300938</v>
      </c>
      <c r="R1560" s="47"/>
      <c r="T1560" s="80"/>
      <c r="Z1560" s="42">
        <f t="shared" si="130"/>
        <v>0</v>
      </c>
      <c r="AA1560" s="6">
        <f t="shared" si="129"/>
        <v>0</v>
      </c>
    </row>
    <row r="1561" spans="11:27" x14ac:dyDescent="0.3">
      <c r="Q1561" s="48">
        <f>c_clinic_fu+c_CSG</f>
        <v>14403</v>
      </c>
      <c r="R1561" s="48"/>
      <c r="T1561" s="80"/>
      <c r="Z1561" s="42">
        <f t="shared" si="130"/>
        <v>0</v>
      </c>
      <c r="AA1561" s="6">
        <f t="shared" si="129"/>
        <v>0</v>
      </c>
    </row>
    <row r="1562" spans="11:27" x14ac:dyDescent="0.3">
      <c r="Q1562" s="42"/>
      <c r="R1562" s="42"/>
      <c r="T1562" s="80"/>
      <c r="Z1562" s="42">
        <f t="shared" si="130"/>
        <v>0</v>
      </c>
      <c r="AA1562" s="6">
        <f t="shared" si="129"/>
        <v>0</v>
      </c>
    </row>
    <row r="1563" spans="11:27" x14ac:dyDescent="0.3">
      <c r="Q1563" s="19" t="s">
        <v>368</v>
      </c>
      <c r="R1563" s="19"/>
      <c r="T1563" s="80"/>
      <c r="U1563">
        <f>$K$1553*$I$1542*$G$1507*$E$1436*$C$1505*$A$1460*$M$1568*$O$1566*Q1564</f>
        <v>2.4648264938763152E-4</v>
      </c>
      <c r="V1563">
        <v>2.4648264938763152E-4</v>
      </c>
      <c r="W1563" s="42">
        <f>$K$1554+$I$1543+$G$1508+$E$1437+$C$1506+$A$1461+$M$1569+$O$1567+Q1565</f>
        <v>59298.873010508105</v>
      </c>
      <c r="X1563">
        <f>u_ChronicResp</f>
        <v>0.53465956747782661</v>
      </c>
      <c r="Z1563" s="42">
        <f t="shared" si="130"/>
        <v>14.616143325330755</v>
      </c>
      <c r="AA1563" s="6">
        <f t="shared" si="129"/>
        <v>1.3178430671237986E-4</v>
      </c>
    </row>
    <row r="1564" spans="11:27" x14ac:dyDescent="0.3">
      <c r="Q1564" s="47">
        <f>RDS2CLD_4-(Hypo2CI_4*RDS2CLD_4)</f>
        <v>0.34246866666666664</v>
      </c>
      <c r="R1564" s="47"/>
      <c r="T1564" s="80"/>
      <c r="Z1564" s="42">
        <f t="shared" si="130"/>
        <v>0</v>
      </c>
      <c r="AA1564" s="6">
        <f t="shared" si="129"/>
        <v>0</v>
      </c>
    </row>
    <row r="1565" spans="11:27" x14ac:dyDescent="0.3">
      <c r="O1565" s="19" t="s">
        <v>161</v>
      </c>
      <c r="Q1565" s="48">
        <f>c_lung+c_hosp_fu+c_CSG</f>
        <v>54529.510902399998</v>
      </c>
      <c r="R1565" s="48"/>
      <c r="T1565" s="80"/>
      <c r="Z1565" s="42">
        <f t="shared" si="130"/>
        <v>0</v>
      </c>
      <c r="AA1565" s="6">
        <f t="shared" si="129"/>
        <v>0</v>
      </c>
    </row>
    <row r="1566" spans="11:27" x14ac:dyDescent="0.3">
      <c r="O1566" s="47">
        <f>AGA_prem_2hypoglycaemia_4</f>
        <v>0.15</v>
      </c>
      <c r="Q1566" s="19" t="s">
        <v>226</v>
      </c>
      <c r="R1566" s="19"/>
      <c r="T1566" s="80"/>
      <c r="U1566">
        <f>$K$1553*$I$1542*$G$1507*$E$1436*$C$1505*$A$1460*$M$1568*$O$1566*Q1567</f>
        <v>2.3608360857965852E-5</v>
      </c>
      <c r="V1566">
        <v>2.3608360857965852E-5</v>
      </c>
      <c r="W1566" s="42">
        <f>$K$1554+$I$1543+$G$1508+$E$1437+$C$1506+$A$1461+$M$1569+$O$1567+Q1568</f>
        <v>20535.362108108107</v>
      </c>
      <c r="X1566">
        <f>u_CongnitiveImpairement</f>
        <v>17.270393127285455</v>
      </c>
      <c r="Z1566" s="42">
        <f t="shared" si="130"/>
        <v>0.48480623899721459</v>
      </c>
      <c r="AA1566" s="6">
        <f t="shared" si="129"/>
        <v>4.0772567310788839E-4</v>
      </c>
    </row>
    <row r="1567" spans="11:27" x14ac:dyDescent="0.3">
      <c r="M1567" s="19" t="s">
        <v>203</v>
      </c>
      <c r="O1567" s="48">
        <f>c_hypo</f>
        <v>2936.2604000000001</v>
      </c>
      <c r="Q1567" s="47">
        <f>Hypo2CI_4-(Hypo2CI_4*RDS2CLD_4)</f>
        <v>3.2801999999999998E-2</v>
      </c>
      <c r="R1567" s="47"/>
      <c r="T1567" s="80"/>
      <c r="Z1567" s="42">
        <f t="shared" si="130"/>
        <v>0</v>
      </c>
      <c r="AA1567" s="6">
        <f t="shared" si="129"/>
        <v>0</v>
      </c>
    </row>
    <row r="1568" spans="11:27" x14ac:dyDescent="0.3">
      <c r="M1568" s="47">
        <f>S_prem_2noRDS_4</f>
        <v>0.55000000000000004</v>
      </c>
      <c r="Q1568" s="48">
        <f>c_cog+c_hosp_fu+c_CSG</f>
        <v>15766</v>
      </c>
      <c r="R1568" s="48"/>
      <c r="T1568" s="80"/>
      <c r="Z1568" s="42">
        <f t="shared" si="130"/>
        <v>0</v>
      </c>
      <c r="AA1568" s="6">
        <f t="shared" si="129"/>
        <v>0</v>
      </c>
    </row>
    <row r="1569" spans="7:27" x14ac:dyDescent="0.3">
      <c r="M1569" s="48"/>
      <c r="O1569" s="42"/>
      <c r="Q1569" s="19" t="s">
        <v>369</v>
      </c>
      <c r="R1569" s="19"/>
      <c r="T1569" s="80"/>
      <c r="U1569">
        <f>$K$1553*$I$1542*$G$1507*$E$1436*$C$1505*$A$1460*$M$1568*$O$1566*Q1570</f>
        <v>1.3337430782043308E-5</v>
      </c>
      <c r="V1569">
        <v>1.3337430782043308E-5</v>
      </c>
      <c r="W1569" s="42">
        <f>$K$1554+$I$1543+$G$1508+$E$1437+$C$1506+$A$1461+$M$1569+$O$1567+Q1571</f>
        <v>63117.873010508105</v>
      </c>
      <c r="X1569">
        <f>u_ChronicResp+u_CongnitiveImpairement</f>
        <v>17.805052694763283</v>
      </c>
      <c r="Z1569" s="42">
        <f t="shared" si="130"/>
        <v>0.84183026238745129</v>
      </c>
      <c r="AA1569" s="6">
        <f t="shared" si="129"/>
        <v>2.3747365788703896E-4</v>
      </c>
    </row>
    <row r="1570" spans="7:27" x14ac:dyDescent="0.3">
      <c r="M1570" s="42"/>
      <c r="Q1570" s="47">
        <f>Hypo2CI_4*RDS2CLD_4</f>
        <v>1.8531333333333334E-2</v>
      </c>
      <c r="R1570" s="47"/>
      <c r="T1570" s="80"/>
      <c r="Z1570" s="42">
        <f t="shared" si="130"/>
        <v>0</v>
      </c>
      <c r="AA1570" s="6">
        <f t="shared" si="129"/>
        <v>0</v>
      </c>
    </row>
    <row r="1571" spans="7:27" x14ac:dyDescent="0.3">
      <c r="M1571" s="42"/>
      <c r="Q1571" s="48">
        <f>c_lung+c_cog+c_hosp_fu+c_CSG</f>
        <v>58348.510902399998</v>
      </c>
      <c r="R1571" s="48"/>
      <c r="T1571" s="80"/>
      <c r="Z1571" s="42">
        <f t="shared" si="130"/>
        <v>0</v>
      </c>
      <c r="AA1571" s="6">
        <f t="shared" si="129"/>
        <v>0</v>
      </c>
    </row>
    <row r="1572" spans="7:27" x14ac:dyDescent="0.3">
      <c r="M1572" s="42"/>
      <c r="Q1572" s="19" t="s">
        <v>370</v>
      </c>
      <c r="R1572" s="19"/>
      <c r="T1572" s="80"/>
      <c r="U1572">
        <f>$K$1553*$I$1542*$G$1507*$E$1436*$C$1505*$A$1460*$M$1568*$O$1566*Q1573</f>
        <v>4.3629477273877156E-4</v>
      </c>
      <c r="V1572">
        <v>4.3629477273877156E-4</v>
      </c>
      <c r="W1572" s="42">
        <f>$K$1554+$I$1543+$G$1508+$E$1437+$C$1506+$A$1461+$M$1569+$O$1567+Q1574</f>
        <v>19172.362108108107</v>
      </c>
      <c r="X1572">
        <f>u_Healthy</f>
        <v>0</v>
      </c>
      <c r="Z1572" s="42">
        <f t="shared" si="130"/>
        <v>8.3648013688224623</v>
      </c>
      <c r="AA1572" s="6">
        <f t="shared" si="129"/>
        <v>0</v>
      </c>
    </row>
    <row r="1573" spans="7:27" x14ac:dyDescent="0.3">
      <c r="M1573" s="42"/>
      <c r="O1573" s="42"/>
      <c r="Q1573" s="47">
        <f>1-Q1564-Q1567-Q1570</f>
        <v>0.60619800000000001</v>
      </c>
      <c r="R1573" s="47"/>
      <c r="T1573" s="80"/>
      <c r="Z1573" s="42">
        <f t="shared" si="130"/>
        <v>0</v>
      </c>
      <c r="AA1573" s="6">
        <f t="shared" si="129"/>
        <v>0</v>
      </c>
    </row>
    <row r="1574" spans="7:27" x14ac:dyDescent="0.3">
      <c r="M1574" s="42"/>
      <c r="Q1574" s="48">
        <f>c_clinic_fu+c_CSG</f>
        <v>14403</v>
      </c>
      <c r="R1574" s="48"/>
      <c r="S1574" s="96"/>
      <c r="T1574" s="80"/>
      <c r="Z1574" s="42">
        <f t="shared" si="130"/>
        <v>0</v>
      </c>
      <c r="AA1574" s="6">
        <f t="shared" si="129"/>
        <v>0</v>
      </c>
    </row>
    <row r="1575" spans="7:27" x14ac:dyDescent="0.3">
      <c r="M1575" s="42"/>
      <c r="Q1575" s="42"/>
      <c r="R1575" s="42"/>
      <c r="T1575" s="80"/>
      <c r="Z1575" s="42">
        <f t="shared" si="130"/>
        <v>0</v>
      </c>
      <c r="AA1575" s="6">
        <f t="shared" si="129"/>
        <v>0</v>
      </c>
    </row>
    <row r="1576" spans="7:27" x14ac:dyDescent="0.3">
      <c r="M1576" s="42"/>
      <c r="Q1576" s="19" t="s">
        <v>368</v>
      </c>
      <c r="R1576" s="19"/>
      <c r="T1576" s="80"/>
      <c r="U1576">
        <f>$K$1553*$I$1542*$G$1507*$E$1436*$C$1505*$A$1460*$M$1568*$O$1580*Q1577</f>
        <v>1.423601437121456E-3</v>
      </c>
      <c r="V1576">
        <v>1.423601437121456E-3</v>
      </c>
      <c r="W1576" s="42">
        <f>$K$1554+$I$1543+$G$1508+$E$1437+$C$1506+$A$1461+$M$1569+$O$1581+Q1578</f>
        <v>56362.612610508106</v>
      </c>
      <c r="X1576">
        <f>u_ChronicResp</f>
        <v>0.53465956747782661</v>
      </c>
      <c r="Z1576" s="42">
        <f t="shared" si="130"/>
        <v>80.237896312239243</v>
      </c>
      <c r="AA1576" s="6">
        <f t="shared" si="129"/>
        <v>7.6114212863217004E-4</v>
      </c>
    </row>
    <row r="1577" spans="7:27" x14ac:dyDescent="0.3">
      <c r="M1577" s="42"/>
      <c r="Q1577" s="47">
        <f>RDS2CLD_4-(RDS2CLD_4*noHypo2CI_4)</f>
        <v>0.34905610687022898</v>
      </c>
      <c r="R1577" s="47"/>
      <c r="T1577" s="80"/>
      <c r="Z1577" s="42">
        <f t="shared" si="130"/>
        <v>0</v>
      </c>
      <c r="AA1577" s="6">
        <f t="shared" si="129"/>
        <v>0</v>
      </c>
    </row>
    <row r="1578" spans="7:27" x14ac:dyDescent="0.3">
      <c r="M1578" s="42"/>
      <c r="Q1578" s="48">
        <f>c_lung+c_hosp_fu+c_CSG</f>
        <v>54529.510902399998</v>
      </c>
      <c r="R1578" s="48"/>
      <c r="T1578" s="80"/>
      <c r="Z1578" s="42">
        <f t="shared" si="130"/>
        <v>0</v>
      </c>
      <c r="AA1578" s="6">
        <f t="shared" si="129"/>
        <v>0</v>
      </c>
    </row>
    <row r="1579" spans="7:27" x14ac:dyDescent="0.3">
      <c r="M1579" s="42"/>
      <c r="O1579" s="19" t="s">
        <v>371</v>
      </c>
      <c r="Q1579" s="19" t="s">
        <v>226</v>
      </c>
      <c r="R1579" s="19"/>
      <c r="T1579" s="80"/>
      <c r="U1579">
        <f>$K$1553*$I$1542*$G$1507*$E$1436*$C$1505*$A$1460*$M$1568*$O$1580*Q1580</f>
        <v>8.6224908514631385E-5</v>
      </c>
      <c r="V1579">
        <v>8.6224908514631385E-5</v>
      </c>
      <c r="W1579" s="42">
        <f>$K$1554+$I$1543+$G$1508+$E$1437+$C$1506+$A$1461+$M$1569+$O$1581+Q1581</f>
        <v>17599.101708108108</v>
      </c>
      <c r="X1579">
        <f>u_CongnitiveImpairement</f>
        <v>17.270393127285455</v>
      </c>
      <c r="Z1579" s="42">
        <f t="shared" si="130"/>
        <v>1.5174809347213145</v>
      </c>
      <c r="AA1579" s="6">
        <f t="shared" si="129"/>
        <v>1.4891380674119071E-3</v>
      </c>
    </row>
    <row r="1580" spans="7:27" x14ac:dyDescent="0.3">
      <c r="M1580" s="42"/>
      <c r="O1580" s="47">
        <f>AGA_prem_2normoglycaemia_4</f>
        <v>0.85</v>
      </c>
      <c r="Q1580" s="47">
        <f>noHypo2CI_4-(RDS2CLD_4*noHypo2CI_4)</f>
        <v>2.1141683406990762E-2</v>
      </c>
      <c r="R1580" s="47"/>
      <c r="T1580" s="80"/>
      <c r="Z1580" s="42">
        <f t="shared" si="130"/>
        <v>0</v>
      </c>
      <c r="AA1580" s="6">
        <f t="shared" si="129"/>
        <v>0</v>
      </c>
    </row>
    <row r="1581" spans="7:27" x14ac:dyDescent="0.3">
      <c r="M1581" s="42"/>
      <c r="O1581" s="48"/>
      <c r="Q1581" s="48">
        <f>c_cog+c_hosp_fu+c_CSG</f>
        <v>15766</v>
      </c>
      <c r="R1581" s="48"/>
      <c r="T1581" s="80"/>
      <c r="Z1581" s="42">
        <f t="shared" si="130"/>
        <v>0</v>
      </c>
      <c r="AA1581" s="6">
        <f t="shared" si="129"/>
        <v>0</v>
      </c>
    </row>
    <row r="1582" spans="7:27" x14ac:dyDescent="0.3">
      <c r="G1582" s="42"/>
      <c r="M1582" s="42"/>
      <c r="Q1582" s="19" t="s">
        <v>369</v>
      </c>
      <c r="R1582" s="19"/>
      <c r="T1582" s="80"/>
      <c r="U1582">
        <f>$K$1553*$I$1542*$G$1507*$E$1436*$C$1505*$A$1460*$M$1568*$O$1580*Q1583</f>
        <v>4.8712350506700979E-5</v>
      </c>
      <c r="V1582">
        <v>4.8712350506700979E-5</v>
      </c>
      <c r="W1582" s="42">
        <f>$K$1554+$I$1543+$G$1508+$E$1437+$C$1506+$A$1461+$M$1569+$O$1581+Q1584</f>
        <v>60181.612610508106</v>
      </c>
      <c r="X1582">
        <f>u_ChronicResp+u_CongnitiveImpairement</f>
        <v>17.805052694763283</v>
      </c>
      <c r="Z1582" s="42">
        <f t="shared" si="130"/>
        <v>2.9315878075415664</v>
      </c>
      <c r="AA1582" s="6">
        <f t="shared" si="129"/>
        <v>8.6732596765758986E-4</v>
      </c>
    </row>
    <row r="1583" spans="7:27" x14ac:dyDescent="0.3">
      <c r="Q1583" s="47">
        <f>RDS2CLD_4*noHypo2CI_4</f>
        <v>1.1943893129770991E-2</v>
      </c>
      <c r="R1583" s="47"/>
      <c r="T1583" s="80"/>
      <c r="Z1583" s="42">
        <f t="shared" si="130"/>
        <v>0</v>
      </c>
      <c r="AA1583" s="6">
        <f t="shared" si="129"/>
        <v>0</v>
      </c>
    </row>
    <row r="1584" spans="7:27" x14ac:dyDescent="0.3">
      <c r="Q1584" s="48">
        <f>c_cog+c_lung+c_hosp_fu+c_CSG</f>
        <v>58348.510902399998</v>
      </c>
      <c r="R1584" s="48"/>
      <c r="T1584" s="80"/>
      <c r="Z1584" s="42">
        <f t="shared" si="130"/>
        <v>0</v>
      </c>
      <c r="AA1584" s="6">
        <f t="shared" si="129"/>
        <v>0</v>
      </c>
    </row>
    <row r="1585" spans="9:27" x14ac:dyDescent="0.3">
      <c r="M1585" s="42"/>
      <c r="Q1585" s="19" t="s">
        <v>370</v>
      </c>
      <c r="R1585" s="19"/>
      <c r="T1585" s="80"/>
      <c r="U1585">
        <f>$K$1553*$I$1542*$G$1507*$E$1436*$C$1505*$A$1460*$M$1568*$O$1580*Q1586</f>
        <v>2.5198928485335478E-3</v>
      </c>
      <c r="V1585">
        <v>2.5198928485335478E-3</v>
      </c>
      <c r="W1585" s="42">
        <f>$K$1554+$I$1543+$G$1508+$E$1437+$C$1506+$A$1461+$M$1569+$O$1581+Q1587</f>
        <v>16236.101708108108</v>
      </c>
      <c r="X1585">
        <f>u_Healthy</f>
        <v>0</v>
      </c>
      <c r="Z1585" s="42">
        <f t="shared" si="130"/>
        <v>40.913236582324942</v>
      </c>
      <c r="AA1585" s="6">
        <f t="shared" si="129"/>
        <v>0</v>
      </c>
    </row>
    <row r="1586" spans="9:27" x14ac:dyDescent="0.3">
      <c r="M1586" s="42"/>
      <c r="Q1586" s="47">
        <f>1-Q1583-Q1580-Q1577</f>
        <v>0.61785831659300938</v>
      </c>
      <c r="R1586" s="47"/>
      <c r="T1586" s="80"/>
      <c r="Z1586" s="42">
        <f t="shared" si="130"/>
        <v>0</v>
      </c>
      <c r="AA1586" s="6">
        <f t="shared" si="129"/>
        <v>0</v>
      </c>
    </row>
    <row r="1587" spans="9:27" x14ac:dyDescent="0.3">
      <c r="M1587" s="42"/>
      <c r="Q1587" s="48">
        <f>c_clinic_fu+c_CSG</f>
        <v>14403</v>
      </c>
      <c r="R1587" s="48"/>
      <c r="T1587" s="80"/>
      <c r="Z1587" s="42">
        <f t="shared" si="130"/>
        <v>0</v>
      </c>
      <c r="AA1587" s="6">
        <f t="shared" si="129"/>
        <v>0</v>
      </c>
    </row>
    <row r="1588" spans="9:27" x14ac:dyDescent="0.3">
      <c r="M1588" s="42"/>
      <c r="Q1588" s="42"/>
      <c r="R1588" s="42"/>
      <c r="T1588" s="80"/>
      <c r="Z1588" s="42">
        <f t="shared" si="130"/>
        <v>0</v>
      </c>
      <c r="AA1588" s="6">
        <f t="shared" si="129"/>
        <v>0</v>
      </c>
    </row>
    <row r="1589" spans="9:27" x14ac:dyDescent="0.3">
      <c r="K1589" s="19" t="s">
        <v>165</v>
      </c>
      <c r="L1589" s="19"/>
      <c r="M1589" s="19"/>
      <c r="N1589" s="19"/>
      <c r="O1589" s="19"/>
      <c r="P1589" s="19"/>
      <c r="Q1589" s="19"/>
      <c r="R1589" s="19"/>
      <c r="T1589" s="80"/>
      <c r="U1589">
        <f>$K$1590*$I$1598*$G$1622*$E$1659*$C$1505*$A$1460</f>
        <v>6.2091620433443457E-4</v>
      </c>
      <c r="V1589">
        <v>6.2091620433443457E-4</v>
      </c>
      <c r="W1589" s="42">
        <f>$K$1591+$I$1599+$G$1623+$E$1660+$C$1506+$A$1461</f>
        <v>256493.55809999997</v>
      </c>
      <c r="X1589">
        <f>u_Death</f>
        <v>19.181538114427529</v>
      </c>
      <c r="Z1589" s="42">
        <f t="shared" si="130"/>
        <v>159.26100653168575</v>
      </c>
      <c r="AA1589" s="6">
        <f t="shared" si="129"/>
        <v>1.1910127839306629E-2</v>
      </c>
    </row>
    <row r="1590" spans="9:27" x14ac:dyDescent="0.3">
      <c r="K1590" s="47">
        <f>SGA_term_2d_4</f>
        <v>1.3200000000000002E-2</v>
      </c>
      <c r="T1590" s="80"/>
      <c r="Z1590" s="42">
        <f t="shared" si="130"/>
        <v>0</v>
      </c>
      <c r="AA1590" s="6">
        <f t="shared" si="129"/>
        <v>0</v>
      </c>
    </row>
    <row r="1591" spans="9:27" x14ac:dyDescent="0.3">
      <c r="K1591" s="48">
        <f>c_SB</f>
        <v>1792</v>
      </c>
      <c r="T1591" s="80"/>
      <c r="Z1591" s="42">
        <f t="shared" si="130"/>
        <v>0</v>
      </c>
      <c r="AA1591" s="6">
        <f t="shared" si="129"/>
        <v>0</v>
      </c>
    </row>
    <row r="1592" spans="9:27" x14ac:dyDescent="0.3">
      <c r="T1592" s="80"/>
      <c r="Z1592" s="42">
        <f t="shared" si="130"/>
        <v>0</v>
      </c>
      <c r="AA1592" s="6">
        <f t="shared" si="129"/>
        <v>0</v>
      </c>
    </row>
    <row r="1593" spans="9:27" x14ac:dyDescent="0.3">
      <c r="Q1593" s="19" t="s">
        <v>368</v>
      </c>
      <c r="R1593" s="19"/>
      <c r="T1593" s="80"/>
      <c r="U1593">
        <f>$K$1609*$I$1598*$G$1622*$E$1659*$C$1505*$A$1460*$M$1604*$O$1599*Q1594</f>
        <v>0</v>
      </c>
      <c r="W1593" s="42">
        <f>$K$1610+$I$1599+$G$1623+$E$1660+$C$1506+$A$1461+$M$1605+$O$1600+Q1595</f>
        <v>342762.93955060566</v>
      </c>
      <c r="X1593">
        <f>u_ChronicResp</f>
        <v>0.53465956747782661</v>
      </c>
      <c r="Z1593" s="42">
        <f t="shared" si="130"/>
        <v>0</v>
      </c>
      <c r="AA1593" s="6">
        <f t="shared" si="129"/>
        <v>0</v>
      </c>
    </row>
    <row r="1594" spans="9:27" x14ac:dyDescent="0.3">
      <c r="Q1594" s="47">
        <f>RDS2CLD_4-(Hypo2CI_4*RDS2CLD_4)</f>
        <v>0.34246866666666664</v>
      </c>
      <c r="R1594" s="47"/>
      <c r="T1594" s="80"/>
      <c r="V1594">
        <v>0</v>
      </c>
      <c r="Z1594" s="42">
        <f t="shared" si="130"/>
        <v>0</v>
      </c>
      <c r="AA1594" s="6">
        <f t="shared" si="129"/>
        <v>0</v>
      </c>
    </row>
    <row r="1595" spans="9:27" x14ac:dyDescent="0.3">
      <c r="Q1595" s="48">
        <f>c_lung+c_hosp_fu+c_CSG</f>
        <v>54529.510902399998</v>
      </c>
      <c r="R1595" s="48"/>
      <c r="T1595" s="80"/>
      <c r="Z1595" s="42">
        <f t="shared" si="130"/>
        <v>0</v>
      </c>
      <c r="AA1595" s="6">
        <f t="shared" si="129"/>
        <v>0</v>
      </c>
    </row>
    <row r="1596" spans="9:27" x14ac:dyDescent="0.3">
      <c r="Q1596" s="19" t="s">
        <v>226</v>
      </c>
      <c r="R1596" s="19"/>
      <c r="T1596" s="80"/>
      <c r="U1596">
        <f>$K$1609*$I$1598*$G$1622*$E$1659*$C$1505*$A$1460*$M$1604*$O$1599*Q1597</f>
        <v>0</v>
      </c>
      <c r="W1596" s="42">
        <f>$K$1610+$I$1599+$G$1623+$E$1660+$C$1506+$A$1461+$M$1605+$O$1600+Q1598</f>
        <v>303999.42864820565</v>
      </c>
      <c r="X1596">
        <f>u_CongnitiveImpairement</f>
        <v>17.270393127285455</v>
      </c>
      <c r="Z1596" s="42">
        <f t="shared" si="130"/>
        <v>0</v>
      </c>
      <c r="AA1596" s="6">
        <f t="shared" si="129"/>
        <v>0</v>
      </c>
    </row>
    <row r="1597" spans="9:27" x14ac:dyDescent="0.3">
      <c r="I1597" s="19" t="s">
        <v>164</v>
      </c>
      <c r="Q1597" s="47">
        <f>Hypo2CI_4-(Hypo2CI_4*RDS2CLD_4)</f>
        <v>3.2801999999999998E-2</v>
      </c>
      <c r="R1597" s="47"/>
      <c r="T1597" s="80"/>
      <c r="V1597">
        <v>0</v>
      </c>
      <c r="Z1597" s="42">
        <f t="shared" si="130"/>
        <v>0</v>
      </c>
      <c r="AA1597" s="6">
        <f t="shared" si="129"/>
        <v>0</v>
      </c>
    </row>
    <row r="1598" spans="9:27" x14ac:dyDescent="0.3">
      <c r="I1598" s="47">
        <f>LBW_term_2SGA_4</f>
        <v>1</v>
      </c>
      <c r="O1598" s="19" t="s">
        <v>161</v>
      </c>
      <c r="Q1598" s="48">
        <f>c_cog+c_hosp_fu+c_CSG</f>
        <v>15766</v>
      </c>
      <c r="R1598" s="48"/>
      <c r="T1598" s="80"/>
      <c r="Z1598" s="42">
        <f t="shared" si="130"/>
        <v>0</v>
      </c>
      <c r="AA1598" s="6">
        <f t="shared" si="129"/>
        <v>0</v>
      </c>
    </row>
    <row r="1599" spans="9:27" x14ac:dyDescent="0.3">
      <c r="I1599" s="48"/>
      <c r="O1599" s="47">
        <f>SGA_term_2hypoglycaemia_4</f>
        <v>0.26</v>
      </c>
      <c r="Q1599" s="19" t="s">
        <v>369</v>
      </c>
      <c r="R1599" s="19"/>
      <c r="T1599" s="80"/>
      <c r="U1599">
        <f>$K$1609*$I$1598*$G$1622*$E$1659*$C$1505*$A$1460*$M$1604*$O$1599*Q1600</f>
        <v>0</v>
      </c>
      <c r="W1599" s="42">
        <f>$K$1610+$I$1599+$G$1623+$E$1660+$C$1506+$A$1461+$M$1605+$O$1600+Q1601</f>
        <v>346581.93955060566</v>
      </c>
      <c r="X1599">
        <f>u_ChronicResp+u_CongnitiveImpairement</f>
        <v>17.805052694763283</v>
      </c>
      <c r="Z1599" s="42">
        <f t="shared" si="130"/>
        <v>0</v>
      </c>
      <c r="AA1599" s="6">
        <f t="shared" si="129"/>
        <v>0</v>
      </c>
    </row>
    <row r="1600" spans="9:27" x14ac:dyDescent="0.3">
      <c r="O1600" s="48">
        <f>c_hypo</f>
        <v>2936.2604000000001</v>
      </c>
      <c r="Q1600" s="47">
        <f>Hypo2CI_4*RDS2CLD_4</f>
        <v>1.8531333333333334E-2</v>
      </c>
      <c r="R1600" s="47"/>
      <c r="T1600" s="80"/>
      <c r="V1600">
        <v>0</v>
      </c>
      <c r="Z1600" s="42">
        <f t="shared" si="130"/>
        <v>0</v>
      </c>
      <c r="AA1600" s="6">
        <f t="shared" si="129"/>
        <v>0</v>
      </c>
    </row>
    <row r="1601" spans="7:27" x14ac:dyDescent="0.3">
      <c r="M1601" s="42"/>
      <c r="Q1601" s="48">
        <f>c_lung+c_cog+c_hosp_fu+c_CSG</f>
        <v>58348.510902399998</v>
      </c>
      <c r="R1601" s="48"/>
      <c r="T1601" s="80"/>
      <c r="Z1601" s="42">
        <f t="shared" si="130"/>
        <v>0</v>
      </c>
      <c r="AA1601" s="6">
        <f t="shared" si="129"/>
        <v>0</v>
      </c>
    </row>
    <row r="1602" spans="7:27" x14ac:dyDescent="0.3">
      <c r="Q1602" s="19" t="s">
        <v>370</v>
      </c>
      <c r="R1602" s="19"/>
      <c r="T1602" s="80"/>
      <c r="U1602">
        <f>$K$1609*$I$1598*$G$1622*$E$1659*$C$1505*$A$1460*$M$1604*$O$1599*Q1603</f>
        <v>0</v>
      </c>
      <c r="W1602" s="42">
        <f>$K$1610+$I$1599+$G$1623+$E$1660+$C$1506+$A$1461+$M$1605+$O$1600+Q1604</f>
        <v>302636.42864820565</v>
      </c>
      <c r="X1602">
        <f>u_Healthy</f>
        <v>0</v>
      </c>
      <c r="Z1602" s="42">
        <f t="shared" si="130"/>
        <v>0</v>
      </c>
      <c r="AA1602" s="6">
        <f t="shared" si="129"/>
        <v>0</v>
      </c>
    </row>
    <row r="1603" spans="7:27" x14ac:dyDescent="0.3">
      <c r="M1603" s="19" t="s">
        <v>9</v>
      </c>
      <c r="Q1603" s="47">
        <f>1-Q1594-Q1597-Q1600</f>
        <v>0.60619800000000001</v>
      </c>
      <c r="R1603" s="47"/>
      <c r="T1603" s="80"/>
      <c r="V1603">
        <v>0</v>
      </c>
      <c r="Z1603" s="42">
        <f t="shared" si="130"/>
        <v>0</v>
      </c>
      <c r="AA1603" s="6">
        <f t="shared" si="129"/>
        <v>0</v>
      </c>
    </row>
    <row r="1604" spans="7:27" x14ac:dyDescent="0.3">
      <c r="K1604" s="42"/>
      <c r="M1604" s="47">
        <f>S_term_2RDS_4</f>
        <v>0</v>
      </c>
      <c r="Q1604" s="48">
        <f>c_clinic_fu+c_CSG</f>
        <v>14403</v>
      </c>
      <c r="R1604" s="48"/>
      <c r="T1604" s="80"/>
      <c r="Z1604" s="42">
        <f t="shared" si="130"/>
        <v>0</v>
      </c>
      <c r="AA1604" s="6">
        <f t="shared" si="129"/>
        <v>0</v>
      </c>
    </row>
    <row r="1605" spans="7:27" x14ac:dyDescent="0.3">
      <c r="K1605" s="42"/>
      <c r="M1605" s="48">
        <f>c_RDS</f>
        <v>30595.610148205637</v>
      </c>
      <c r="Q1605" s="42"/>
      <c r="R1605" s="42"/>
      <c r="T1605" s="80"/>
      <c r="Z1605" s="42">
        <f t="shared" si="130"/>
        <v>0</v>
      </c>
      <c r="AA1605" s="6">
        <f t="shared" si="129"/>
        <v>0</v>
      </c>
    </row>
    <row r="1606" spans="7:27" x14ac:dyDescent="0.3">
      <c r="Q1606" s="19" t="s">
        <v>368</v>
      </c>
      <c r="R1606" s="19"/>
      <c r="T1606" s="80"/>
      <c r="U1606">
        <f>$K$1609*$I$1598*$G$1622*$E$1659*$C$1505*$A$1460*$M$1604*$O$1609*Q1607</f>
        <v>0</v>
      </c>
      <c r="W1606" s="42">
        <f>$K$1610+$I$1599+$G$1623+$E$1660+$C$1506+$A$1461+$M$1605+$O$1610+Q1608</f>
        <v>339826.67915060563</v>
      </c>
      <c r="X1606">
        <f>u_ChronicResp</f>
        <v>0.53465956747782661</v>
      </c>
      <c r="Z1606" s="42">
        <f t="shared" si="130"/>
        <v>0</v>
      </c>
      <c r="AA1606" s="6">
        <f t="shared" si="129"/>
        <v>0</v>
      </c>
    </row>
    <row r="1607" spans="7:27" x14ac:dyDescent="0.3">
      <c r="Q1607" s="47">
        <f>RDS2CLD_4-(RDS2CLD_4*noHypo2CI_4)</f>
        <v>0.34905610687022898</v>
      </c>
      <c r="R1607" s="47"/>
      <c r="T1607" s="80"/>
      <c r="V1607">
        <v>0</v>
      </c>
      <c r="Z1607" s="42">
        <f t="shared" si="130"/>
        <v>0</v>
      </c>
      <c r="AA1607" s="6">
        <f t="shared" si="129"/>
        <v>0</v>
      </c>
    </row>
    <row r="1608" spans="7:27" x14ac:dyDescent="0.3">
      <c r="K1608" s="19" t="s">
        <v>37</v>
      </c>
      <c r="M1608" s="42"/>
      <c r="O1608" s="19" t="s">
        <v>371</v>
      </c>
      <c r="Q1608" s="48">
        <f>c_lung+c_hosp_fu+c_CSG</f>
        <v>54529.510902399998</v>
      </c>
      <c r="R1608" s="48"/>
      <c r="T1608" s="80"/>
      <c r="Z1608" s="42">
        <f t="shared" si="130"/>
        <v>0</v>
      </c>
      <c r="AA1608" s="6">
        <f t="shared" si="129"/>
        <v>0</v>
      </c>
    </row>
    <row r="1609" spans="7:27" x14ac:dyDescent="0.3">
      <c r="K1609" s="47">
        <f>SGA_term_2s_4</f>
        <v>0.98680000000000001</v>
      </c>
      <c r="O1609" s="47">
        <f>SGA_term_2normoglycaemia_4</f>
        <v>0.74</v>
      </c>
      <c r="Q1609" s="19" t="s">
        <v>226</v>
      </c>
      <c r="R1609" s="19"/>
      <c r="T1609" s="80"/>
      <c r="U1609">
        <f>$K$1609*$I$1598*$G$1622*$E$1659*$C$1505*$A$1460*$M$1604*$O$1609*Q1610</f>
        <v>0</v>
      </c>
      <c r="W1609" s="42">
        <f>$K$1610+$I$1599+$G$1623+$E$1660+$C$1506+$A$1461+$M$1605+$O$1610+Q1611</f>
        <v>301063.16824820562</v>
      </c>
      <c r="X1609">
        <f>u_CongnitiveImpairement</f>
        <v>17.270393127285455</v>
      </c>
      <c r="Z1609" s="42">
        <f t="shared" si="130"/>
        <v>0</v>
      </c>
      <c r="AA1609" s="6">
        <f t="shared" si="129"/>
        <v>0</v>
      </c>
    </row>
    <row r="1610" spans="7:27" x14ac:dyDescent="0.3">
      <c r="K1610" s="48"/>
      <c r="O1610" s="48"/>
      <c r="Q1610" s="47">
        <f>noHypo2CI_4-(RDS2CLD_4*noHypo2CI_4)</f>
        <v>2.1141683406990762E-2</v>
      </c>
      <c r="R1610" s="47"/>
      <c r="T1610" s="80"/>
      <c r="V1610">
        <v>0</v>
      </c>
      <c r="Z1610" s="42">
        <f t="shared" si="130"/>
        <v>0</v>
      </c>
      <c r="AA1610" s="6">
        <f t="shared" si="129"/>
        <v>0</v>
      </c>
    </row>
    <row r="1611" spans="7:27" x14ac:dyDescent="0.3">
      <c r="Q1611" s="48">
        <f>c_cog+c_hosp_fu+c_CSG</f>
        <v>15766</v>
      </c>
      <c r="R1611" s="48"/>
      <c r="T1611" s="80"/>
      <c r="Z1611" s="42">
        <f t="shared" si="130"/>
        <v>0</v>
      </c>
      <c r="AA1611" s="6">
        <f t="shared" si="129"/>
        <v>0</v>
      </c>
    </row>
    <row r="1612" spans="7:27" x14ac:dyDescent="0.3">
      <c r="Q1612" s="19" t="s">
        <v>369</v>
      </c>
      <c r="R1612" s="19"/>
      <c r="T1612" s="80"/>
      <c r="U1612">
        <f>$K$1609*$I$1598*$G$1622*$E$1659*$C$1505*$A$1460*$M$1604*$O$1609*Q1613</f>
        <v>0</v>
      </c>
      <c r="W1612" s="42">
        <f>$K$1610+$I$1599+$G$1623+$E$1660+$C$1506+$A$1461+$M$1605+$O$1610+Q1614</f>
        <v>343645.67915060563</v>
      </c>
      <c r="X1612">
        <f>u_ChronicResp+u_CongnitiveImpairement</f>
        <v>17.805052694763283</v>
      </c>
      <c r="Z1612" s="42">
        <f t="shared" si="130"/>
        <v>0</v>
      </c>
      <c r="AA1612" s="6">
        <f t="shared" si="129"/>
        <v>0</v>
      </c>
    </row>
    <row r="1613" spans="7:27" x14ac:dyDescent="0.3">
      <c r="G1613" s="42"/>
      <c r="Q1613" s="47">
        <f>RDS2CLD_4*noHypo2CI_4</f>
        <v>1.1943893129770991E-2</v>
      </c>
      <c r="R1613" s="47"/>
      <c r="T1613" s="80"/>
      <c r="V1613">
        <v>0</v>
      </c>
      <c r="Z1613" s="42">
        <f t="shared" si="130"/>
        <v>0</v>
      </c>
      <c r="AA1613" s="6">
        <f t="shared" ref="AA1613:AA1676" si="131">U1613*X1613</f>
        <v>0</v>
      </c>
    </row>
    <row r="1614" spans="7:27" x14ac:dyDescent="0.3">
      <c r="G1614" s="42"/>
      <c r="Q1614" s="48">
        <f>c_cog+c_lung+c_hosp_fu+c_CSG</f>
        <v>58348.510902399998</v>
      </c>
      <c r="R1614" s="48"/>
      <c r="T1614" s="80"/>
      <c r="Z1614" s="42">
        <f t="shared" si="130"/>
        <v>0</v>
      </c>
      <c r="AA1614" s="6">
        <f t="shared" si="131"/>
        <v>0</v>
      </c>
    </row>
    <row r="1615" spans="7:27" x14ac:dyDescent="0.3">
      <c r="Q1615" s="19" t="s">
        <v>370</v>
      </c>
      <c r="R1615" s="19"/>
      <c r="T1615" s="80"/>
      <c r="U1615">
        <f>$K$1609*$I$1598*$G$1622*$E$1659*$C$1505*$A$1460*$M$1604*$O$1609*Q1616</f>
        <v>0</v>
      </c>
      <c r="W1615" s="42">
        <f>$K$1610+$I$1599+$G$1623+$E$1660+$C$1506+$A$1461+$M$1605+$O$1610+Q1617</f>
        <v>299700.16824820562</v>
      </c>
      <c r="X1615">
        <f>u_Healthy</f>
        <v>0</v>
      </c>
      <c r="Z1615" s="42">
        <f t="shared" ref="Z1615:Z1678" si="132">U1615*W1615</f>
        <v>0</v>
      </c>
      <c r="AA1615" s="6">
        <f t="shared" si="131"/>
        <v>0</v>
      </c>
    </row>
    <row r="1616" spans="7:27" x14ac:dyDescent="0.3">
      <c r="Q1616" s="47">
        <f>1-Q1613-Q1610-Q1607</f>
        <v>0.61785831659300938</v>
      </c>
      <c r="R1616" s="47"/>
      <c r="T1616" s="80"/>
      <c r="V1616">
        <v>0</v>
      </c>
      <c r="Z1616" s="42">
        <f t="shared" si="132"/>
        <v>0</v>
      </c>
      <c r="AA1616" s="6">
        <f t="shared" si="131"/>
        <v>0</v>
      </c>
    </row>
    <row r="1617" spans="7:27" x14ac:dyDescent="0.3">
      <c r="Q1617" s="48">
        <f>c_clinic_fu+c_CSG</f>
        <v>14403</v>
      </c>
      <c r="R1617" s="48"/>
      <c r="T1617" s="80"/>
      <c r="Z1617" s="42">
        <f t="shared" si="132"/>
        <v>0</v>
      </c>
      <c r="AA1617" s="6">
        <f t="shared" si="131"/>
        <v>0</v>
      </c>
    </row>
    <row r="1618" spans="7:27" x14ac:dyDescent="0.3">
      <c r="Q1618" s="42"/>
      <c r="R1618" s="42"/>
      <c r="T1618" s="80"/>
      <c r="Z1618" s="42">
        <f t="shared" si="132"/>
        <v>0</v>
      </c>
      <c r="AA1618" s="6">
        <f t="shared" si="131"/>
        <v>0</v>
      </c>
    </row>
    <row r="1619" spans="7:27" x14ac:dyDescent="0.3">
      <c r="Q1619" s="19" t="s">
        <v>368</v>
      </c>
      <c r="R1619" s="19"/>
      <c r="T1619" s="80"/>
      <c r="U1619">
        <f>$K$1609*$I$1598*$G$1622*$E$1659*$C$1505*$A$1460*$M$1624*$O$1622*Q1620</f>
        <v>4.1331616824192988E-3</v>
      </c>
      <c r="V1619">
        <v>4.1331616824192988E-3</v>
      </c>
      <c r="W1619" s="42">
        <f>$K$1610+$I$1599+$G$1623+$E$1660+$C$1506+$A$1461+$M$1625+$O$1623+Q1621</f>
        <v>312167.32940239995</v>
      </c>
      <c r="X1619">
        <f>u_ChronicResp</f>
        <v>0.53465956747782661</v>
      </c>
      <c r="Z1619" s="42">
        <f t="shared" si="132"/>
        <v>1290.2380443891627</v>
      </c>
      <c r="AA1619" s="6">
        <f t="shared" si="131"/>
        <v>2.2098344374382284E-3</v>
      </c>
    </row>
    <row r="1620" spans="7:27" x14ac:dyDescent="0.3">
      <c r="Q1620" s="47">
        <f>RDS2CLD_4-(Hypo2CI_4*RDS2CLD_4)</f>
        <v>0.34246866666666664</v>
      </c>
      <c r="R1620" s="47"/>
      <c r="T1620" s="80"/>
      <c r="Z1620" s="42">
        <f t="shared" si="132"/>
        <v>0</v>
      </c>
      <c r="AA1620" s="6">
        <f t="shared" si="131"/>
        <v>0</v>
      </c>
    </row>
    <row r="1621" spans="7:27" x14ac:dyDescent="0.3">
      <c r="G1621" s="19" t="s">
        <v>8</v>
      </c>
      <c r="O1621" s="19" t="s">
        <v>161</v>
      </c>
      <c r="Q1621" s="48">
        <f>c_lung+c_hosp_fu+c_CSG</f>
        <v>54529.510902399998</v>
      </c>
      <c r="R1621" s="48"/>
      <c r="T1621" s="80"/>
      <c r="Z1621" s="42">
        <f t="shared" si="132"/>
        <v>0</v>
      </c>
      <c r="AA1621" s="6">
        <f t="shared" si="131"/>
        <v>0</v>
      </c>
    </row>
    <row r="1622" spans="7:27" x14ac:dyDescent="0.3">
      <c r="G1622" s="47">
        <f>Term2LBW_4</f>
        <v>0.34769230769230769</v>
      </c>
      <c r="O1622" s="47">
        <f>SGA_term_2hypoglycaemia_4</f>
        <v>0.26</v>
      </c>
      <c r="Q1622" s="19" t="s">
        <v>226</v>
      </c>
      <c r="R1622" s="19"/>
      <c r="T1622" s="80"/>
      <c r="U1622">
        <f>$K$1609*$I$1598*$G$1622*$E$1659*$C$1505*$A$1460*$M$1624*$O$1622*Q1623</f>
        <v>3.958784633534878E-4</v>
      </c>
      <c r="V1622">
        <v>3.958784633534878E-4</v>
      </c>
      <c r="W1622" s="42">
        <f>$K$1610+$I$1599+$G$1623+$E$1660+$C$1506+$A$1461+$M$1625+$O$1623+Q1624</f>
        <v>273403.81849999994</v>
      </c>
      <c r="X1622">
        <f>u_CongnitiveImpairement</f>
        <v>17.270393127285455</v>
      </c>
      <c r="Z1622" s="42">
        <f t="shared" si="132"/>
        <v>108.23468354275586</v>
      </c>
      <c r="AA1622" s="6">
        <f t="shared" si="131"/>
        <v>6.8369766927404031E-3</v>
      </c>
    </row>
    <row r="1623" spans="7:27" x14ac:dyDescent="0.3">
      <c r="G1623" s="48">
        <f>c_LBW</f>
        <v>254701.55809999997</v>
      </c>
      <c r="M1623" s="19" t="s">
        <v>203</v>
      </c>
      <c r="O1623" s="48">
        <f>c_hypo</f>
        <v>2936.2604000000001</v>
      </c>
      <c r="Q1623" s="47">
        <f>Hypo2CI_4-(Hypo2CI_4*RDS2CLD_4)</f>
        <v>3.2801999999999998E-2</v>
      </c>
      <c r="R1623" s="47"/>
      <c r="T1623" s="80"/>
      <c r="Z1623" s="42">
        <f t="shared" si="132"/>
        <v>0</v>
      </c>
      <c r="AA1623" s="6">
        <f t="shared" si="131"/>
        <v>0</v>
      </c>
    </row>
    <row r="1624" spans="7:27" x14ac:dyDescent="0.3">
      <c r="M1624" s="47">
        <f>S_term_2noRDS_4</f>
        <v>1</v>
      </c>
      <c r="Q1624" s="48">
        <f>c_cog+c_hosp_fu+c_CSG</f>
        <v>15766</v>
      </c>
      <c r="R1624" s="48"/>
      <c r="T1624" s="80"/>
      <c r="Z1624" s="42">
        <f t="shared" si="132"/>
        <v>0</v>
      </c>
      <c r="AA1624" s="6">
        <f t="shared" si="131"/>
        <v>0</v>
      </c>
    </row>
    <row r="1625" spans="7:27" x14ac:dyDescent="0.3">
      <c r="M1625" s="48"/>
      <c r="O1625" s="42"/>
      <c r="Q1625" s="19" t="s">
        <v>369</v>
      </c>
      <c r="R1625" s="19"/>
      <c r="T1625" s="80"/>
      <c r="U1625">
        <f>$K$1609*$I$1598*$G$1622*$E$1659*$C$1505*$A$1460*$M$1624*$O$1622*Q1626</f>
        <v>2.2364964831081237E-4</v>
      </c>
      <c r="V1625">
        <v>2.2364964831081237E-4</v>
      </c>
      <c r="W1625" s="42">
        <f>$K$1610+$I$1599+$G$1623+$E$1660+$C$1506+$A$1461+$M$1625+$O$1623+Q1627</f>
        <v>315986.32940239995</v>
      </c>
      <c r="X1625">
        <f>u_ChronicResp+u_CongnitiveImpairement</f>
        <v>17.805052694763283</v>
      </c>
      <c r="Z1625" s="42">
        <f t="shared" si="132"/>
        <v>70.670231441871252</v>
      </c>
      <c r="AA1625" s="6">
        <f t="shared" si="131"/>
        <v>3.9820937733392901E-3</v>
      </c>
    </row>
    <row r="1626" spans="7:27" x14ac:dyDescent="0.3">
      <c r="M1626" s="42"/>
      <c r="Q1626" s="47">
        <f>Hypo2CI_4*RDS2CLD_4</f>
        <v>1.8531333333333334E-2</v>
      </c>
      <c r="R1626" s="47"/>
      <c r="T1626" s="80"/>
      <c r="Z1626" s="42">
        <f t="shared" si="132"/>
        <v>0</v>
      </c>
      <c r="AA1626" s="6">
        <f t="shared" si="131"/>
        <v>0</v>
      </c>
    </row>
    <row r="1627" spans="7:27" x14ac:dyDescent="0.3">
      <c r="M1627" s="42"/>
      <c r="Q1627" s="48">
        <f>c_lung+c_cog+c_hosp_fu+c_CSG</f>
        <v>58348.510902399998</v>
      </c>
      <c r="R1627" s="48"/>
      <c r="T1627" s="80"/>
      <c r="Z1627" s="42">
        <f t="shared" si="132"/>
        <v>0</v>
      </c>
      <c r="AA1627" s="6">
        <f t="shared" si="131"/>
        <v>0</v>
      </c>
    </row>
    <row r="1628" spans="7:27" x14ac:dyDescent="0.3">
      <c r="M1628" s="42"/>
      <c r="Q1628" s="19" t="s">
        <v>370</v>
      </c>
      <c r="R1628" s="19"/>
      <c r="T1628" s="80"/>
      <c r="U1628">
        <f>$K$1609*$I$1598*$G$1622*$E$1659*$C$1505*$A$1460*$M$1624*$O$1622*Q1629</f>
        <v>7.3160396539222496E-3</v>
      </c>
      <c r="V1628">
        <v>7.3160396539222496E-3</v>
      </c>
      <c r="W1628" s="42">
        <f>$K$1610+$I$1599+$G$1623+$E$1660+$C$1506+$A$1461+$M$1625+$O$1623+Q1630</f>
        <v>272040.81849999994</v>
      </c>
      <c r="X1628">
        <f>u_Healthy</f>
        <v>0</v>
      </c>
      <c r="Z1628" s="42">
        <f t="shared" si="132"/>
        <v>1990.2614156314651</v>
      </c>
      <c r="AA1628" s="6">
        <f t="shared" si="131"/>
        <v>0</v>
      </c>
    </row>
    <row r="1629" spans="7:27" x14ac:dyDescent="0.3">
      <c r="M1629" s="42"/>
      <c r="O1629" s="42"/>
      <c r="Q1629" s="47">
        <f>1-Q1620-Q1623-Q1626</f>
        <v>0.60619800000000001</v>
      </c>
      <c r="R1629" s="47"/>
      <c r="T1629" s="80"/>
      <c r="Z1629" s="42">
        <f t="shared" si="132"/>
        <v>0</v>
      </c>
      <c r="AA1629" s="6">
        <f t="shared" si="131"/>
        <v>0</v>
      </c>
    </row>
    <row r="1630" spans="7:27" x14ac:dyDescent="0.3">
      <c r="M1630" s="42"/>
      <c r="Q1630" s="48">
        <f>c_clinic_fu+c_CSG</f>
        <v>14403</v>
      </c>
      <c r="R1630" s="48"/>
      <c r="S1630" s="96"/>
      <c r="T1630" s="80"/>
      <c r="Z1630" s="42">
        <f t="shared" si="132"/>
        <v>0</v>
      </c>
      <c r="AA1630" s="6">
        <f t="shared" si="131"/>
        <v>0</v>
      </c>
    </row>
    <row r="1631" spans="7:27" x14ac:dyDescent="0.3">
      <c r="M1631" s="42"/>
      <c r="Q1631" s="42"/>
      <c r="R1631" s="42"/>
      <c r="T1631" s="80"/>
      <c r="Z1631" s="42">
        <f t="shared" si="132"/>
        <v>0</v>
      </c>
      <c r="AA1631" s="6">
        <f t="shared" si="131"/>
        <v>0</v>
      </c>
    </row>
    <row r="1632" spans="7:27" x14ac:dyDescent="0.3">
      <c r="M1632" s="42"/>
      <c r="Q1632" s="19" t="s">
        <v>368</v>
      </c>
      <c r="R1632" s="19"/>
      <c r="T1632" s="80"/>
      <c r="U1632">
        <f>$K$1609*$I$1598*$G$1622*$E$1659*$C$1505*$A$1460*$M$1624*$O$1636*Q1633</f>
        <v>1.1989889037820563E-2</v>
      </c>
      <c r="V1632">
        <v>1.1989889037820563E-2</v>
      </c>
      <c r="W1632" s="42">
        <f>$K$1610+$I$1599+$G$1623+$E$1660+$C$1506+$A$1461+$M$1625+$O$1637+Q1634</f>
        <v>309231.06900239998</v>
      </c>
      <c r="X1632">
        <f>u_ChronicResp</f>
        <v>0.53465956747782661</v>
      </c>
      <c r="Z1632" s="42">
        <f t="shared" si="132"/>
        <v>3707.6462043854094</v>
      </c>
      <c r="AA1632" s="6">
        <f t="shared" si="131"/>
        <v>6.410508887068277E-3</v>
      </c>
    </row>
    <row r="1633" spans="3:27" x14ac:dyDescent="0.3">
      <c r="M1633" s="42"/>
      <c r="Q1633" s="47">
        <f>RDS2CLD_4-(RDS2CLD_4*noHypo2CI_4)</f>
        <v>0.34905610687022898</v>
      </c>
      <c r="R1633" s="47"/>
      <c r="T1633" s="80"/>
      <c r="Z1633" s="42">
        <f t="shared" si="132"/>
        <v>0</v>
      </c>
      <c r="AA1633" s="6">
        <f t="shared" si="131"/>
        <v>0</v>
      </c>
    </row>
    <row r="1634" spans="3:27" x14ac:dyDescent="0.3">
      <c r="M1634" s="42"/>
      <c r="Q1634" s="48">
        <f>c_lung+c_hosp_fu+c_CSG</f>
        <v>54529.510902399998</v>
      </c>
      <c r="R1634" s="48"/>
      <c r="T1634" s="80"/>
      <c r="Z1634" s="42">
        <f t="shared" si="132"/>
        <v>0</v>
      </c>
      <c r="AA1634" s="6">
        <f t="shared" si="131"/>
        <v>0</v>
      </c>
    </row>
    <row r="1635" spans="3:27" x14ac:dyDescent="0.3">
      <c r="M1635" s="42"/>
      <c r="O1635" s="19" t="s">
        <v>371</v>
      </c>
      <c r="Q1635" s="19" t="s">
        <v>226</v>
      </c>
      <c r="R1635" s="19"/>
      <c r="T1635" s="80"/>
      <c r="U1635">
        <f>$K$1609*$I$1598*$G$1622*$E$1659*$C$1505*$A$1460*$M$1624*$O$1636*Q1636</f>
        <v>7.26205424094734E-4</v>
      </c>
      <c r="V1635">
        <v>7.26205424094734E-4</v>
      </c>
      <c r="W1635" s="42">
        <f>$K$1610+$I$1599+$G$1623+$E$1660+$C$1506+$A$1461+$M$1625+$O$1637+Q1637</f>
        <v>270467.55809999997</v>
      </c>
      <c r="X1635">
        <f>u_CongnitiveImpairement</f>
        <v>17.270393127285455</v>
      </c>
      <c r="Z1635" s="42">
        <f t="shared" si="132"/>
        <v>196.41500773387759</v>
      </c>
      <c r="AA1635" s="6">
        <f t="shared" si="131"/>
        <v>1.2541853165283114E-2</v>
      </c>
    </row>
    <row r="1636" spans="3:27" x14ac:dyDescent="0.3">
      <c r="M1636" s="42"/>
      <c r="O1636" s="47">
        <f>SGA_term_2normoglycaemia_4</f>
        <v>0.74</v>
      </c>
      <c r="Q1636" s="47">
        <f>noHypo2CI_4-(RDS2CLD_4*noHypo2CI_4)</f>
        <v>2.1141683406990762E-2</v>
      </c>
      <c r="R1636" s="47"/>
      <c r="T1636" s="80"/>
      <c r="Z1636" s="42">
        <f t="shared" si="132"/>
        <v>0</v>
      </c>
      <c r="AA1636" s="6">
        <f t="shared" si="131"/>
        <v>0</v>
      </c>
    </row>
    <row r="1637" spans="3:27" x14ac:dyDescent="0.3">
      <c r="M1637" s="42"/>
      <c r="O1637" s="48"/>
      <c r="Q1637" s="48">
        <f>c_cog+c_hosp_fu+c_CSG</f>
        <v>15766</v>
      </c>
      <c r="R1637" s="48"/>
      <c r="T1637" s="80"/>
      <c r="Z1637" s="42">
        <f t="shared" si="132"/>
        <v>0</v>
      </c>
      <c r="AA1637" s="6">
        <f t="shared" si="131"/>
        <v>0</v>
      </c>
    </row>
    <row r="1638" spans="3:27" x14ac:dyDescent="0.3">
      <c r="M1638" s="42"/>
      <c r="Q1638" s="19" t="s">
        <v>369</v>
      </c>
      <c r="R1638" s="19"/>
      <c r="T1638" s="80"/>
      <c r="U1638">
        <f>$K$1609*$I$1598*$G$1622*$E$1659*$C$1505*$A$1460*$M$1624*$O$1636*Q1639</f>
        <v>4.1026628810359768E-4</v>
      </c>
      <c r="V1638">
        <v>4.1026628810359768E-4</v>
      </c>
      <c r="W1638" s="42">
        <f>$K$1610+$I$1599+$G$1623+$E$1660+$C$1506+$A$1461+$M$1625+$O$1637+Q1640</f>
        <v>313050.06900239998</v>
      </c>
      <c r="X1638">
        <f>u_ChronicResp+u_CongnitiveImpairement</f>
        <v>17.805052694763283</v>
      </c>
      <c r="Z1638" s="42">
        <f t="shared" si="132"/>
        <v>128.43388980018977</v>
      </c>
      <c r="AA1638" s="6">
        <f t="shared" si="131"/>
        <v>7.3048128785694914E-3</v>
      </c>
    </row>
    <row r="1639" spans="3:27" x14ac:dyDescent="0.3">
      <c r="M1639" s="42"/>
      <c r="Q1639" s="47">
        <f>RDS2CLD_4*noHypo2CI_4</f>
        <v>1.1943893129770991E-2</v>
      </c>
      <c r="R1639" s="47"/>
      <c r="T1639" s="80"/>
      <c r="Z1639" s="42">
        <f t="shared" si="132"/>
        <v>0</v>
      </c>
      <c r="AA1639" s="6">
        <f t="shared" si="131"/>
        <v>0</v>
      </c>
    </row>
    <row r="1640" spans="3:27" x14ac:dyDescent="0.3">
      <c r="M1640" s="42"/>
      <c r="Q1640" s="48">
        <f>c_cog+c_lung+c_hosp_fu+c_CSG</f>
        <v>58348.510902399998</v>
      </c>
      <c r="R1640" s="48"/>
      <c r="T1640" s="80"/>
      <c r="Z1640" s="42">
        <f t="shared" si="132"/>
        <v>0</v>
      </c>
      <c r="AA1640" s="6">
        <f t="shared" si="131"/>
        <v>0</v>
      </c>
    </row>
    <row r="1641" spans="3:27" x14ac:dyDescent="0.3">
      <c r="M1641" s="42"/>
      <c r="Q1641" s="19" t="s">
        <v>370</v>
      </c>
      <c r="R1641" s="19"/>
      <c r="T1641" s="80"/>
      <c r="U1641">
        <f>$K$1609*$I$1598*$G$1622*$E$1659*$C$1505*$A$1460*$M$1624*$O$1636*Q1642</f>
        <v>2.1223099986613134E-2</v>
      </c>
      <c r="V1641">
        <v>2.1223099986613134E-2</v>
      </c>
      <c r="W1641" s="42">
        <f>$K$1610+$I$1599+$G$1623+$E$1660+$C$1506+$A$1461+$M$1625+$O$1637+Q1643</f>
        <v>269104.55809999997</v>
      </c>
      <c r="X1641">
        <f>u_Healthy</f>
        <v>0</v>
      </c>
      <c r="Z1641" s="42">
        <f t="shared" si="132"/>
        <v>5711.2329434096428</v>
      </c>
      <c r="AA1641" s="6">
        <f t="shared" si="131"/>
        <v>0</v>
      </c>
    </row>
    <row r="1642" spans="3:27" x14ac:dyDescent="0.3">
      <c r="M1642" s="42"/>
      <c r="Q1642" s="47">
        <f>1-Q1639-Q1636-Q1633</f>
        <v>0.61785831659300938</v>
      </c>
      <c r="R1642" s="47"/>
      <c r="T1642" s="80"/>
      <c r="Z1642" s="42">
        <f t="shared" si="132"/>
        <v>0</v>
      </c>
      <c r="AA1642" s="6">
        <f t="shared" si="131"/>
        <v>0</v>
      </c>
    </row>
    <row r="1643" spans="3:27" x14ac:dyDescent="0.3">
      <c r="C1643" s="42"/>
      <c r="M1643" s="42"/>
      <c r="Q1643" s="48">
        <f>c_clinic_fu+c_CSG</f>
        <v>14403</v>
      </c>
      <c r="R1643" s="48"/>
      <c r="T1643" s="80"/>
      <c r="Z1643" s="42">
        <f t="shared" si="132"/>
        <v>0</v>
      </c>
      <c r="AA1643" s="6">
        <f t="shared" si="131"/>
        <v>0</v>
      </c>
    </row>
    <row r="1644" spans="3:27" x14ac:dyDescent="0.3">
      <c r="M1644" s="42"/>
      <c r="Q1644" s="42"/>
      <c r="R1644" s="42"/>
      <c r="T1644" s="80"/>
      <c r="Z1644" s="42">
        <f t="shared" si="132"/>
        <v>0</v>
      </c>
      <c r="AA1644" s="6">
        <f t="shared" si="131"/>
        <v>0</v>
      </c>
    </row>
    <row r="1645" spans="3:27" x14ac:dyDescent="0.3">
      <c r="K1645" s="19" t="s">
        <v>165</v>
      </c>
      <c r="L1645" s="19"/>
      <c r="M1645" s="19"/>
      <c r="N1645" s="19"/>
      <c r="O1645" s="19"/>
      <c r="P1645" s="19"/>
      <c r="Q1645" s="19"/>
      <c r="R1645" s="19"/>
      <c r="T1645" s="80"/>
      <c r="U1645">
        <f>$K$1646*$I$1654*$G$1622*$E$1659*$C$1505*$A$1460</f>
        <v>0</v>
      </c>
      <c r="W1645" s="42">
        <f>$K$1647+$I$1655+$G$1623+$E$1660+$C$1506+$A$1461</f>
        <v>256493.55809999997</v>
      </c>
      <c r="X1645">
        <f>u_Death</f>
        <v>19.181538114427529</v>
      </c>
      <c r="Z1645" s="42">
        <f t="shared" si="132"/>
        <v>0</v>
      </c>
      <c r="AA1645" s="6">
        <f t="shared" si="131"/>
        <v>0</v>
      </c>
    </row>
    <row r="1646" spans="3:27" x14ac:dyDescent="0.3">
      <c r="K1646" s="47">
        <f>AGA_term_2d_4</f>
        <v>6.2333333333333338E-3</v>
      </c>
      <c r="T1646" s="80"/>
      <c r="V1646">
        <v>0</v>
      </c>
      <c r="Z1646" s="42">
        <f t="shared" si="132"/>
        <v>0</v>
      </c>
      <c r="AA1646" s="6">
        <f t="shared" si="131"/>
        <v>0</v>
      </c>
    </row>
    <row r="1647" spans="3:27" x14ac:dyDescent="0.3">
      <c r="K1647" s="48">
        <f>c_SB</f>
        <v>1792</v>
      </c>
      <c r="T1647" s="80"/>
      <c r="Z1647" s="42">
        <f t="shared" si="132"/>
        <v>0</v>
      </c>
      <c r="AA1647" s="6">
        <f t="shared" si="131"/>
        <v>0</v>
      </c>
    </row>
    <row r="1648" spans="3:27" x14ac:dyDescent="0.3">
      <c r="T1648" s="80"/>
      <c r="Z1648" s="42">
        <f t="shared" si="132"/>
        <v>0</v>
      </c>
      <c r="AA1648" s="6">
        <f t="shared" si="131"/>
        <v>0</v>
      </c>
    </row>
    <row r="1649" spans="5:27" x14ac:dyDescent="0.3">
      <c r="Q1649" s="19" t="s">
        <v>368</v>
      </c>
      <c r="R1649" s="19"/>
      <c r="T1649" s="80"/>
      <c r="U1649">
        <f>$K$1665*$I$1654*$G$1622*$E$1659*$C$1505*$A$1460*$M$1660*$O$1655*Q1650</f>
        <v>0</v>
      </c>
      <c r="W1649" s="42">
        <f>$K$1666+$I$1655+$G$1623+$E$1660+$C$1506+$A$1461+$M$1661+$O$1656+Q1651</f>
        <v>342762.93955060566</v>
      </c>
      <c r="X1649">
        <f>u_ChronicResp</f>
        <v>0.53465956747782661</v>
      </c>
      <c r="Z1649" s="42">
        <f t="shared" si="132"/>
        <v>0</v>
      </c>
      <c r="AA1649" s="6">
        <f t="shared" si="131"/>
        <v>0</v>
      </c>
    </row>
    <row r="1650" spans="5:27" x14ac:dyDescent="0.3">
      <c r="Q1650" s="47">
        <f>RDS2CLD_4-(Hypo2CI_4*RDS2CLD_4)</f>
        <v>0.34246866666666664</v>
      </c>
      <c r="R1650" s="47"/>
      <c r="T1650" s="80"/>
      <c r="V1650">
        <v>0</v>
      </c>
      <c r="Z1650" s="42">
        <f t="shared" si="132"/>
        <v>0</v>
      </c>
      <c r="AA1650" s="6">
        <f t="shared" si="131"/>
        <v>0</v>
      </c>
    </row>
    <row r="1651" spans="5:27" x14ac:dyDescent="0.3">
      <c r="Q1651" s="48">
        <f>c_lung+c_hosp_fu+c_CSG</f>
        <v>54529.510902399998</v>
      </c>
      <c r="R1651" s="48"/>
      <c r="T1651" s="80"/>
      <c r="Z1651" s="42">
        <f t="shared" si="132"/>
        <v>0</v>
      </c>
      <c r="AA1651" s="6">
        <f t="shared" si="131"/>
        <v>0</v>
      </c>
    </row>
    <row r="1652" spans="5:27" x14ac:dyDescent="0.3">
      <c r="Q1652" s="19" t="s">
        <v>226</v>
      </c>
      <c r="R1652" s="19"/>
      <c r="T1652" s="80"/>
      <c r="U1652">
        <f>$K$1665*$I$1654*$G$1622*$E$1659*$C$1505*$A$1460*$M$1660*$O$1655*Q1653</f>
        <v>0</v>
      </c>
      <c r="W1652" s="42">
        <f>$K$1666+$I$1655+$G$1623+$E$1660+$C$1506+$A$1461+$M$1661+$O$1656+Q1654</f>
        <v>303999.42864820565</v>
      </c>
      <c r="X1652">
        <f>u_CongnitiveImpairement</f>
        <v>17.270393127285455</v>
      </c>
      <c r="Z1652" s="42">
        <f t="shared" si="132"/>
        <v>0</v>
      </c>
      <c r="AA1652" s="6">
        <f t="shared" si="131"/>
        <v>0</v>
      </c>
    </row>
    <row r="1653" spans="5:27" x14ac:dyDescent="0.3">
      <c r="I1653" s="19" t="s">
        <v>425</v>
      </c>
      <c r="Q1653" s="47">
        <f>Hypo2CI_4-(Hypo2CI_4*RDS2CLD_4)</f>
        <v>3.2801999999999998E-2</v>
      </c>
      <c r="R1653" s="47"/>
      <c r="T1653" s="80"/>
      <c r="V1653">
        <v>0</v>
      </c>
      <c r="Z1653" s="42">
        <f t="shared" si="132"/>
        <v>0</v>
      </c>
      <c r="AA1653" s="6">
        <f t="shared" si="131"/>
        <v>0</v>
      </c>
    </row>
    <row r="1654" spans="5:27" x14ac:dyDescent="0.3">
      <c r="I1654" s="47">
        <f>LBW_term_2AGA_4</f>
        <v>0</v>
      </c>
      <c r="O1654" s="19" t="s">
        <v>161</v>
      </c>
      <c r="Q1654" s="48">
        <f>c_cog+c_hosp_fu+c_CSG</f>
        <v>15766</v>
      </c>
      <c r="R1654" s="48"/>
      <c r="T1654" s="80"/>
      <c r="Z1654" s="42">
        <f t="shared" si="132"/>
        <v>0</v>
      </c>
      <c r="AA1654" s="6">
        <f t="shared" si="131"/>
        <v>0</v>
      </c>
    </row>
    <row r="1655" spans="5:27" x14ac:dyDescent="0.3">
      <c r="I1655" s="48"/>
      <c r="O1655" s="47">
        <f>AGA_term_2hypoglycaemia_4</f>
        <v>0</v>
      </c>
      <c r="Q1655" s="19" t="s">
        <v>369</v>
      </c>
      <c r="R1655" s="19"/>
      <c r="T1655" s="80"/>
      <c r="U1655">
        <f>$K$1665*$I$1654*$G$1622*$E$1659*$C$1505*$A$1460*$M$1660*$O$1655*Q1656</f>
        <v>0</v>
      </c>
      <c r="W1655" s="42">
        <f>$K$1666+$I$1655+$G$1623+$E$1660+$C$1506+$A$1461+$M$1661+$O$1656+Q1657</f>
        <v>346581.93955060566</v>
      </c>
      <c r="X1655">
        <f>u_ChronicResp+u_CongnitiveImpairement</f>
        <v>17.805052694763283</v>
      </c>
      <c r="Z1655" s="42">
        <f t="shared" si="132"/>
        <v>0</v>
      </c>
      <c r="AA1655" s="6">
        <f t="shared" si="131"/>
        <v>0</v>
      </c>
    </row>
    <row r="1656" spans="5:27" x14ac:dyDescent="0.3">
      <c r="O1656" s="48">
        <f>c_hypo</f>
        <v>2936.2604000000001</v>
      </c>
      <c r="Q1656" s="47">
        <f>Hypo2CI_4*RDS2CLD_4</f>
        <v>1.8531333333333334E-2</v>
      </c>
      <c r="R1656" s="47"/>
      <c r="T1656" s="80"/>
      <c r="V1656">
        <v>0</v>
      </c>
      <c r="Z1656" s="42">
        <f t="shared" si="132"/>
        <v>0</v>
      </c>
      <c r="AA1656" s="6">
        <f t="shared" si="131"/>
        <v>0</v>
      </c>
    </row>
    <row r="1657" spans="5:27" x14ac:dyDescent="0.3">
      <c r="M1657" s="42"/>
      <c r="Q1657" s="48">
        <f>c_lung+c_cog+c_hosp_fu+c_CSG</f>
        <v>58348.510902399998</v>
      </c>
      <c r="R1657" s="48"/>
      <c r="T1657" s="80"/>
      <c r="Z1657" s="42">
        <f t="shared" si="132"/>
        <v>0</v>
      </c>
      <c r="AA1657" s="6">
        <f t="shared" si="131"/>
        <v>0</v>
      </c>
    </row>
    <row r="1658" spans="5:27" x14ac:dyDescent="0.3">
      <c r="E1658" s="19" t="s">
        <v>11</v>
      </c>
      <c r="Q1658" s="19" t="s">
        <v>370</v>
      </c>
      <c r="R1658" s="19"/>
      <c r="T1658" s="80"/>
      <c r="U1658">
        <f>$K$1665*$I$1654*$G$1622*$E$1659*$C$1505*$A$1460*$M$1660*$O$1655*Q1659</f>
        <v>0</v>
      </c>
      <c r="W1658" s="42">
        <f>$K$1666+$I$1655+$G$1623+$E$1660+$C$1506+$A$1461+$M$1661+$O$1656+Q1660</f>
        <v>302636.42864820565</v>
      </c>
      <c r="X1658">
        <f>u_Healthy</f>
        <v>0</v>
      </c>
      <c r="Z1658" s="42">
        <f t="shared" si="132"/>
        <v>0</v>
      </c>
      <c r="AA1658" s="6">
        <f t="shared" si="131"/>
        <v>0</v>
      </c>
    </row>
    <row r="1659" spans="5:27" x14ac:dyDescent="0.3">
      <c r="E1659" s="47">
        <f>LB2term_4</f>
        <v>0.82661996497373025</v>
      </c>
      <c r="M1659" s="19" t="s">
        <v>9</v>
      </c>
      <c r="Q1659" s="47">
        <f>1-Q1650-Q1653-Q1656</f>
        <v>0.60619800000000001</v>
      </c>
      <c r="R1659" s="47"/>
      <c r="T1659" s="80"/>
      <c r="V1659">
        <v>0</v>
      </c>
      <c r="Z1659" s="42">
        <f t="shared" si="132"/>
        <v>0</v>
      </c>
      <c r="AA1659" s="6">
        <f t="shared" si="131"/>
        <v>0</v>
      </c>
    </row>
    <row r="1660" spans="5:27" x14ac:dyDescent="0.3">
      <c r="E1660" s="48"/>
      <c r="K1660" s="42"/>
      <c r="M1660" s="47">
        <f>S_term_2RDS_4</f>
        <v>0</v>
      </c>
      <c r="Q1660" s="48">
        <f>c_clinic_fu+c_CSG</f>
        <v>14403</v>
      </c>
      <c r="R1660" s="48"/>
      <c r="T1660" s="80"/>
      <c r="Z1660" s="42">
        <f t="shared" si="132"/>
        <v>0</v>
      </c>
      <c r="AA1660" s="6">
        <f t="shared" si="131"/>
        <v>0</v>
      </c>
    </row>
    <row r="1661" spans="5:27" x14ac:dyDescent="0.3">
      <c r="K1661" s="42"/>
      <c r="M1661" s="48">
        <f>c_RDS</f>
        <v>30595.610148205637</v>
      </c>
      <c r="Q1661" s="42"/>
      <c r="R1661" s="42"/>
      <c r="T1661" s="80"/>
      <c r="Z1661" s="42">
        <f t="shared" si="132"/>
        <v>0</v>
      </c>
      <c r="AA1661" s="6">
        <f t="shared" si="131"/>
        <v>0</v>
      </c>
    </row>
    <row r="1662" spans="5:27" x14ac:dyDescent="0.3">
      <c r="Q1662" s="19" t="s">
        <v>368</v>
      </c>
      <c r="R1662" s="19"/>
      <c r="T1662" s="80"/>
      <c r="U1662">
        <f>$K$1665*$I$1654*$G$1622*$E$1659*$C$1505*$A$1460*$M$1660*$O$1665*Q1663</f>
        <v>0</v>
      </c>
      <c r="W1662" s="42">
        <f>$K$1666+$I$1655+$G$1623+$E$1660+$C$1506+$A$1461+$M$1661+$O$1666+Q1664</f>
        <v>339826.67915060563</v>
      </c>
      <c r="X1662">
        <f>u_ChronicResp</f>
        <v>0.53465956747782661</v>
      </c>
      <c r="Z1662" s="42">
        <f t="shared" si="132"/>
        <v>0</v>
      </c>
      <c r="AA1662" s="6">
        <f t="shared" si="131"/>
        <v>0</v>
      </c>
    </row>
    <row r="1663" spans="5:27" x14ac:dyDescent="0.3">
      <c r="Q1663" s="47">
        <f>RDS2CLD_4-(RDS2CLD_4*noHypo2CI_4)</f>
        <v>0.34905610687022898</v>
      </c>
      <c r="R1663" s="47"/>
      <c r="T1663" s="80"/>
      <c r="V1663">
        <v>0</v>
      </c>
      <c r="Z1663" s="42">
        <f t="shared" si="132"/>
        <v>0</v>
      </c>
      <c r="AA1663" s="6">
        <f t="shared" si="131"/>
        <v>0</v>
      </c>
    </row>
    <row r="1664" spans="5:27" x14ac:dyDescent="0.3">
      <c r="K1664" s="19" t="s">
        <v>37</v>
      </c>
      <c r="M1664" s="42"/>
      <c r="O1664" s="19" t="s">
        <v>371</v>
      </c>
      <c r="Q1664" s="48">
        <f>c_lung+c_hosp_fu+c_CSG</f>
        <v>54529.510902399998</v>
      </c>
      <c r="R1664" s="48"/>
      <c r="T1664" s="80"/>
      <c r="Z1664" s="42">
        <f t="shared" si="132"/>
        <v>0</v>
      </c>
      <c r="AA1664" s="6">
        <f t="shared" si="131"/>
        <v>0</v>
      </c>
    </row>
    <row r="1665" spans="11:27" x14ac:dyDescent="0.3">
      <c r="K1665" s="47">
        <f>AGA_term_2s_4</f>
        <v>0.99376666666666669</v>
      </c>
      <c r="O1665" s="47">
        <f>AGA_term_2normoglycaemia_4</f>
        <v>1</v>
      </c>
      <c r="Q1665" s="19" t="s">
        <v>226</v>
      </c>
      <c r="R1665" s="19"/>
      <c r="T1665" s="80"/>
      <c r="U1665">
        <f>$K$1665*$I$1654*$G$1622*$E$1659*$C$1505*$A$1460*$M$1660*$O$1665*Q1666</f>
        <v>0</v>
      </c>
      <c r="W1665" s="42">
        <f>$K$1666+$I$1655+$G$1623+$E$1660+$C$1506+$A$1461+$M$1661+$O$1666+Q1667</f>
        <v>301063.16824820562</v>
      </c>
      <c r="X1665">
        <f>u_CongnitiveImpairement</f>
        <v>17.270393127285455</v>
      </c>
      <c r="Z1665" s="42">
        <f t="shared" si="132"/>
        <v>0</v>
      </c>
      <c r="AA1665" s="6">
        <f t="shared" si="131"/>
        <v>0</v>
      </c>
    </row>
    <row r="1666" spans="11:27" x14ac:dyDescent="0.3">
      <c r="K1666" s="48"/>
      <c r="O1666" s="48"/>
      <c r="Q1666" s="47">
        <f>noHypo2CI_4-(RDS2CLD_4*noHypo2CI_4)</f>
        <v>2.1141683406990762E-2</v>
      </c>
      <c r="R1666" s="47"/>
      <c r="T1666" s="80"/>
      <c r="V1666">
        <v>0</v>
      </c>
      <c r="Z1666" s="42">
        <f t="shared" si="132"/>
        <v>0</v>
      </c>
      <c r="AA1666" s="6">
        <f t="shared" si="131"/>
        <v>0</v>
      </c>
    </row>
    <row r="1667" spans="11:27" x14ac:dyDescent="0.3">
      <c r="Q1667" s="48">
        <f>c_cog+c_hosp_fu+c_CSG</f>
        <v>15766</v>
      </c>
      <c r="R1667" s="48"/>
      <c r="T1667" s="80"/>
      <c r="Z1667" s="42">
        <f t="shared" si="132"/>
        <v>0</v>
      </c>
      <c r="AA1667" s="6">
        <f t="shared" si="131"/>
        <v>0</v>
      </c>
    </row>
    <row r="1668" spans="11:27" x14ac:dyDescent="0.3">
      <c r="Q1668" s="19" t="s">
        <v>369</v>
      </c>
      <c r="R1668" s="19"/>
      <c r="T1668" s="80"/>
      <c r="U1668">
        <f>$K$1665*$I$1654*$G$1622*$E$1659*$C$1505*$A$1460*$M$1660*$O$1665*Q1669</f>
        <v>0</v>
      </c>
      <c r="W1668" s="42">
        <f>$K$1666+$I$1655+$G$1623+$E$1660+$C$1506+$A$1461+$M$1661+$O$1666+Q1670</f>
        <v>343645.67915060563</v>
      </c>
      <c r="X1668">
        <f>u_ChronicResp+u_CongnitiveImpairement</f>
        <v>17.805052694763283</v>
      </c>
      <c r="Z1668" s="42">
        <f t="shared" si="132"/>
        <v>0</v>
      </c>
      <c r="AA1668" s="6">
        <f t="shared" si="131"/>
        <v>0</v>
      </c>
    </row>
    <row r="1669" spans="11:27" x14ac:dyDescent="0.3">
      <c r="Q1669" s="47">
        <f>RDS2CLD_4*noHypo2CI_4</f>
        <v>1.1943893129770991E-2</v>
      </c>
      <c r="R1669" s="47"/>
      <c r="T1669" s="80"/>
      <c r="V1669">
        <v>0</v>
      </c>
      <c r="Z1669" s="42">
        <f t="shared" si="132"/>
        <v>0</v>
      </c>
      <c r="AA1669" s="6">
        <f t="shared" si="131"/>
        <v>0</v>
      </c>
    </row>
    <row r="1670" spans="11:27" x14ac:dyDescent="0.3">
      <c r="Q1670" s="48">
        <f>c_cog+c_lung+c_hosp_fu+c_CSG</f>
        <v>58348.510902399998</v>
      </c>
      <c r="R1670" s="48"/>
      <c r="T1670" s="80"/>
      <c r="Z1670" s="42">
        <f t="shared" si="132"/>
        <v>0</v>
      </c>
      <c r="AA1670" s="6">
        <f t="shared" si="131"/>
        <v>0</v>
      </c>
    </row>
    <row r="1671" spans="11:27" x14ac:dyDescent="0.3">
      <c r="Q1671" s="19" t="s">
        <v>370</v>
      </c>
      <c r="R1671" s="19"/>
      <c r="T1671" s="80"/>
      <c r="U1671">
        <f>$K$1665*$I$1654*$G$1622*$E$1659*$C$1505*$A$1460*$M$1660*$O$1665*Q1672</f>
        <v>0</v>
      </c>
      <c r="W1671" s="42">
        <f>$K$1666+$I$1655+$G$1623+$E$1660+$C$1506+$A$1461+$M$1661+$O$1666+Q1673</f>
        <v>299700.16824820562</v>
      </c>
      <c r="X1671">
        <f>u_Healthy</f>
        <v>0</v>
      </c>
      <c r="Z1671" s="42">
        <f t="shared" si="132"/>
        <v>0</v>
      </c>
      <c r="AA1671" s="6">
        <f t="shared" si="131"/>
        <v>0</v>
      </c>
    </row>
    <row r="1672" spans="11:27" x14ac:dyDescent="0.3">
      <c r="Q1672" s="47">
        <f>1-Q1669-Q1666-Q1663</f>
        <v>0.61785831659300938</v>
      </c>
      <c r="R1672" s="47"/>
      <c r="T1672" s="80"/>
      <c r="V1672">
        <v>0</v>
      </c>
      <c r="Z1672" s="42">
        <f t="shared" si="132"/>
        <v>0</v>
      </c>
      <c r="AA1672" s="6">
        <f t="shared" si="131"/>
        <v>0</v>
      </c>
    </row>
    <row r="1673" spans="11:27" x14ac:dyDescent="0.3">
      <c r="Q1673" s="48">
        <f>c_clinic_fu+c_CSG</f>
        <v>14403</v>
      </c>
      <c r="R1673" s="48"/>
      <c r="T1673" s="80"/>
      <c r="Z1673" s="42">
        <f t="shared" si="132"/>
        <v>0</v>
      </c>
      <c r="AA1673" s="6">
        <f t="shared" si="131"/>
        <v>0</v>
      </c>
    </row>
    <row r="1674" spans="11:27" x14ac:dyDescent="0.3">
      <c r="Q1674" s="42"/>
      <c r="R1674" s="42"/>
      <c r="T1674" s="80"/>
      <c r="Z1674" s="42">
        <f t="shared" si="132"/>
        <v>0</v>
      </c>
      <c r="AA1674" s="6">
        <f t="shared" si="131"/>
        <v>0</v>
      </c>
    </row>
    <row r="1675" spans="11:27" x14ac:dyDescent="0.3">
      <c r="Q1675" s="19" t="s">
        <v>368</v>
      </c>
      <c r="R1675" s="19"/>
      <c r="T1675" s="80"/>
      <c r="U1675">
        <f>$K$1665*$I$1654*$G$1622*$E$1659*$C$1505*$A$1460*$M$1680*$O$1678*Q1676</f>
        <v>0</v>
      </c>
      <c r="W1675" s="42">
        <f>$K$1666+$I$1655+$G$1623+$E$1660+$C$1506+$A$1461+$M$1681+$O$1679+Q1677</f>
        <v>312167.32940239995</v>
      </c>
      <c r="X1675">
        <f>u_ChronicResp</f>
        <v>0.53465956747782661</v>
      </c>
      <c r="Z1675" s="42">
        <f t="shared" si="132"/>
        <v>0</v>
      </c>
      <c r="AA1675" s="6">
        <f t="shared" si="131"/>
        <v>0</v>
      </c>
    </row>
    <row r="1676" spans="11:27" x14ac:dyDescent="0.3">
      <c r="Q1676" s="47">
        <f>RDS2CLD_4-(Hypo2CI_4*RDS2CLD_4)</f>
        <v>0.34246866666666664</v>
      </c>
      <c r="R1676" s="47"/>
      <c r="T1676" s="80"/>
      <c r="V1676">
        <v>0</v>
      </c>
      <c r="Z1676" s="42">
        <f t="shared" si="132"/>
        <v>0</v>
      </c>
      <c r="AA1676" s="6">
        <f t="shared" si="131"/>
        <v>0</v>
      </c>
    </row>
    <row r="1677" spans="11:27" x14ac:dyDescent="0.3">
      <c r="O1677" s="19" t="s">
        <v>161</v>
      </c>
      <c r="Q1677" s="48">
        <f>c_lung+c_hosp_fu+c_CSG</f>
        <v>54529.510902399998</v>
      </c>
      <c r="R1677" s="48"/>
      <c r="T1677" s="80"/>
      <c r="Z1677" s="42">
        <f t="shared" si="132"/>
        <v>0</v>
      </c>
      <c r="AA1677" s="6">
        <f t="shared" ref="AA1677:AA1740" si="133">U1677*X1677</f>
        <v>0</v>
      </c>
    </row>
    <row r="1678" spans="11:27" x14ac:dyDescent="0.3">
      <c r="O1678" s="47">
        <f>AGA_term_2hypoglycaemia_4</f>
        <v>0</v>
      </c>
      <c r="Q1678" s="19" t="s">
        <v>226</v>
      </c>
      <c r="R1678" s="19"/>
      <c r="T1678" s="80"/>
      <c r="U1678">
        <f>$K$1665*$I$1654*$G$1622*$E$1659*$C$1505*$A$1460*$M$1680*$O$1678*Q1679</f>
        <v>0</v>
      </c>
      <c r="W1678" s="42">
        <f>$K$1666+$I$1655+$G$1623+$E$1660+$C$1506+$A$1461+$M$1681+$O$1679+Q1680</f>
        <v>273403.81849999994</v>
      </c>
      <c r="X1678">
        <f>u_CongnitiveImpairement</f>
        <v>17.270393127285455</v>
      </c>
      <c r="Z1678" s="42">
        <f t="shared" si="132"/>
        <v>0</v>
      </c>
      <c r="AA1678" s="6">
        <f t="shared" si="133"/>
        <v>0</v>
      </c>
    </row>
    <row r="1679" spans="11:27" x14ac:dyDescent="0.3">
      <c r="M1679" s="19" t="s">
        <v>203</v>
      </c>
      <c r="O1679" s="48">
        <f>c_hypo</f>
        <v>2936.2604000000001</v>
      </c>
      <c r="Q1679" s="47">
        <f>Hypo2CI_4-(Hypo2CI_4*RDS2CLD_4)</f>
        <v>3.2801999999999998E-2</v>
      </c>
      <c r="R1679" s="47"/>
      <c r="T1679" s="80"/>
      <c r="V1679">
        <v>0</v>
      </c>
      <c r="Z1679" s="42">
        <f t="shared" ref="Z1679:Z1742" si="134">U1679*W1679</f>
        <v>0</v>
      </c>
      <c r="AA1679" s="6">
        <f t="shared" si="133"/>
        <v>0</v>
      </c>
    </row>
    <row r="1680" spans="11:27" x14ac:dyDescent="0.3">
      <c r="M1680" s="47">
        <f>S_term_2noRDS_4</f>
        <v>1</v>
      </c>
      <c r="Q1680" s="48">
        <f>c_cog+c_hosp_fu+c_CSG</f>
        <v>15766</v>
      </c>
      <c r="R1680" s="48"/>
      <c r="T1680" s="80"/>
      <c r="Z1680" s="42">
        <f t="shared" si="134"/>
        <v>0</v>
      </c>
      <c r="AA1680" s="6">
        <f t="shared" si="133"/>
        <v>0</v>
      </c>
    </row>
    <row r="1681" spans="13:27" x14ac:dyDescent="0.3">
      <c r="M1681" s="48"/>
      <c r="O1681" s="42"/>
      <c r="Q1681" s="19" t="s">
        <v>369</v>
      </c>
      <c r="R1681" s="19"/>
      <c r="T1681" s="80"/>
      <c r="U1681">
        <f>$K$1665*$I$1654*$G$1622*$E$1659*$C$1505*$A$1460*$M$1680*$O$1678*Q1682</f>
        <v>0</v>
      </c>
      <c r="W1681" s="42">
        <f>$K$1666+$I$1655+$G$1623+$E$1660+$C$1506+$A$1461+$M$1681+$O$1679+Q1683</f>
        <v>315986.32940239995</v>
      </c>
      <c r="X1681">
        <f>u_ChronicResp+u_CongnitiveImpairement</f>
        <v>17.805052694763283</v>
      </c>
      <c r="Z1681" s="42">
        <f t="shared" si="134"/>
        <v>0</v>
      </c>
      <c r="AA1681" s="6">
        <f t="shared" si="133"/>
        <v>0</v>
      </c>
    </row>
    <row r="1682" spans="13:27" x14ac:dyDescent="0.3">
      <c r="M1682" s="42"/>
      <c r="Q1682" s="47">
        <f>Hypo2CI_4*RDS2CLD_4</f>
        <v>1.8531333333333334E-2</v>
      </c>
      <c r="R1682" s="47"/>
      <c r="T1682" s="80"/>
      <c r="V1682">
        <v>0</v>
      </c>
      <c r="Z1682" s="42">
        <f t="shared" si="134"/>
        <v>0</v>
      </c>
      <c r="AA1682" s="6">
        <f t="shared" si="133"/>
        <v>0</v>
      </c>
    </row>
    <row r="1683" spans="13:27" x14ac:dyDescent="0.3">
      <c r="M1683" s="42"/>
      <c r="Q1683" s="48">
        <f>c_lung+c_cog+c_hosp_fu+c_CSG</f>
        <v>58348.510902399998</v>
      </c>
      <c r="R1683" s="48"/>
      <c r="T1683" s="80"/>
      <c r="Z1683" s="42">
        <f t="shared" si="134"/>
        <v>0</v>
      </c>
      <c r="AA1683" s="6">
        <f t="shared" si="133"/>
        <v>0</v>
      </c>
    </row>
    <row r="1684" spans="13:27" x14ac:dyDescent="0.3">
      <c r="M1684" s="42"/>
      <c r="Q1684" s="19" t="s">
        <v>370</v>
      </c>
      <c r="R1684" s="19"/>
      <c r="T1684" s="80"/>
      <c r="U1684">
        <f>$K$1665*$I$1654*$G$1622*$E$1659*$C$1505*$A$1460*$M$1680*$O$1678*Q1685</f>
        <v>0</v>
      </c>
      <c r="W1684" s="42">
        <f>$K$1666+$I$1655+$G$1623+$E$1660+$C$1506+$A$1461+$M$1681+$O$1679+Q1686</f>
        <v>272040.81849999994</v>
      </c>
      <c r="X1684">
        <f>u_Healthy</f>
        <v>0</v>
      </c>
      <c r="Z1684" s="42">
        <f t="shared" si="134"/>
        <v>0</v>
      </c>
      <c r="AA1684" s="6">
        <f t="shared" si="133"/>
        <v>0</v>
      </c>
    </row>
    <row r="1685" spans="13:27" x14ac:dyDescent="0.3">
      <c r="M1685" s="42"/>
      <c r="O1685" s="42"/>
      <c r="Q1685" s="47">
        <f>1-Q1676-Q1679-Q1682</f>
        <v>0.60619800000000001</v>
      </c>
      <c r="R1685" s="47"/>
      <c r="T1685" s="80"/>
      <c r="V1685">
        <v>0</v>
      </c>
      <c r="Z1685" s="42">
        <f t="shared" si="134"/>
        <v>0</v>
      </c>
      <c r="AA1685" s="6">
        <f t="shared" si="133"/>
        <v>0</v>
      </c>
    </row>
    <row r="1686" spans="13:27" x14ac:dyDescent="0.3">
      <c r="M1686" s="42"/>
      <c r="Q1686" s="48">
        <f>c_clinic_fu+c_CSG</f>
        <v>14403</v>
      </c>
      <c r="R1686" s="48"/>
      <c r="S1686" s="96"/>
      <c r="T1686" s="80"/>
      <c r="Z1686" s="42">
        <f t="shared" si="134"/>
        <v>0</v>
      </c>
      <c r="AA1686" s="6">
        <f t="shared" si="133"/>
        <v>0</v>
      </c>
    </row>
    <row r="1687" spans="13:27" x14ac:dyDescent="0.3">
      <c r="M1687" s="42"/>
      <c r="Q1687" s="42"/>
      <c r="R1687" s="42"/>
      <c r="T1687" s="80"/>
      <c r="Z1687" s="42">
        <f t="shared" si="134"/>
        <v>0</v>
      </c>
      <c r="AA1687" s="6">
        <f t="shared" si="133"/>
        <v>0</v>
      </c>
    </row>
    <row r="1688" spans="13:27" x14ac:dyDescent="0.3">
      <c r="M1688" s="42"/>
      <c r="Q1688" s="19" t="s">
        <v>368</v>
      </c>
      <c r="R1688" s="19"/>
      <c r="T1688" s="80"/>
      <c r="U1688">
        <f>$K$1665*$I$1654*$G$1622*$E$1659*$C$1505*$A$1460*$M$1680*$O$1692*Q1689</f>
        <v>0</v>
      </c>
      <c r="W1688" s="42">
        <f>$K$1666+$I$1655+$G$1623+$E$1660+$C$1506+$A$1461+$M$1681+$O$1693+Q1690</f>
        <v>309231.06900239998</v>
      </c>
      <c r="X1688">
        <f>u_ChronicResp</f>
        <v>0.53465956747782661</v>
      </c>
      <c r="Z1688" s="42">
        <f t="shared" si="134"/>
        <v>0</v>
      </c>
      <c r="AA1688" s="6">
        <f t="shared" si="133"/>
        <v>0</v>
      </c>
    </row>
    <row r="1689" spans="13:27" x14ac:dyDescent="0.3">
      <c r="M1689" s="42"/>
      <c r="Q1689" s="47">
        <f>RDS2CLD_4-(RDS2CLD_4*noHypo2CI_4)</f>
        <v>0.34905610687022898</v>
      </c>
      <c r="R1689" s="47"/>
      <c r="T1689" s="80"/>
      <c r="V1689">
        <v>0</v>
      </c>
      <c r="Z1689" s="42">
        <f t="shared" si="134"/>
        <v>0</v>
      </c>
      <c r="AA1689" s="6">
        <f t="shared" si="133"/>
        <v>0</v>
      </c>
    </row>
    <row r="1690" spans="13:27" x14ac:dyDescent="0.3">
      <c r="M1690" s="42"/>
      <c r="Q1690" s="48">
        <f>c_lung+c_hosp_fu+c_CSG</f>
        <v>54529.510902399998</v>
      </c>
      <c r="R1690" s="48"/>
      <c r="T1690" s="80"/>
      <c r="Z1690" s="42">
        <f t="shared" si="134"/>
        <v>0</v>
      </c>
      <c r="AA1690" s="6">
        <f t="shared" si="133"/>
        <v>0</v>
      </c>
    </row>
    <row r="1691" spans="13:27" x14ac:dyDescent="0.3">
      <c r="M1691" s="42"/>
      <c r="O1691" s="19" t="s">
        <v>371</v>
      </c>
      <c r="Q1691" s="19" t="s">
        <v>226</v>
      </c>
      <c r="R1691" s="19"/>
      <c r="T1691" s="80"/>
      <c r="U1691">
        <f>$K$1665*$I$1654*$G$1622*$E$1659*$C$1505*$A$1460*$M$1680*$O$1692*Q1692</f>
        <v>0</v>
      </c>
      <c r="W1691" s="42">
        <f>$K$1666+$I$1655+$G$1623+$E$1660+$C$1506+$A$1461+$M$1681+$O$1693+Q1693</f>
        <v>270467.55809999997</v>
      </c>
      <c r="X1691">
        <f>u_CongnitiveImpairement</f>
        <v>17.270393127285455</v>
      </c>
      <c r="Z1691" s="42">
        <f t="shared" si="134"/>
        <v>0</v>
      </c>
      <c r="AA1691" s="6">
        <f t="shared" si="133"/>
        <v>0</v>
      </c>
    </row>
    <row r="1692" spans="13:27" x14ac:dyDescent="0.3">
      <c r="M1692" s="42"/>
      <c r="O1692" s="47">
        <f>AGA_term_2normoglycaemia_4</f>
        <v>1</v>
      </c>
      <c r="Q1692" s="47">
        <f>noHypo2CI_4-(RDS2CLD_4*noHypo2CI_4)</f>
        <v>2.1141683406990762E-2</v>
      </c>
      <c r="R1692" s="47"/>
      <c r="T1692" s="80"/>
      <c r="V1692">
        <v>0</v>
      </c>
      <c r="Z1692" s="42">
        <f t="shared" si="134"/>
        <v>0</v>
      </c>
      <c r="AA1692" s="6">
        <f t="shared" si="133"/>
        <v>0</v>
      </c>
    </row>
    <row r="1693" spans="13:27" x14ac:dyDescent="0.3">
      <c r="M1693" s="42"/>
      <c r="O1693" s="48"/>
      <c r="Q1693" s="48">
        <f>c_cog+c_hosp_fu+c_CSG</f>
        <v>15766</v>
      </c>
      <c r="R1693" s="48"/>
      <c r="T1693" s="80"/>
      <c r="Z1693" s="42">
        <f t="shared" si="134"/>
        <v>0</v>
      </c>
      <c r="AA1693" s="6">
        <f t="shared" si="133"/>
        <v>0</v>
      </c>
    </row>
    <row r="1694" spans="13:27" x14ac:dyDescent="0.3">
      <c r="M1694" s="42"/>
      <c r="Q1694" s="19" t="s">
        <v>369</v>
      </c>
      <c r="R1694" s="19"/>
      <c r="T1694" s="80"/>
      <c r="U1694">
        <f>$K$1665*$I$1654*$G$1622*$E$1659*$C$1505*$A$1460*$M$1680*$O$1692*Q1695</f>
        <v>0</v>
      </c>
      <c r="W1694" s="42">
        <f>$K$1666+$I$1655+$G$1623+$E$1660+$C$1506+$A$1461+$M$1681+$O$1693+Q1696</f>
        <v>313050.06900239998</v>
      </c>
      <c r="X1694">
        <f>u_ChronicResp+u_CongnitiveImpairement</f>
        <v>17.805052694763283</v>
      </c>
      <c r="Z1694" s="42">
        <f t="shared" si="134"/>
        <v>0</v>
      </c>
      <c r="AA1694" s="6">
        <f t="shared" si="133"/>
        <v>0</v>
      </c>
    </row>
    <row r="1695" spans="13:27" x14ac:dyDescent="0.3">
      <c r="Q1695" s="47">
        <f>RDS2CLD_4*noHypo2CI_4</f>
        <v>1.1943893129770991E-2</v>
      </c>
      <c r="R1695" s="47"/>
      <c r="T1695" s="80"/>
      <c r="V1695">
        <v>0</v>
      </c>
      <c r="Z1695" s="42">
        <f t="shared" si="134"/>
        <v>0</v>
      </c>
      <c r="AA1695" s="6">
        <f t="shared" si="133"/>
        <v>0</v>
      </c>
    </row>
    <row r="1696" spans="13:27" x14ac:dyDescent="0.3">
      <c r="Q1696" s="48">
        <f>c_cog+c_lung+c_hosp_fu+c_CSG</f>
        <v>58348.510902399998</v>
      </c>
      <c r="R1696" s="48"/>
      <c r="T1696" s="80"/>
      <c r="Z1696" s="42">
        <f t="shared" si="134"/>
        <v>0</v>
      </c>
      <c r="AA1696" s="6">
        <f t="shared" si="133"/>
        <v>0</v>
      </c>
    </row>
    <row r="1697" spans="9:27" x14ac:dyDescent="0.3">
      <c r="M1697" s="42"/>
      <c r="Q1697" s="19" t="s">
        <v>370</v>
      </c>
      <c r="R1697" s="19"/>
      <c r="T1697" s="80"/>
      <c r="U1697">
        <f>$K$1665*$I$1654*$G$1622*$E$1659*$C$1505*$A$1460*$M$1680*$O$1692*Q1698</f>
        <v>0</v>
      </c>
      <c r="W1697" s="42">
        <f>$K$1666+$I$1655+$G$1623+$E$1660+$C$1506+$A$1461+$M$1681+$O$1693+Q1699</f>
        <v>269104.55809999997</v>
      </c>
      <c r="X1697">
        <f>u_Healthy</f>
        <v>0</v>
      </c>
      <c r="Z1697" s="42">
        <f t="shared" si="134"/>
        <v>0</v>
      </c>
      <c r="AA1697" s="6">
        <f t="shared" si="133"/>
        <v>0</v>
      </c>
    </row>
    <row r="1698" spans="9:27" x14ac:dyDescent="0.3">
      <c r="M1698" s="42"/>
      <c r="Q1698" s="47">
        <f>1-Q1695-Q1692-Q1689</f>
        <v>0.61785831659300938</v>
      </c>
      <c r="R1698" s="47"/>
      <c r="T1698" s="80"/>
      <c r="V1698">
        <v>0</v>
      </c>
      <c r="Z1698" s="42">
        <f t="shared" si="134"/>
        <v>0</v>
      </c>
      <c r="AA1698" s="6">
        <f t="shared" si="133"/>
        <v>0</v>
      </c>
    </row>
    <row r="1699" spans="9:27" x14ac:dyDescent="0.3">
      <c r="M1699" s="42"/>
      <c r="Q1699" s="48">
        <f>c_clinic_fu+c_CSG</f>
        <v>14403</v>
      </c>
      <c r="R1699" s="48"/>
      <c r="T1699" s="80"/>
      <c r="Z1699" s="42">
        <f t="shared" si="134"/>
        <v>0</v>
      </c>
      <c r="AA1699" s="6">
        <f t="shared" si="133"/>
        <v>0</v>
      </c>
    </row>
    <row r="1700" spans="9:27" x14ac:dyDescent="0.3">
      <c r="M1700" s="42"/>
      <c r="Q1700" s="42"/>
      <c r="R1700" s="42"/>
      <c r="T1700" s="80"/>
      <c r="Z1700" s="42">
        <f t="shared" si="134"/>
        <v>0</v>
      </c>
      <c r="AA1700" s="6">
        <f t="shared" si="133"/>
        <v>0</v>
      </c>
    </row>
    <row r="1701" spans="9:27" x14ac:dyDescent="0.3">
      <c r="K1701" s="19" t="s">
        <v>165</v>
      </c>
      <c r="L1701" s="19"/>
      <c r="M1701" s="19"/>
      <c r="N1701" s="19"/>
      <c r="O1701" s="19"/>
      <c r="P1701" s="19"/>
      <c r="Q1701" s="19"/>
      <c r="R1701" s="19"/>
      <c r="T1701" s="80"/>
      <c r="U1701">
        <f>$K$1702*$I$1710*$G$1731*$E$1659*$C$1505*$A$1460</f>
        <v>2.2128110844283125E-4</v>
      </c>
      <c r="V1701">
        <v>2.2128110844283128E-4</v>
      </c>
      <c r="W1701" s="42">
        <f>$K$1703+$I$1711+$G$1732+$E$1660+$C$1506+$A$1461</f>
        <v>3047.2</v>
      </c>
      <c r="X1701">
        <f>u_Death</f>
        <v>19.181538114427529</v>
      </c>
      <c r="Z1701" s="42">
        <f t="shared" si="134"/>
        <v>0.67428779364699531</v>
      </c>
      <c r="AA1701" s="6">
        <f t="shared" si="133"/>
        <v>4.2445120155989386E-3</v>
      </c>
    </row>
    <row r="1702" spans="9:27" x14ac:dyDescent="0.3">
      <c r="K1702" s="47">
        <f>SGA_term_2d_4</f>
        <v>1.3200000000000002E-2</v>
      </c>
      <c r="T1702" s="80"/>
      <c r="Z1702" s="42">
        <f t="shared" si="134"/>
        <v>0</v>
      </c>
      <c r="AA1702" s="6">
        <f t="shared" si="133"/>
        <v>0</v>
      </c>
    </row>
    <row r="1703" spans="9:27" x14ac:dyDescent="0.3">
      <c r="K1703" s="48">
        <f>c_SB</f>
        <v>1792</v>
      </c>
      <c r="T1703" s="80"/>
      <c r="Z1703" s="42">
        <f t="shared" si="134"/>
        <v>0</v>
      </c>
      <c r="AA1703" s="6">
        <f t="shared" si="133"/>
        <v>0</v>
      </c>
    </row>
    <row r="1704" spans="9:27" x14ac:dyDescent="0.3">
      <c r="T1704" s="80"/>
      <c r="Z1704" s="42">
        <f t="shared" si="134"/>
        <v>0</v>
      </c>
      <c r="AA1704" s="6">
        <f t="shared" si="133"/>
        <v>0</v>
      </c>
    </row>
    <row r="1705" spans="9:27" x14ac:dyDescent="0.3">
      <c r="Q1705" s="19" t="s">
        <v>368</v>
      </c>
      <c r="R1705" s="19"/>
      <c r="T1705" s="80"/>
      <c r="U1705">
        <f>$K$1721*$I$1710*$G$1731*$E$1659*$C$1505*$A$1460*$M$1716*$O$1711*Q1706</f>
        <v>0</v>
      </c>
      <c r="W1705" s="42">
        <f>$K$1722+$I$1711+$G$1732+$E$1660+$C$1506+$A$1461+$M$1717+$O$1712+Q1707</f>
        <v>89316.581450605634</v>
      </c>
      <c r="X1705">
        <f>u_ChronicResp</f>
        <v>0.53465956747782661</v>
      </c>
      <c r="Z1705" s="42">
        <f t="shared" si="134"/>
        <v>0</v>
      </c>
      <c r="AA1705" s="6">
        <f t="shared" si="133"/>
        <v>0</v>
      </c>
    </row>
    <row r="1706" spans="9:27" x14ac:dyDescent="0.3">
      <c r="Q1706" s="47">
        <f>RDS2CLD_4-(Hypo2CI_4*RDS2CLD_4)</f>
        <v>0.34246866666666664</v>
      </c>
      <c r="R1706" s="47"/>
      <c r="T1706" s="80"/>
      <c r="V1706">
        <v>0</v>
      </c>
      <c r="Z1706" s="42">
        <f t="shared" si="134"/>
        <v>0</v>
      </c>
      <c r="AA1706" s="6">
        <f t="shared" si="133"/>
        <v>0</v>
      </c>
    </row>
    <row r="1707" spans="9:27" x14ac:dyDescent="0.3">
      <c r="Q1707" s="48">
        <f>c_lung+c_hosp_fu+c_CSG</f>
        <v>54529.510902399998</v>
      </c>
      <c r="R1707" s="48"/>
      <c r="T1707" s="80"/>
      <c r="Z1707" s="42">
        <f t="shared" si="134"/>
        <v>0</v>
      </c>
      <c r="AA1707" s="6">
        <f t="shared" si="133"/>
        <v>0</v>
      </c>
    </row>
    <row r="1708" spans="9:27" x14ac:dyDescent="0.3">
      <c r="Q1708" s="19" t="s">
        <v>226</v>
      </c>
      <c r="R1708" s="19"/>
      <c r="T1708" s="80"/>
      <c r="U1708">
        <f>$K$1721*$I$1710*$G$1731*$E$1659*$C$1505*$A$1460*$M$1716*$O$1711*Q1709</f>
        <v>0</v>
      </c>
      <c r="W1708" s="42">
        <f>$K$1722+$I$1711+$G$1732+$E$1660+$C$1506+$A$1461+$M$1717+$O$1712+Q1710</f>
        <v>50553.070548205636</v>
      </c>
      <c r="X1708">
        <f>u_CongnitiveImpairement</f>
        <v>17.270393127285455</v>
      </c>
      <c r="Z1708" s="42">
        <f t="shared" si="134"/>
        <v>0</v>
      </c>
      <c r="AA1708" s="6">
        <f t="shared" si="133"/>
        <v>0</v>
      </c>
    </row>
    <row r="1709" spans="9:27" x14ac:dyDescent="0.3">
      <c r="I1709" s="19" t="s">
        <v>164</v>
      </c>
      <c r="Q1709" s="47">
        <f>Hypo2CI_4-(Hypo2CI_4*RDS2CLD_4)</f>
        <v>3.2801999999999998E-2</v>
      </c>
      <c r="R1709" s="47"/>
      <c r="T1709" s="80"/>
      <c r="V1709">
        <v>0</v>
      </c>
      <c r="Z1709" s="42">
        <f t="shared" si="134"/>
        <v>0</v>
      </c>
      <c r="AA1709" s="6">
        <f t="shared" si="133"/>
        <v>0</v>
      </c>
    </row>
    <row r="1710" spans="9:27" x14ac:dyDescent="0.3">
      <c r="I1710" s="47">
        <f>NBW_term_2SGA_4</f>
        <v>0.18995639845107781</v>
      </c>
      <c r="O1710" s="19" t="s">
        <v>161</v>
      </c>
      <c r="Q1710" s="48">
        <f>c_cog+c_hosp_fu+c_CSG</f>
        <v>15766</v>
      </c>
      <c r="R1710" s="48"/>
      <c r="T1710" s="80"/>
      <c r="Z1710" s="42">
        <f t="shared" si="134"/>
        <v>0</v>
      </c>
      <c r="AA1710" s="6">
        <f t="shared" si="133"/>
        <v>0</v>
      </c>
    </row>
    <row r="1711" spans="9:27" x14ac:dyDescent="0.3">
      <c r="I1711" s="48"/>
      <c r="O1711" s="47">
        <f>SGA_term_2hypoglycaemia_4</f>
        <v>0.26</v>
      </c>
      <c r="Q1711" s="19" t="s">
        <v>369</v>
      </c>
      <c r="R1711" s="19"/>
      <c r="T1711" s="80"/>
      <c r="U1711">
        <f>$K$1721*$I$1710*$G$1731*$E$1659*$C$1505*$A$1460*$M$1716*$O$1711*Q1712</f>
        <v>0</v>
      </c>
      <c r="W1711" s="42">
        <f>$K$1722+$I$1711+$G$1732+$E$1660+$C$1506+$A$1461+$M$1717+$O$1712+Q1713</f>
        <v>93135.581450605634</v>
      </c>
      <c r="X1711">
        <f>u_ChronicResp+u_CongnitiveImpairement</f>
        <v>17.805052694763283</v>
      </c>
      <c r="Z1711" s="42">
        <f t="shared" si="134"/>
        <v>0</v>
      </c>
      <c r="AA1711" s="6">
        <f t="shared" si="133"/>
        <v>0</v>
      </c>
    </row>
    <row r="1712" spans="9:27" x14ac:dyDescent="0.3">
      <c r="O1712" s="48">
        <f>c_hypo</f>
        <v>2936.2604000000001</v>
      </c>
      <c r="Q1712" s="47">
        <f>Hypo2CI_4*RDS2CLD_4</f>
        <v>1.8531333333333334E-2</v>
      </c>
      <c r="R1712" s="47"/>
      <c r="T1712" s="80"/>
      <c r="V1712">
        <v>0</v>
      </c>
      <c r="Z1712" s="42">
        <f t="shared" si="134"/>
        <v>0</v>
      </c>
      <c r="AA1712" s="6">
        <f t="shared" si="133"/>
        <v>0</v>
      </c>
    </row>
    <row r="1713" spans="5:27" x14ac:dyDescent="0.3">
      <c r="M1713" s="42"/>
      <c r="Q1713" s="48">
        <f>c_lung+c_cog+c_hosp_fu+c_CSG</f>
        <v>58348.510902399998</v>
      </c>
      <c r="R1713" s="48"/>
      <c r="T1713" s="80"/>
      <c r="Z1713" s="42">
        <f t="shared" si="134"/>
        <v>0</v>
      </c>
      <c r="AA1713" s="6">
        <f t="shared" si="133"/>
        <v>0</v>
      </c>
    </row>
    <row r="1714" spans="5:27" x14ac:dyDescent="0.3">
      <c r="Q1714" s="19" t="s">
        <v>370</v>
      </c>
      <c r="R1714" s="19"/>
      <c r="T1714" s="80"/>
      <c r="U1714">
        <f>$K$1721*$I$1710*$G$1731*$E$1659*$C$1505*$A$1460*$M$1716*$O$1711*Q1715</f>
        <v>0</v>
      </c>
      <c r="W1714" s="42">
        <f>$K$1722+$I$1711+$G$1732+$E$1660+$C$1506+$A$1461+$M$1717+$O$1712+Q1716</f>
        <v>49190.070548205636</v>
      </c>
      <c r="X1714">
        <f>u_Healthy</f>
        <v>0</v>
      </c>
      <c r="Z1714" s="42">
        <f t="shared" si="134"/>
        <v>0</v>
      </c>
      <c r="AA1714" s="6">
        <f t="shared" si="133"/>
        <v>0</v>
      </c>
    </row>
    <row r="1715" spans="5:27" x14ac:dyDescent="0.3">
      <c r="E1715" s="42"/>
      <c r="M1715" s="19" t="s">
        <v>9</v>
      </c>
      <c r="Q1715" s="47">
        <f>1-Q1706-Q1709-Q1712</f>
        <v>0.60619800000000001</v>
      </c>
      <c r="R1715" s="47"/>
      <c r="T1715" s="80"/>
      <c r="V1715">
        <v>0</v>
      </c>
      <c r="Z1715" s="42">
        <f t="shared" si="134"/>
        <v>0</v>
      </c>
      <c r="AA1715" s="6">
        <f t="shared" si="133"/>
        <v>0</v>
      </c>
    </row>
    <row r="1716" spans="5:27" x14ac:dyDescent="0.3">
      <c r="K1716" s="42"/>
      <c r="M1716" s="47">
        <f>S_term_2RDS_4</f>
        <v>0</v>
      </c>
      <c r="Q1716" s="48">
        <f>c_clinic_fu+c_CSG</f>
        <v>14403</v>
      </c>
      <c r="R1716" s="48"/>
      <c r="T1716" s="80"/>
      <c r="Z1716" s="42">
        <f t="shared" si="134"/>
        <v>0</v>
      </c>
      <c r="AA1716" s="6">
        <f t="shared" si="133"/>
        <v>0</v>
      </c>
    </row>
    <row r="1717" spans="5:27" x14ac:dyDescent="0.3">
      <c r="K1717" s="42"/>
      <c r="M1717" s="48">
        <f>c_RDS</f>
        <v>30595.610148205637</v>
      </c>
      <c r="Q1717" s="42"/>
      <c r="R1717" s="42"/>
      <c r="T1717" s="80"/>
      <c r="Z1717" s="42">
        <f t="shared" si="134"/>
        <v>0</v>
      </c>
      <c r="AA1717" s="6">
        <f t="shared" si="133"/>
        <v>0</v>
      </c>
    </row>
    <row r="1718" spans="5:27" x14ac:dyDescent="0.3">
      <c r="Q1718" s="19" t="s">
        <v>368</v>
      </c>
      <c r="R1718" s="19"/>
      <c r="T1718" s="80"/>
      <c r="U1718">
        <f>$K$1721*$I$1710*$G$1731*$E$1659*$C$1505*$A$1460*$M$1716*$O$1721*Q1719</f>
        <v>0</v>
      </c>
      <c r="W1718" s="42">
        <f>$K$1722+$I$1711+$G$1732+$E$1660+$C$1506+$A$1461+$M$1717+$O$1722+Q1720</f>
        <v>86380.321050605635</v>
      </c>
      <c r="X1718">
        <f>u_ChronicResp</f>
        <v>0.53465956747782661</v>
      </c>
      <c r="Z1718" s="42">
        <f t="shared" si="134"/>
        <v>0</v>
      </c>
      <c r="AA1718" s="6">
        <f t="shared" si="133"/>
        <v>0</v>
      </c>
    </row>
    <row r="1719" spans="5:27" x14ac:dyDescent="0.3">
      <c r="Q1719" s="47">
        <f>RDS2CLD_4-(RDS2CLD_4*noHypo2CI_4)</f>
        <v>0.34905610687022898</v>
      </c>
      <c r="R1719" s="47"/>
      <c r="T1719" s="80"/>
      <c r="V1719">
        <v>0</v>
      </c>
      <c r="Z1719" s="42">
        <f t="shared" si="134"/>
        <v>0</v>
      </c>
      <c r="AA1719" s="6">
        <f t="shared" si="133"/>
        <v>0</v>
      </c>
    </row>
    <row r="1720" spans="5:27" x14ac:dyDescent="0.3">
      <c r="K1720" s="19" t="s">
        <v>37</v>
      </c>
      <c r="M1720" s="42"/>
      <c r="O1720" s="19" t="s">
        <v>371</v>
      </c>
      <c r="Q1720" s="48">
        <f>c_lung+c_hosp_fu+c_CSG</f>
        <v>54529.510902399998</v>
      </c>
      <c r="R1720" s="48"/>
      <c r="T1720" s="80"/>
      <c r="Z1720" s="42">
        <f t="shared" si="134"/>
        <v>0</v>
      </c>
      <c r="AA1720" s="6">
        <f t="shared" si="133"/>
        <v>0</v>
      </c>
    </row>
    <row r="1721" spans="5:27" x14ac:dyDescent="0.3">
      <c r="K1721" s="47">
        <f>SGA_term_2s_4</f>
        <v>0.98680000000000001</v>
      </c>
      <c r="O1721" s="47">
        <f>SGA_term_2normoglycaemia_4</f>
        <v>0.74</v>
      </c>
      <c r="Q1721" s="19" t="s">
        <v>226</v>
      </c>
      <c r="R1721" s="19"/>
      <c r="T1721" s="80"/>
      <c r="U1721">
        <f>$K$1721*$I$1710*$G$1731*$E$1659*$C$1505*$A$1460*$M$1716*$O$1721*Q1722</f>
        <v>0</v>
      </c>
      <c r="W1721" s="42">
        <f>$K$1722+$I$1711+$G$1732+$E$1660+$C$1506+$A$1461+$M$1717+$O$1722+Q1723</f>
        <v>47616.810148205637</v>
      </c>
      <c r="X1721">
        <f>u_CongnitiveImpairement</f>
        <v>17.270393127285455</v>
      </c>
      <c r="Z1721" s="42">
        <f t="shared" si="134"/>
        <v>0</v>
      </c>
      <c r="AA1721" s="6">
        <f t="shared" si="133"/>
        <v>0</v>
      </c>
    </row>
    <row r="1722" spans="5:27" x14ac:dyDescent="0.3">
      <c r="K1722" s="48"/>
      <c r="O1722" s="48"/>
      <c r="Q1722" s="47">
        <f>noHypo2CI_4-(RDS2CLD_4*noHypo2CI_4)</f>
        <v>2.1141683406990762E-2</v>
      </c>
      <c r="R1722" s="47"/>
      <c r="T1722" s="80"/>
      <c r="V1722">
        <v>0</v>
      </c>
      <c r="Z1722" s="42">
        <f t="shared" si="134"/>
        <v>0</v>
      </c>
      <c r="AA1722" s="6">
        <f t="shared" si="133"/>
        <v>0</v>
      </c>
    </row>
    <row r="1723" spans="5:27" x14ac:dyDescent="0.3">
      <c r="Q1723" s="48">
        <f>c_cog+c_hosp_fu+c_CSG</f>
        <v>15766</v>
      </c>
      <c r="R1723" s="48"/>
      <c r="T1723" s="80"/>
      <c r="Z1723" s="42">
        <f t="shared" si="134"/>
        <v>0</v>
      </c>
      <c r="AA1723" s="6">
        <f t="shared" si="133"/>
        <v>0</v>
      </c>
    </row>
    <row r="1724" spans="5:27" x14ac:dyDescent="0.3">
      <c r="Q1724" s="19" t="s">
        <v>369</v>
      </c>
      <c r="R1724" s="19"/>
      <c r="T1724" s="80"/>
      <c r="U1724">
        <f>$K$1721*$I$1710*$G$1731*$E$1659*$C$1505*$A$1460*$M$1716*$O$1721*Q1725</f>
        <v>0</v>
      </c>
      <c r="W1724" s="42">
        <f>$K$1722+$I$1711+$G$1732+$E$1660+$C$1506+$A$1461+$M$1717+$O$1722+Q1726</f>
        <v>90199.321050605635</v>
      </c>
      <c r="X1724">
        <f>u_ChronicResp+u_CongnitiveImpairement</f>
        <v>17.805052694763283</v>
      </c>
      <c r="Z1724" s="42">
        <f t="shared" si="134"/>
        <v>0</v>
      </c>
      <c r="AA1724" s="6">
        <f t="shared" si="133"/>
        <v>0</v>
      </c>
    </row>
    <row r="1725" spans="5:27" x14ac:dyDescent="0.3">
      <c r="Q1725" s="47">
        <f>RDS2CLD_4*noHypo2CI_4</f>
        <v>1.1943893129770991E-2</v>
      </c>
      <c r="R1725" s="47"/>
      <c r="T1725" s="80"/>
      <c r="V1725">
        <v>0</v>
      </c>
      <c r="Z1725" s="42">
        <f t="shared" si="134"/>
        <v>0</v>
      </c>
      <c r="AA1725" s="6">
        <f t="shared" si="133"/>
        <v>0</v>
      </c>
    </row>
    <row r="1726" spans="5:27" x14ac:dyDescent="0.3">
      <c r="Q1726" s="48">
        <f>c_cog+c_lung+c_hosp_fu+c_CSG</f>
        <v>58348.510902399998</v>
      </c>
      <c r="R1726" s="48"/>
      <c r="T1726" s="80"/>
      <c r="Z1726" s="42">
        <f t="shared" si="134"/>
        <v>0</v>
      </c>
      <c r="AA1726" s="6">
        <f t="shared" si="133"/>
        <v>0</v>
      </c>
    </row>
    <row r="1727" spans="5:27" x14ac:dyDescent="0.3">
      <c r="Q1727" s="19" t="s">
        <v>370</v>
      </c>
      <c r="R1727" s="19"/>
      <c r="T1727" s="80"/>
      <c r="U1727">
        <f>$K$1721*$I$1710*$G$1731*$E$1659*$C$1505*$A$1460*$M$1716*$O$1721*Q1728</f>
        <v>0</v>
      </c>
      <c r="W1727" s="42">
        <f>$K$1722+$I$1711+$G$1732+$E$1660+$C$1506+$A$1461+$M$1717+$O$1722+Q1729</f>
        <v>46253.810148205637</v>
      </c>
      <c r="X1727">
        <f>u_Healthy</f>
        <v>0</v>
      </c>
      <c r="Z1727" s="42">
        <f t="shared" si="134"/>
        <v>0</v>
      </c>
      <c r="AA1727" s="6">
        <f t="shared" si="133"/>
        <v>0</v>
      </c>
    </row>
    <row r="1728" spans="5:27" x14ac:dyDescent="0.3">
      <c r="Q1728" s="47">
        <f>1-Q1725-Q1722-Q1719</f>
        <v>0.61785831659300938</v>
      </c>
      <c r="R1728" s="47"/>
      <c r="T1728" s="80"/>
      <c r="V1728">
        <v>0</v>
      </c>
      <c r="Z1728" s="42">
        <f t="shared" si="134"/>
        <v>0</v>
      </c>
      <c r="AA1728" s="6">
        <f t="shared" si="133"/>
        <v>0</v>
      </c>
    </row>
    <row r="1729" spans="1:27" x14ac:dyDescent="0.3">
      <c r="Q1729" s="48">
        <f>c_clinic_fu+c_CSG</f>
        <v>14403</v>
      </c>
      <c r="R1729" s="48"/>
      <c r="T1729" s="80"/>
      <c r="Z1729" s="42">
        <f t="shared" si="134"/>
        <v>0</v>
      </c>
      <c r="AA1729" s="6">
        <f t="shared" si="133"/>
        <v>0</v>
      </c>
    </row>
    <row r="1730" spans="1:27" x14ac:dyDescent="0.3">
      <c r="G1730" s="19" t="s">
        <v>372</v>
      </c>
      <c r="Q1730" s="42"/>
      <c r="R1730" s="42"/>
      <c r="T1730" s="80"/>
      <c r="Z1730" s="42">
        <f t="shared" si="134"/>
        <v>0</v>
      </c>
      <c r="AA1730" s="6">
        <f t="shared" si="133"/>
        <v>0</v>
      </c>
    </row>
    <row r="1731" spans="1:27" x14ac:dyDescent="0.3">
      <c r="G1731" s="47">
        <f>Term2NBW_4</f>
        <v>0.65230769230769226</v>
      </c>
      <c r="Q1731" s="19" t="s">
        <v>368</v>
      </c>
      <c r="R1731" s="19"/>
      <c r="T1731" s="80"/>
      <c r="U1731">
        <f>$K$1721*$I$1710*$G$1731*$E$1659*$C$1505*$A$1460*$M$1736*$O$1734*Q1732</f>
        <v>1.4729694475272026E-3</v>
      </c>
      <c r="V1731">
        <v>1.4729694475272028E-3</v>
      </c>
      <c r="W1731" s="42">
        <f>$K$1722+$I$1711+$G$1732+$E$1660+$C$1506+$A$1461+$M$1737+$O$1735+Q1733</f>
        <v>58720.971302399994</v>
      </c>
      <c r="X1731">
        <f>u_ChronicResp</f>
        <v>0.53465956747782661</v>
      </c>
      <c r="Z1731" s="42">
        <f t="shared" si="134"/>
        <v>86.494196657556842</v>
      </c>
      <c r="AA1731" s="6">
        <f t="shared" si="133"/>
        <v>7.8753720772294729E-4</v>
      </c>
    </row>
    <row r="1732" spans="1:27" x14ac:dyDescent="0.3">
      <c r="G1732" s="48">
        <f>c_NICU_NBW</f>
        <v>1255.2</v>
      </c>
      <c r="Q1732" s="47">
        <f>RDS2CLD_4-(Hypo2CI_4*RDS2CLD_4)</f>
        <v>0.34246866666666664</v>
      </c>
      <c r="R1732" s="47"/>
      <c r="T1732" s="80"/>
      <c r="Z1732" s="42">
        <f t="shared" si="134"/>
        <v>0</v>
      </c>
      <c r="AA1732" s="6">
        <f t="shared" si="133"/>
        <v>0</v>
      </c>
    </row>
    <row r="1733" spans="1:27" x14ac:dyDescent="0.3">
      <c r="O1733" s="19" t="s">
        <v>161</v>
      </c>
      <c r="Q1733" s="48">
        <f>c_lung+c_hosp_fu+c_CSG</f>
        <v>54529.510902399998</v>
      </c>
      <c r="R1733" s="48"/>
      <c r="T1733" s="80"/>
      <c r="Z1733" s="42">
        <f t="shared" si="134"/>
        <v>0</v>
      </c>
      <c r="AA1733" s="6">
        <f t="shared" si="133"/>
        <v>0</v>
      </c>
    </row>
    <row r="1734" spans="1:27" x14ac:dyDescent="0.3">
      <c r="O1734" s="47">
        <f>SGA_term_2hypoglycaemia_4</f>
        <v>0.26</v>
      </c>
      <c r="Q1734" s="19" t="s">
        <v>226</v>
      </c>
      <c r="R1734" s="19"/>
      <c r="T1734" s="80"/>
      <c r="U1734">
        <f>$K$1721*$I$1710*$G$1731*$E$1659*$C$1505*$A$1460*$M$1736*$O$1734*Q1735</f>
        <v>1.410825238059364E-4</v>
      </c>
      <c r="V1734">
        <v>1.4108252380593643E-4</v>
      </c>
      <c r="W1734" s="42">
        <f>$K$1722+$I$1711+$G$1732+$E$1660+$C$1506+$A$1461+$M$1737+$O$1735+Q1736</f>
        <v>19957.4604</v>
      </c>
      <c r="X1734">
        <f>u_CongnitiveImpairement</f>
        <v>17.270393127285455</v>
      </c>
      <c r="Z1734" s="42">
        <f t="shared" si="134"/>
        <v>2.8156488819890328</v>
      </c>
      <c r="AA1734" s="6">
        <f t="shared" si="133"/>
        <v>2.4365506495181307E-3</v>
      </c>
    </row>
    <row r="1735" spans="1:27" x14ac:dyDescent="0.3">
      <c r="M1735" s="19" t="s">
        <v>203</v>
      </c>
      <c r="O1735" s="48">
        <f>c_hypo</f>
        <v>2936.2604000000001</v>
      </c>
      <c r="Q1735" s="47">
        <f>Hypo2CI_4-(Hypo2CI_4*RDS2CLD_4)</f>
        <v>3.2801999999999998E-2</v>
      </c>
      <c r="R1735" s="47"/>
      <c r="T1735" s="80"/>
      <c r="Z1735" s="42">
        <f t="shared" si="134"/>
        <v>0</v>
      </c>
      <c r="AA1735" s="6">
        <f t="shared" si="133"/>
        <v>0</v>
      </c>
    </row>
    <row r="1736" spans="1:27" x14ac:dyDescent="0.3">
      <c r="M1736" s="47">
        <f>S_term_2noRDS_4</f>
        <v>1</v>
      </c>
      <c r="Q1736" s="48">
        <f>c_cog+c_hosp_fu+c_CSG</f>
        <v>15766</v>
      </c>
      <c r="R1736" s="48"/>
      <c r="T1736" s="80"/>
      <c r="Z1736" s="42">
        <f t="shared" si="134"/>
        <v>0</v>
      </c>
      <c r="AA1736" s="6">
        <f t="shared" si="133"/>
        <v>0</v>
      </c>
    </row>
    <row r="1737" spans="1:27" x14ac:dyDescent="0.3">
      <c r="G1737" s="42"/>
      <c r="M1737" s="48"/>
      <c r="O1737" s="42"/>
      <c r="Q1737" s="19" t="s">
        <v>369</v>
      </c>
      <c r="R1737" s="19"/>
      <c r="T1737" s="80"/>
      <c r="U1737">
        <f>$K$1721*$I$1710*$G$1731*$E$1659*$C$1505*$A$1460*$M$1736*$O$1734*Q1738</f>
        <v>7.9703898425575965E-5</v>
      </c>
      <c r="V1737">
        <v>7.9703898425575979E-5</v>
      </c>
      <c r="W1737" s="42">
        <f>$K$1722+$I$1711+$G$1732+$E$1660+$C$1506+$A$1461+$M$1737+$O$1735+Q1739</f>
        <v>62539.971302399994</v>
      </c>
      <c r="X1737">
        <f>u_ChronicResp+u_CongnitiveImpairement</f>
        <v>17.805052694763283</v>
      </c>
      <c r="Z1737" s="42">
        <f t="shared" si="134"/>
        <v>4.9846795202249252</v>
      </c>
      <c r="AA1737" s="6">
        <f t="shared" si="133"/>
        <v>1.4191321114454404E-3</v>
      </c>
    </row>
    <row r="1738" spans="1:27" x14ac:dyDescent="0.3">
      <c r="M1738" s="42"/>
      <c r="Q1738" s="47">
        <f>Hypo2CI_4*RDS2CLD_4</f>
        <v>1.8531333333333334E-2</v>
      </c>
      <c r="R1738" s="47"/>
      <c r="T1738" s="80"/>
      <c r="Z1738" s="42">
        <f t="shared" si="134"/>
        <v>0</v>
      </c>
      <c r="AA1738" s="6">
        <f t="shared" si="133"/>
        <v>0</v>
      </c>
    </row>
    <row r="1739" spans="1:27" x14ac:dyDescent="0.3">
      <c r="A1739" s="42"/>
      <c r="M1739" s="42"/>
      <c r="Q1739" s="48">
        <f>c_lung+c_cog+c_hosp_fu+c_CSG</f>
        <v>58348.510902399998</v>
      </c>
      <c r="R1739" s="48"/>
      <c r="T1739" s="80"/>
      <c r="Z1739" s="42">
        <f t="shared" si="134"/>
        <v>0</v>
      </c>
      <c r="AA1739" s="6">
        <f t="shared" si="133"/>
        <v>0</v>
      </c>
    </row>
    <row r="1740" spans="1:27" x14ac:dyDescent="0.3">
      <c r="M1740" s="42"/>
      <c r="Q1740" s="19" t="s">
        <v>370</v>
      </c>
      <c r="R1740" s="19"/>
      <c r="T1740" s="80"/>
      <c r="U1740">
        <f>$K$1721*$I$1710*$G$1731*$E$1659*$C$1505*$A$1460*$M$1736*$O$1734*Q1741</f>
        <v>2.6072783295564609E-3</v>
      </c>
      <c r="V1740">
        <v>2.6072783295564617E-3</v>
      </c>
      <c r="W1740" s="42">
        <f>$K$1722+$I$1711+$G$1732+$E$1660+$C$1506+$A$1461+$M$1737+$O$1735+Q1742</f>
        <v>18594.4604</v>
      </c>
      <c r="X1740">
        <f>u_Healthy</f>
        <v>0</v>
      </c>
      <c r="Z1740" s="42">
        <f t="shared" si="134"/>
        <v>48.480933650715762</v>
      </c>
      <c r="AA1740" s="6">
        <f t="shared" si="133"/>
        <v>0</v>
      </c>
    </row>
    <row r="1741" spans="1:27" x14ac:dyDescent="0.3">
      <c r="M1741" s="42"/>
      <c r="O1741" s="42"/>
      <c r="Q1741" s="47">
        <f>1-Q1732-Q1735-Q1738</f>
        <v>0.60619800000000001</v>
      </c>
      <c r="R1741" s="47"/>
      <c r="T1741" s="80"/>
      <c r="Z1741" s="42">
        <f t="shared" si="134"/>
        <v>0</v>
      </c>
      <c r="AA1741" s="6">
        <f t="shared" ref="AA1741:AA1809" si="135">U1741*X1741</f>
        <v>0</v>
      </c>
    </row>
    <row r="1742" spans="1:27" x14ac:dyDescent="0.3">
      <c r="M1742" s="42"/>
      <c r="Q1742" s="48">
        <f>c_clinic_fu+c_CSG</f>
        <v>14403</v>
      </c>
      <c r="R1742" s="48"/>
      <c r="S1742" s="96"/>
      <c r="T1742" s="80"/>
      <c r="Z1742" s="42">
        <f t="shared" si="134"/>
        <v>0</v>
      </c>
      <c r="AA1742" s="6">
        <f t="shared" si="135"/>
        <v>0</v>
      </c>
    </row>
    <row r="1743" spans="1:27" x14ac:dyDescent="0.3">
      <c r="M1743" s="42"/>
      <c r="Q1743" s="42"/>
      <c r="R1743" s="42"/>
      <c r="T1743" s="80"/>
      <c r="Z1743" s="42">
        <f t="shared" ref="Z1743:Z1809" si="136">U1743*W1743</f>
        <v>0</v>
      </c>
      <c r="AA1743" s="6">
        <f t="shared" si="135"/>
        <v>0</v>
      </c>
    </row>
    <row r="1744" spans="1:27" x14ac:dyDescent="0.3">
      <c r="M1744" s="42"/>
      <c r="Q1744" s="19" t="s">
        <v>368</v>
      </c>
      <c r="R1744" s="19"/>
      <c r="T1744" s="80"/>
      <c r="U1744">
        <f>$K$1721*$I$1710*$G$1731*$E$1659*$C$1505*$A$1460*$M$1736*$O$1748*Q1745</f>
        <v>4.2729371819815922E-3</v>
      </c>
      <c r="V1744">
        <v>4.2729371819815939E-3</v>
      </c>
      <c r="W1744" s="42">
        <f>$K$1722+$I$1711+$G$1732+$E$1660+$C$1506+$A$1461+$M$1737+$O$1749+Q1746</f>
        <v>55784.710902399995</v>
      </c>
      <c r="X1744">
        <f>u_ChronicResp</f>
        <v>0.53465956747782661</v>
      </c>
      <c r="Z1744" s="42">
        <f t="shared" si="136"/>
        <v>238.36456540095884</v>
      </c>
      <c r="AA1744" s="6">
        <f t="shared" si="135"/>
        <v>2.2845667455782012E-3</v>
      </c>
    </row>
    <row r="1745" spans="11:27" x14ac:dyDescent="0.3">
      <c r="M1745" s="42"/>
      <c r="Q1745" s="47">
        <f>RDS2CLD_4-(RDS2CLD_4*noHypo2CI_4)</f>
        <v>0.34905610687022898</v>
      </c>
      <c r="R1745" s="47"/>
      <c r="T1745" s="80"/>
      <c r="Z1745" s="42">
        <f t="shared" si="136"/>
        <v>0</v>
      </c>
      <c r="AA1745" s="6">
        <f t="shared" si="135"/>
        <v>0</v>
      </c>
    </row>
    <row r="1746" spans="11:27" x14ac:dyDescent="0.3">
      <c r="M1746" s="42"/>
      <c r="Q1746" s="48">
        <f>c_lung+c_hosp_fu+c_CSG</f>
        <v>54529.510902399998</v>
      </c>
      <c r="R1746" s="48"/>
      <c r="T1746" s="80"/>
      <c r="Z1746" s="42">
        <f t="shared" si="136"/>
        <v>0</v>
      </c>
      <c r="AA1746" s="6">
        <f t="shared" si="135"/>
        <v>0</v>
      </c>
    </row>
    <row r="1747" spans="11:27" x14ac:dyDescent="0.3">
      <c r="M1747" s="42"/>
      <c r="O1747" s="19" t="s">
        <v>371</v>
      </c>
      <c r="Q1747" s="19" t="s">
        <v>226</v>
      </c>
      <c r="R1747" s="19"/>
      <c r="T1747" s="80"/>
      <c r="U1747">
        <f>$K$1721*$I$1710*$G$1731*$E$1659*$C$1505*$A$1460*$M$1736*$O$1748*Q1748</f>
        <v>2.5880390957605949E-4</v>
      </c>
      <c r="V1747">
        <v>2.5880390957605959E-4</v>
      </c>
      <c r="W1747" s="42">
        <f>$K$1722+$I$1711+$G$1732+$E$1660+$C$1506+$A$1461+$M$1737+$O$1749+Q1749</f>
        <v>17021.2</v>
      </c>
      <c r="X1747">
        <f>u_CongnitiveImpairement</f>
        <v>17.270393127285455</v>
      </c>
      <c r="Z1747" s="42">
        <f t="shared" si="136"/>
        <v>4.4051531056760238</v>
      </c>
      <c r="AA1747" s="6">
        <f t="shared" si="135"/>
        <v>4.4696452612569843E-3</v>
      </c>
    </row>
    <row r="1748" spans="11:27" x14ac:dyDescent="0.3">
      <c r="M1748" s="42"/>
      <c r="O1748" s="47">
        <f>SGA_term_2normoglycaemia_4</f>
        <v>0.74</v>
      </c>
      <c r="Q1748" s="47">
        <f>noHypo2CI_4-(RDS2CLD_4*noHypo2CI_4)</f>
        <v>2.1141683406990762E-2</v>
      </c>
      <c r="R1748" s="47"/>
      <c r="T1748" s="80"/>
      <c r="Z1748" s="42">
        <f t="shared" si="136"/>
        <v>0</v>
      </c>
      <c r="AA1748" s="6">
        <f t="shared" si="135"/>
        <v>0</v>
      </c>
    </row>
    <row r="1749" spans="11:27" x14ac:dyDescent="0.3">
      <c r="M1749" s="42"/>
      <c r="O1749" s="48"/>
      <c r="Q1749" s="48">
        <f>c_cog+c_hosp_fu+c_CSG</f>
        <v>15766</v>
      </c>
      <c r="R1749" s="48"/>
      <c r="T1749" s="80"/>
      <c r="Z1749" s="42">
        <f t="shared" si="136"/>
        <v>0</v>
      </c>
      <c r="AA1749" s="6">
        <f t="shared" si="135"/>
        <v>0</v>
      </c>
    </row>
    <row r="1750" spans="11:27" x14ac:dyDescent="0.3">
      <c r="M1750" s="42"/>
      <c r="Q1750" s="19" t="s">
        <v>369</v>
      </c>
      <c r="R1750" s="19"/>
      <c r="T1750" s="80"/>
      <c r="U1750">
        <f>$K$1721*$I$1710*$G$1731*$E$1659*$C$1505*$A$1460*$M$1736*$O$1748*Q1751</f>
        <v>1.4621003342246865E-4</v>
      </c>
      <c r="V1750">
        <v>1.4621003342246867E-4</v>
      </c>
      <c r="W1750" s="42">
        <f>$K$1722+$I$1711+$G$1732+$E$1660+$C$1506+$A$1461+$M$1737+$O$1749+Q1752</f>
        <v>59603.710902399995</v>
      </c>
      <c r="X1750">
        <f>u_ChronicResp+u_CongnitiveImpairement</f>
        <v>17.805052694763283</v>
      </c>
      <c r="Z1750" s="42">
        <f t="shared" si="136"/>
        <v>8.7146605631430614</v>
      </c>
      <c r="AA1750" s="6">
        <f t="shared" si="135"/>
        <v>2.6032773495901552E-3</v>
      </c>
    </row>
    <row r="1751" spans="11:27" x14ac:dyDescent="0.3">
      <c r="M1751" s="42"/>
      <c r="Q1751" s="47">
        <f>RDS2CLD_4*noHypo2CI_4</f>
        <v>1.1943893129770991E-2</v>
      </c>
      <c r="R1751" s="47"/>
      <c r="T1751" s="80"/>
      <c r="Z1751" s="42">
        <f t="shared" si="136"/>
        <v>0</v>
      </c>
      <c r="AA1751" s="6">
        <f t="shared" si="135"/>
        <v>0</v>
      </c>
    </row>
    <row r="1752" spans="11:27" x14ac:dyDescent="0.3">
      <c r="M1752" s="42"/>
      <c r="Q1752" s="48">
        <f>c_cog+c_lung+c_hosp_fu+c_CSG</f>
        <v>58348.510902399998</v>
      </c>
      <c r="R1752" s="48"/>
      <c r="T1752" s="80"/>
      <c r="Z1752" s="42">
        <f t="shared" si="136"/>
        <v>0</v>
      </c>
      <c r="AA1752" s="6">
        <f t="shared" si="135"/>
        <v>0</v>
      </c>
    </row>
    <row r="1753" spans="11:27" x14ac:dyDescent="0.3">
      <c r="M1753" s="42"/>
      <c r="Q1753" s="19" t="s">
        <v>370</v>
      </c>
      <c r="R1753" s="19"/>
      <c r="T1753" s="80"/>
      <c r="U1753">
        <f>$K$1721*$I$1710*$G$1731*$E$1659*$C$1505*$A$1460*$M$1736*$O$1748*Q1754</f>
        <v>7.5634539038399954E-3</v>
      </c>
      <c r="V1753">
        <v>7.563453903839998E-3</v>
      </c>
      <c r="W1753" s="42">
        <f>$K$1722+$I$1711+$G$1732+$E$1660+$C$1506+$A$1461+$M$1737+$O$1749+Q1755</f>
        <v>15658.2</v>
      </c>
      <c r="X1753">
        <f>u_Healthy</f>
        <v>0</v>
      </c>
      <c r="Z1753" s="42">
        <f t="shared" si="136"/>
        <v>118.43007391710742</v>
      </c>
      <c r="AA1753" s="6">
        <f t="shared" si="135"/>
        <v>0</v>
      </c>
    </row>
    <row r="1754" spans="11:27" x14ac:dyDescent="0.3">
      <c r="M1754" s="42"/>
      <c r="Q1754" s="47">
        <f>1-Q1751-Q1748-Q1745</f>
        <v>0.61785831659300938</v>
      </c>
      <c r="R1754" s="47"/>
      <c r="T1754" s="80"/>
      <c r="Z1754" s="42">
        <f t="shared" si="136"/>
        <v>0</v>
      </c>
      <c r="AA1754" s="6">
        <f t="shared" si="135"/>
        <v>0</v>
      </c>
    </row>
    <row r="1755" spans="11:27" x14ac:dyDescent="0.3">
      <c r="M1755" s="42"/>
      <c r="Q1755" s="48">
        <f>c_clinic_fu+c_CSG</f>
        <v>14403</v>
      </c>
      <c r="R1755" s="48"/>
      <c r="T1755" s="80"/>
      <c r="Z1755" s="42">
        <f t="shared" si="136"/>
        <v>0</v>
      </c>
      <c r="AA1755" s="6">
        <f t="shared" si="135"/>
        <v>0</v>
      </c>
    </row>
    <row r="1756" spans="11:27" x14ac:dyDescent="0.3">
      <c r="M1756" s="42"/>
      <c r="Q1756" s="42"/>
      <c r="R1756" s="42"/>
      <c r="T1756" s="80"/>
      <c r="Z1756" s="42">
        <f t="shared" si="136"/>
        <v>0</v>
      </c>
      <c r="AA1756" s="6">
        <f t="shared" si="135"/>
        <v>0</v>
      </c>
    </row>
    <row r="1757" spans="11:27" x14ac:dyDescent="0.3">
      <c r="K1757" s="19" t="s">
        <v>165</v>
      </c>
      <c r="L1757" s="19"/>
      <c r="M1757" s="19"/>
      <c r="N1757" s="19"/>
      <c r="O1757" s="19"/>
      <c r="P1757" s="19"/>
      <c r="Q1757" s="19"/>
      <c r="R1757" s="19"/>
      <c r="T1757" s="80"/>
      <c r="U1757">
        <f>$K$1758*$I$1766*$G$1731*$E$1659*$C$1505*$A$1460</f>
        <v>4.4560004697704594E-4</v>
      </c>
      <c r="V1757">
        <v>4.4560004697704594E-4</v>
      </c>
      <c r="W1757" s="42">
        <f>$K$1759+$I$1767+$G$1732+$E$1660+$C$1506+$A$1461</f>
        <v>3047.2</v>
      </c>
      <c r="X1757">
        <f>u_Death</f>
        <v>19.181538114427529</v>
      </c>
      <c r="Z1757" s="42">
        <f t="shared" si="136"/>
        <v>1.3578324631484544</v>
      </c>
      <c r="AA1757" s="6">
        <f t="shared" si="135"/>
        <v>8.547294284880904E-3</v>
      </c>
    </row>
    <row r="1758" spans="11:27" x14ac:dyDescent="0.3">
      <c r="K1758" s="47">
        <f>AGA_term_2d_4</f>
        <v>6.2333333333333338E-3</v>
      </c>
      <c r="T1758" s="80"/>
      <c r="Z1758" s="42">
        <f t="shared" si="136"/>
        <v>0</v>
      </c>
      <c r="AA1758" s="6">
        <f t="shared" si="135"/>
        <v>0</v>
      </c>
    </row>
    <row r="1759" spans="11:27" x14ac:dyDescent="0.3">
      <c r="K1759" s="48">
        <f>c_SB</f>
        <v>1792</v>
      </c>
      <c r="T1759" s="80"/>
      <c r="Z1759" s="42">
        <f t="shared" si="136"/>
        <v>0</v>
      </c>
      <c r="AA1759" s="6">
        <f t="shared" si="135"/>
        <v>0</v>
      </c>
    </row>
    <row r="1760" spans="11:27" x14ac:dyDescent="0.3">
      <c r="T1760" s="80"/>
      <c r="Z1760" s="42">
        <f t="shared" si="136"/>
        <v>0</v>
      </c>
      <c r="AA1760" s="6">
        <f t="shared" si="135"/>
        <v>0</v>
      </c>
    </row>
    <row r="1761" spans="9:27" x14ac:dyDescent="0.3">
      <c r="Q1761" s="19" t="s">
        <v>368</v>
      </c>
      <c r="R1761" s="19"/>
      <c r="T1761" s="80"/>
      <c r="U1761">
        <f>$K$1777*$I$1766*$G$1731*$E$1659*$C$1505*$A$1460*$M$1772*$O$1767*Q1762</f>
        <v>0</v>
      </c>
      <c r="W1761" s="42">
        <f>$K$1778+$I$1767+$G$1732+$E$1660+$C$1506+$A$1461+$M$1773+$O$1768+Q1763</f>
        <v>89316.581450605634</v>
      </c>
      <c r="X1761">
        <f>u_ChronicResp</f>
        <v>0.53465956747782661</v>
      </c>
      <c r="Z1761" s="42">
        <f t="shared" si="136"/>
        <v>0</v>
      </c>
      <c r="AA1761" s="6">
        <f t="shared" si="135"/>
        <v>0</v>
      </c>
    </row>
    <row r="1762" spans="9:27" x14ac:dyDescent="0.3">
      <c r="Q1762" s="47">
        <f>RDS2CLD_4-(Hypo2CI_4*RDS2CLD_4)</f>
        <v>0.34246866666666664</v>
      </c>
      <c r="R1762" s="47"/>
      <c r="T1762" s="80"/>
      <c r="V1762">
        <v>0</v>
      </c>
      <c r="Z1762" s="42">
        <f t="shared" si="136"/>
        <v>0</v>
      </c>
      <c r="AA1762" s="6">
        <f t="shared" si="135"/>
        <v>0</v>
      </c>
    </row>
    <row r="1763" spans="9:27" x14ac:dyDescent="0.3">
      <c r="Q1763" s="48">
        <f>c_lung+c_hosp_fu+c_CSG</f>
        <v>54529.510902399998</v>
      </c>
      <c r="R1763" s="48"/>
      <c r="T1763" s="80"/>
      <c r="Z1763" s="42">
        <f t="shared" si="136"/>
        <v>0</v>
      </c>
      <c r="AA1763" s="6">
        <f t="shared" si="135"/>
        <v>0</v>
      </c>
    </row>
    <row r="1764" spans="9:27" x14ac:dyDescent="0.3">
      <c r="Q1764" s="19" t="s">
        <v>226</v>
      </c>
      <c r="R1764" s="19"/>
      <c r="T1764" s="80"/>
      <c r="U1764">
        <f>$K$1777*$I$1766*$G$1731*$E$1659*$C$1505*$A$1460*$M$1772*$O$1767*Q1765</f>
        <v>0</v>
      </c>
      <c r="W1764" s="42">
        <f>$K$1778+$I$1767+$G$1732+$E$1660+$C$1506+$A$1461+$M$1773+$O$1768+Q1766</f>
        <v>50553.070548205636</v>
      </c>
      <c r="X1764">
        <f>u_CongnitiveImpairement</f>
        <v>17.270393127285455</v>
      </c>
      <c r="Z1764" s="42">
        <f t="shared" si="136"/>
        <v>0</v>
      </c>
      <c r="AA1764" s="6">
        <f t="shared" si="135"/>
        <v>0</v>
      </c>
    </row>
    <row r="1765" spans="9:27" x14ac:dyDescent="0.3">
      <c r="I1765" s="19" t="s">
        <v>425</v>
      </c>
      <c r="Q1765" s="47">
        <f>Hypo2CI_4-(Hypo2CI_4*RDS2CLD_4)</f>
        <v>3.2801999999999998E-2</v>
      </c>
      <c r="R1765" s="47"/>
      <c r="T1765" s="80"/>
      <c r="V1765">
        <v>0</v>
      </c>
      <c r="Z1765" s="42">
        <f t="shared" si="136"/>
        <v>0</v>
      </c>
      <c r="AA1765" s="6">
        <f t="shared" si="135"/>
        <v>0</v>
      </c>
    </row>
    <row r="1766" spans="9:27" x14ac:dyDescent="0.3">
      <c r="I1766" s="47">
        <f>NBW_term_2AGA_4</f>
        <v>0.81004360154892219</v>
      </c>
      <c r="O1766" s="19" t="s">
        <v>161</v>
      </c>
      <c r="Q1766" s="48">
        <f>c_cog+c_hosp_fu+c_CSG</f>
        <v>15766</v>
      </c>
      <c r="R1766" s="48"/>
      <c r="T1766" s="80"/>
      <c r="Z1766" s="42">
        <f t="shared" si="136"/>
        <v>0</v>
      </c>
      <c r="AA1766" s="6">
        <f t="shared" si="135"/>
        <v>0</v>
      </c>
    </row>
    <row r="1767" spans="9:27" x14ac:dyDescent="0.3">
      <c r="I1767" s="48"/>
      <c r="O1767" s="47">
        <f>AGA_term_2hypoglycaemia_4</f>
        <v>0</v>
      </c>
      <c r="Q1767" s="19" t="s">
        <v>369</v>
      </c>
      <c r="R1767" s="19"/>
      <c r="T1767" s="80"/>
      <c r="U1767">
        <f>$K$1777*$I$1766*$G$1731*$E$1659*$C$1505*$A$1460*$M$1772*$O$1767*Q1768</f>
        <v>0</v>
      </c>
      <c r="W1767" s="42">
        <f>$K$1778+$I$1767+$G$1732+$E$1660+$C$1506+$A$1461+$M$1773+$O$1768+Q1769</f>
        <v>93135.581450605634</v>
      </c>
      <c r="X1767">
        <f>u_ChronicResp+u_CongnitiveImpairement</f>
        <v>17.805052694763283</v>
      </c>
      <c r="Z1767" s="42">
        <f t="shared" si="136"/>
        <v>0</v>
      </c>
      <c r="AA1767" s="6">
        <f t="shared" si="135"/>
        <v>0</v>
      </c>
    </row>
    <row r="1768" spans="9:27" x14ac:dyDescent="0.3">
      <c r="O1768" s="48">
        <f>c_hypo</f>
        <v>2936.2604000000001</v>
      </c>
      <c r="Q1768" s="47">
        <f>Hypo2CI_4*RDS2CLD_4</f>
        <v>1.8531333333333334E-2</v>
      </c>
      <c r="R1768" s="47"/>
      <c r="T1768" s="80"/>
      <c r="V1768">
        <v>0</v>
      </c>
      <c r="Z1768" s="42">
        <f t="shared" si="136"/>
        <v>0</v>
      </c>
      <c r="AA1768" s="6">
        <f t="shared" si="135"/>
        <v>0</v>
      </c>
    </row>
    <row r="1769" spans="9:27" x14ac:dyDescent="0.3">
      <c r="M1769" s="42"/>
      <c r="Q1769" s="48">
        <f>c_lung+c_cog+c_hosp_fu+c_CSG</f>
        <v>58348.510902399998</v>
      </c>
      <c r="R1769" s="48"/>
      <c r="T1769" s="80"/>
      <c r="Z1769" s="42">
        <f t="shared" si="136"/>
        <v>0</v>
      </c>
      <c r="AA1769" s="6">
        <f t="shared" si="135"/>
        <v>0</v>
      </c>
    </row>
    <row r="1770" spans="9:27" x14ac:dyDescent="0.3">
      <c r="Q1770" s="19" t="s">
        <v>370</v>
      </c>
      <c r="R1770" s="19"/>
      <c r="T1770" s="80"/>
      <c r="U1770">
        <f>$K$1777*$I$1766*$G$1731*$E$1659*$C$1505*$A$1460*$M$1772*$O$1767*Q1771</f>
        <v>0</v>
      </c>
      <c r="W1770" s="42">
        <f>$K$1778+$I$1767+$G$1732+$E$1660+$C$1506+$A$1461+$M$1773+$O$1768+Q1772</f>
        <v>49190.070548205636</v>
      </c>
      <c r="X1770">
        <f>u_Healthy</f>
        <v>0</v>
      </c>
      <c r="Z1770" s="42">
        <f t="shared" si="136"/>
        <v>0</v>
      </c>
      <c r="AA1770" s="6">
        <f t="shared" si="135"/>
        <v>0</v>
      </c>
    </row>
    <row r="1771" spans="9:27" x14ac:dyDescent="0.3">
      <c r="M1771" s="19" t="s">
        <v>9</v>
      </c>
      <c r="Q1771" s="47">
        <f>1-Q1762-Q1765-Q1768</f>
        <v>0.60619800000000001</v>
      </c>
      <c r="R1771" s="47"/>
      <c r="T1771" s="80"/>
      <c r="V1771">
        <v>0</v>
      </c>
      <c r="Z1771" s="42">
        <f t="shared" si="136"/>
        <v>0</v>
      </c>
      <c r="AA1771" s="6">
        <f t="shared" si="135"/>
        <v>0</v>
      </c>
    </row>
    <row r="1772" spans="9:27" x14ac:dyDescent="0.3">
      <c r="K1772" s="42"/>
      <c r="M1772" s="47">
        <f>S_term_2RDS_4</f>
        <v>0</v>
      </c>
      <c r="Q1772" s="48">
        <f>c_clinic_fu+c_CSG</f>
        <v>14403</v>
      </c>
      <c r="R1772" s="48"/>
      <c r="T1772" s="80"/>
      <c r="Z1772" s="42">
        <f t="shared" si="136"/>
        <v>0</v>
      </c>
      <c r="AA1772" s="6">
        <f t="shared" si="135"/>
        <v>0</v>
      </c>
    </row>
    <row r="1773" spans="9:27" x14ac:dyDescent="0.3">
      <c r="K1773" s="42"/>
      <c r="M1773" s="48">
        <f>c_RDS</f>
        <v>30595.610148205637</v>
      </c>
      <c r="Q1773" s="42"/>
      <c r="R1773" s="42"/>
      <c r="T1773" s="80"/>
      <c r="Z1773" s="42">
        <f t="shared" si="136"/>
        <v>0</v>
      </c>
      <c r="AA1773" s="6">
        <f t="shared" si="135"/>
        <v>0</v>
      </c>
    </row>
    <row r="1774" spans="9:27" x14ac:dyDescent="0.3">
      <c r="Q1774" s="19" t="s">
        <v>368</v>
      </c>
      <c r="R1774" s="19"/>
      <c r="T1774" s="80"/>
      <c r="U1774">
        <f>$K$1777*$I$1766*$G$1731*$E$1659*$C$1505*$A$1460*$M$1772*$O$1777*Q1775</f>
        <v>0</v>
      </c>
      <c r="W1774" s="42">
        <f>$K$1778+$I$1767+$G$1732+$E$1660+$C$1506+$A$1461+$M$1773+$O$1778+Q1776</f>
        <v>86380.321050605635</v>
      </c>
      <c r="X1774">
        <f>u_ChronicResp</f>
        <v>0.53465956747782661</v>
      </c>
      <c r="Z1774" s="42">
        <f t="shared" si="136"/>
        <v>0</v>
      </c>
      <c r="AA1774" s="6">
        <f t="shared" si="135"/>
        <v>0</v>
      </c>
    </row>
    <row r="1775" spans="9:27" x14ac:dyDescent="0.3">
      <c r="Q1775" s="47">
        <f>RDS2CLD_4-(RDS2CLD_4*noHypo2CI_4)</f>
        <v>0.34905610687022898</v>
      </c>
      <c r="R1775" s="47"/>
      <c r="T1775" s="80"/>
      <c r="V1775">
        <v>0</v>
      </c>
      <c r="Z1775" s="42">
        <f t="shared" si="136"/>
        <v>0</v>
      </c>
      <c r="AA1775" s="6">
        <f t="shared" si="135"/>
        <v>0</v>
      </c>
    </row>
    <row r="1776" spans="9:27" x14ac:dyDescent="0.3">
      <c r="K1776" s="19" t="s">
        <v>37</v>
      </c>
      <c r="M1776" s="42"/>
      <c r="O1776" s="19" t="s">
        <v>371</v>
      </c>
      <c r="Q1776" s="48">
        <f>c_lung+c_hosp_fu+c_CSG</f>
        <v>54529.510902399998</v>
      </c>
      <c r="R1776" s="48"/>
      <c r="T1776" s="80"/>
      <c r="Z1776" s="42">
        <f t="shared" si="136"/>
        <v>0</v>
      </c>
      <c r="AA1776" s="6">
        <f t="shared" si="135"/>
        <v>0</v>
      </c>
    </row>
    <row r="1777" spans="3:27" x14ac:dyDescent="0.3">
      <c r="K1777" s="47">
        <f>AGA_term_2s_4</f>
        <v>0.99376666666666669</v>
      </c>
      <c r="O1777" s="47">
        <f>AGA_term_2normoglycaemia_4</f>
        <v>1</v>
      </c>
      <c r="Q1777" s="19" t="s">
        <v>226</v>
      </c>
      <c r="R1777" s="19"/>
      <c r="T1777" s="80"/>
      <c r="U1777">
        <f>$K$1777*$I$1766*$G$1731*$E$1659*$C$1505*$A$1460*$M$1772*$O$1777*Q1778</f>
        <v>0</v>
      </c>
      <c r="W1777" s="42">
        <f>$K$1778+$I$1767+$G$1732+$E$1660+$C$1506+$A$1461+$M$1773+$O$1778+Q1779</f>
        <v>47616.810148205637</v>
      </c>
      <c r="X1777">
        <f>u_CongnitiveImpairement</f>
        <v>17.270393127285455</v>
      </c>
      <c r="Z1777" s="42">
        <f t="shared" si="136"/>
        <v>0</v>
      </c>
      <c r="AA1777" s="6">
        <f t="shared" si="135"/>
        <v>0</v>
      </c>
    </row>
    <row r="1778" spans="3:27" x14ac:dyDescent="0.3">
      <c r="K1778" s="48"/>
      <c r="O1778" s="48"/>
      <c r="Q1778" s="47">
        <f>noHypo2CI_4-(RDS2CLD_4*noHypo2CI_4)</f>
        <v>2.1141683406990762E-2</v>
      </c>
      <c r="R1778" s="47"/>
      <c r="T1778" s="80"/>
      <c r="V1778">
        <v>0</v>
      </c>
      <c r="Z1778" s="42">
        <f t="shared" si="136"/>
        <v>0</v>
      </c>
      <c r="AA1778" s="6">
        <f t="shared" si="135"/>
        <v>0</v>
      </c>
    </row>
    <row r="1779" spans="3:27" x14ac:dyDescent="0.3">
      <c r="Q1779" s="48">
        <f>c_cog+c_hosp_fu+c_CSG</f>
        <v>15766</v>
      </c>
      <c r="R1779" s="48"/>
      <c r="T1779" s="80"/>
      <c r="Z1779" s="42">
        <f t="shared" si="136"/>
        <v>0</v>
      </c>
      <c r="AA1779" s="6">
        <f t="shared" si="135"/>
        <v>0</v>
      </c>
    </row>
    <row r="1780" spans="3:27" x14ac:dyDescent="0.3">
      <c r="Q1780" s="19" t="s">
        <v>369</v>
      </c>
      <c r="R1780" s="19"/>
      <c r="T1780" s="80"/>
      <c r="U1780">
        <f>$K$1777*$I$1766*$G$1731*$E$1659*$C$1505*$A$1460*$M$1772*$O$1777*Q1781</f>
        <v>0</v>
      </c>
      <c r="W1780" s="42">
        <f>$K$1778+$I$1767+$G$1732+$E$1660+$C$1506+$A$1461+$M$1773+$O$1778+Q1782</f>
        <v>90199.321050605635</v>
      </c>
      <c r="X1780">
        <f>u_ChronicResp+u_CongnitiveImpairement</f>
        <v>17.805052694763283</v>
      </c>
      <c r="Z1780" s="42">
        <f t="shared" si="136"/>
        <v>0</v>
      </c>
      <c r="AA1780" s="6">
        <f t="shared" si="135"/>
        <v>0</v>
      </c>
    </row>
    <row r="1781" spans="3:27" x14ac:dyDescent="0.3">
      <c r="Q1781" s="47">
        <f>RDS2CLD_4*noHypo2CI_4</f>
        <v>1.1943893129770991E-2</v>
      </c>
      <c r="R1781" s="47"/>
      <c r="T1781" s="80"/>
      <c r="V1781">
        <v>0</v>
      </c>
      <c r="Z1781" s="42">
        <f t="shared" si="136"/>
        <v>0</v>
      </c>
      <c r="AA1781" s="6">
        <f t="shared" si="135"/>
        <v>0</v>
      </c>
    </row>
    <row r="1782" spans="3:27" x14ac:dyDescent="0.3">
      <c r="Q1782" s="48">
        <f>c_cog+c_lung+c_hosp_fu+c_CSG</f>
        <v>58348.510902399998</v>
      </c>
      <c r="R1782" s="48"/>
      <c r="T1782" s="80"/>
      <c r="Z1782" s="42">
        <f t="shared" si="136"/>
        <v>0</v>
      </c>
      <c r="AA1782" s="6">
        <f t="shared" si="135"/>
        <v>0</v>
      </c>
    </row>
    <row r="1783" spans="3:27" x14ac:dyDescent="0.3">
      <c r="Q1783" s="19" t="s">
        <v>370</v>
      </c>
      <c r="R1783" s="19"/>
      <c r="T1783" s="80"/>
      <c r="U1783">
        <f>$K$1777*$I$1766*$G$1731*$E$1659*$C$1505*$A$1460*$M$1772*$O$1777*Q1784</f>
        <v>0</v>
      </c>
      <c r="W1783" s="42">
        <f>$K$1778+$I$1767+$G$1732+$E$1660+$C$1506+$A$1461+$M$1773+$O$1778+Q1785</f>
        <v>46253.810148205637</v>
      </c>
      <c r="X1783">
        <f>u_Healthy</f>
        <v>0</v>
      </c>
      <c r="Z1783" s="42">
        <f t="shared" si="136"/>
        <v>0</v>
      </c>
      <c r="AA1783" s="6">
        <f t="shared" si="135"/>
        <v>0</v>
      </c>
    </row>
    <row r="1784" spans="3:27" x14ac:dyDescent="0.3">
      <c r="C1784" s="42"/>
      <c r="Q1784" s="47">
        <f>1-Q1781-Q1778-Q1775</f>
        <v>0.61785831659300938</v>
      </c>
      <c r="R1784" s="47"/>
      <c r="T1784" s="80"/>
      <c r="V1784">
        <v>0</v>
      </c>
      <c r="Z1784" s="42">
        <f t="shared" si="136"/>
        <v>0</v>
      </c>
      <c r="AA1784" s="6">
        <f t="shared" si="135"/>
        <v>0</v>
      </c>
    </row>
    <row r="1785" spans="3:27" x14ac:dyDescent="0.3">
      <c r="Q1785" s="48">
        <f>c_clinic_fu+c_CSG</f>
        <v>14403</v>
      </c>
      <c r="R1785" s="48"/>
      <c r="T1785" s="80"/>
      <c r="Z1785" s="42">
        <f t="shared" si="136"/>
        <v>0</v>
      </c>
      <c r="AA1785" s="6">
        <f t="shared" si="135"/>
        <v>0</v>
      </c>
    </row>
    <row r="1786" spans="3:27" x14ac:dyDescent="0.3">
      <c r="Q1786" s="42"/>
      <c r="R1786" s="42"/>
      <c r="T1786" s="80"/>
      <c r="Z1786" s="42">
        <f t="shared" si="136"/>
        <v>0</v>
      </c>
      <c r="AA1786" s="6">
        <f t="shared" si="135"/>
        <v>0</v>
      </c>
    </row>
    <row r="1787" spans="3:27" x14ac:dyDescent="0.3">
      <c r="Q1787" s="19" t="s">
        <v>368</v>
      </c>
      <c r="R1787" s="19"/>
      <c r="T1787" s="80"/>
      <c r="U1787">
        <f>$K$1777*$I$1766*$G$1731*$E$1659*$C$1505*$A$1460*$M$1792*$O$1790*Q1788</f>
        <v>0</v>
      </c>
      <c r="W1787" s="42">
        <f>$K$1778+$I$1767+$G$1732+$E$1660+$C$1506+$A$1461+$M$1793+$O$1791+Q1789</f>
        <v>58720.971302399994</v>
      </c>
      <c r="X1787">
        <f>u_ChronicResp</f>
        <v>0.53465956747782661</v>
      </c>
      <c r="Z1787" s="42">
        <f t="shared" si="136"/>
        <v>0</v>
      </c>
      <c r="AA1787" s="6">
        <f t="shared" si="135"/>
        <v>0</v>
      </c>
    </row>
    <row r="1788" spans="3:27" x14ac:dyDescent="0.3">
      <c r="Q1788" s="47">
        <f>RDS2CLD_4-(Hypo2CI_4*RDS2CLD_4)</f>
        <v>0.34246866666666664</v>
      </c>
      <c r="R1788" s="47"/>
      <c r="T1788" s="80"/>
      <c r="V1788">
        <v>0</v>
      </c>
      <c r="Z1788" s="42">
        <f t="shared" si="136"/>
        <v>0</v>
      </c>
      <c r="AA1788" s="6">
        <f t="shared" si="135"/>
        <v>0</v>
      </c>
    </row>
    <row r="1789" spans="3:27" x14ac:dyDescent="0.3">
      <c r="O1789" s="19" t="s">
        <v>161</v>
      </c>
      <c r="Q1789" s="48">
        <f>c_lung+c_hosp_fu+c_CSG</f>
        <v>54529.510902399998</v>
      </c>
      <c r="R1789" s="48"/>
      <c r="T1789" s="80"/>
      <c r="Z1789" s="42">
        <f t="shared" si="136"/>
        <v>0</v>
      </c>
      <c r="AA1789" s="6">
        <f t="shared" si="135"/>
        <v>0</v>
      </c>
    </row>
    <row r="1790" spans="3:27" x14ac:dyDescent="0.3">
      <c r="O1790" s="47">
        <f>AGA_term_2hypoglycaemia_4</f>
        <v>0</v>
      </c>
      <c r="Q1790" s="19" t="s">
        <v>226</v>
      </c>
      <c r="R1790" s="19"/>
      <c r="T1790" s="80"/>
      <c r="U1790">
        <f>$K$1777*$I$1766*$G$1731*$E$1659*$C$1505*$A$1460*$M$1792*$O$1790*Q1791</f>
        <v>0</v>
      </c>
      <c r="W1790" s="42">
        <f>$K$1778+$I$1767+$G$1732+$E$1660+$C$1506+$A$1461+$M$1793+$O$1791+Q1792</f>
        <v>19957.4604</v>
      </c>
      <c r="X1790">
        <f>u_CongnitiveImpairement</f>
        <v>17.270393127285455</v>
      </c>
      <c r="Z1790" s="42">
        <f t="shared" si="136"/>
        <v>0</v>
      </c>
      <c r="AA1790" s="6">
        <f t="shared" si="135"/>
        <v>0</v>
      </c>
    </row>
    <row r="1791" spans="3:27" x14ac:dyDescent="0.3">
      <c r="M1791" s="19" t="s">
        <v>203</v>
      </c>
      <c r="O1791" s="48">
        <f>c_hypo</f>
        <v>2936.2604000000001</v>
      </c>
      <c r="Q1791" s="47">
        <f>Hypo2CI_4-(Hypo2CI_4*RDS2CLD_4)</f>
        <v>3.2801999999999998E-2</v>
      </c>
      <c r="R1791" s="47"/>
      <c r="T1791" s="80"/>
      <c r="V1791">
        <v>0</v>
      </c>
      <c r="Z1791" s="42">
        <f t="shared" si="136"/>
        <v>0</v>
      </c>
      <c r="AA1791" s="6">
        <f t="shared" si="135"/>
        <v>0</v>
      </c>
    </row>
    <row r="1792" spans="3:27" x14ac:dyDescent="0.3">
      <c r="M1792" s="47">
        <f>S_term_2noRDS_4</f>
        <v>1</v>
      </c>
      <c r="Q1792" s="48">
        <f>c_cog+c_hosp_fu+c_CSG</f>
        <v>15766</v>
      </c>
      <c r="R1792" s="48"/>
      <c r="T1792" s="80"/>
      <c r="Z1792" s="42">
        <f t="shared" si="136"/>
        <v>0</v>
      </c>
      <c r="AA1792" s="6">
        <f t="shared" si="135"/>
        <v>0</v>
      </c>
    </row>
    <row r="1793" spans="7:27" x14ac:dyDescent="0.3">
      <c r="M1793" s="48"/>
      <c r="O1793" s="42"/>
      <c r="Q1793" s="19" t="s">
        <v>369</v>
      </c>
      <c r="R1793" s="19"/>
      <c r="T1793" s="80"/>
      <c r="U1793">
        <f>$K$1777*$I$1766*$G$1731*$E$1659*$C$1505*$A$1460*$M$1792*$O$1790*Q1794</f>
        <v>0</v>
      </c>
      <c r="W1793" s="42">
        <f>$K$1778+$I$1767+$G$1732+$E$1660+$C$1506+$A$1461+$M$1793+$O$1791+Q1795</f>
        <v>62539.971302399994</v>
      </c>
      <c r="X1793">
        <f>u_ChronicResp+u_CongnitiveImpairement</f>
        <v>17.805052694763283</v>
      </c>
      <c r="Z1793" s="42">
        <f t="shared" si="136"/>
        <v>0</v>
      </c>
      <c r="AA1793" s="6">
        <f t="shared" si="135"/>
        <v>0</v>
      </c>
    </row>
    <row r="1794" spans="7:27" x14ac:dyDescent="0.3">
      <c r="M1794" s="42"/>
      <c r="Q1794" s="47">
        <f>Hypo2CI_4*RDS2CLD_4</f>
        <v>1.8531333333333334E-2</v>
      </c>
      <c r="R1794" s="47"/>
      <c r="T1794" s="80"/>
      <c r="V1794">
        <v>0</v>
      </c>
      <c r="Z1794" s="42">
        <f t="shared" si="136"/>
        <v>0</v>
      </c>
      <c r="AA1794" s="6">
        <f t="shared" si="135"/>
        <v>0</v>
      </c>
    </row>
    <row r="1795" spans="7:27" x14ac:dyDescent="0.3">
      <c r="M1795" s="42"/>
      <c r="Q1795" s="48">
        <f>c_lung+c_cog+c_hosp_fu+c_CSG</f>
        <v>58348.510902399998</v>
      </c>
      <c r="R1795" s="48"/>
      <c r="T1795" s="80"/>
      <c r="Z1795" s="42">
        <f t="shared" si="136"/>
        <v>0</v>
      </c>
      <c r="AA1795" s="6">
        <f t="shared" si="135"/>
        <v>0</v>
      </c>
    </row>
    <row r="1796" spans="7:27" x14ac:dyDescent="0.3">
      <c r="M1796" s="42"/>
      <c r="Q1796" s="19" t="s">
        <v>370</v>
      </c>
      <c r="R1796" s="19"/>
      <c r="T1796" s="80"/>
      <c r="U1796">
        <f>$K$1777*$I$1766*$G$1731*$E$1659*$C$1505*$A$1460*$M$1792*$O$1790*Q1797</f>
        <v>0</v>
      </c>
      <c r="W1796" s="42">
        <f>$K$1778+$I$1767+$G$1732+$E$1660+$C$1506+$A$1461+$M$1793+$O$1791+Q1798</f>
        <v>18594.4604</v>
      </c>
      <c r="X1796">
        <f>u_Healthy</f>
        <v>0</v>
      </c>
      <c r="Z1796" s="42">
        <f t="shared" si="136"/>
        <v>0</v>
      </c>
      <c r="AA1796" s="6">
        <f t="shared" si="135"/>
        <v>0</v>
      </c>
    </row>
    <row r="1797" spans="7:27" x14ac:dyDescent="0.3">
      <c r="M1797" s="42"/>
      <c r="O1797" s="42"/>
      <c r="Q1797" s="47">
        <f>1-Q1788-Q1791-Q1794</f>
        <v>0.60619800000000001</v>
      </c>
      <c r="R1797" s="47"/>
      <c r="T1797" s="80"/>
      <c r="V1797">
        <v>0</v>
      </c>
      <c r="Z1797" s="42">
        <f t="shared" si="136"/>
        <v>0</v>
      </c>
      <c r="AA1797" s="6">
        <f t="shared" si="135"/>
        <v>0</v>
      </c>
    </row>
    <row r="1798" spans="7:27" x14ac:dyDescent="0.3">
      <c r="M1798" s="42"/>
      <c r="Q1798" s="48">
        <f>c_clinic_fu+c_CSG</f>
        <v>14403</v>
      </c>
      <c r="R1798" s="48"/>
      <c r="S1798" s="96"/>
      <c r="T1798" s="80"/>
      <c r="Z1798" s="42">
        <f t="shared" si="136"/>
        <v>0</v>
      </c>
      <c r="AA1798" s="6">
        <f t="shared" si="135"/>
        <v>0</v>
      </c>
    </row>
    <row r="1799" spans="7:27" x14ac:dyDescent="0.3">
      <c r="M1799" s="42"/>
      <c r="Q1799" s="42"/>
      <c r="R1799" s="42"/>
      <c r="T1799" s="80"/>
      <c r="Z1799" s="42">
        <f t="shared" si="136"/>
        <v>0</v>
      </c>
      <c r="AA1799" s="6">
        <f t="shared" si="135"/>
        <v>0</v>
      </c>
    </row>
    <row r="1800" spans="7:27" x14ac:dyDescent="0.3">
      <c r="M1800" s="42"/>
      <c r="Q1800" s="19" t="s">
        <v>368</v>
      </c>
      <c r="R1800" s="19"/>
      <c r="T1800" s="80"/>
      <c r="U1800">
        <f>$K$1777*$I$1766*$G$1731*$E$1659*$C$1505*$A$1460*$M$1792*$O$1804*Q1801</f>
        <v>2.4797308328744445E-2</v>
      </c>
      <c r="V1800">
        <v>2.4797308328744445E-2</v>
      </c>
      <c r="W1800" s="42">
        <f>$K$1778+$I$1767+$G$1732+$E$1660+$C$1506+$A$1461+$M$1793+$O$1805+Q1802</f>
        <v>55784.710902399995</v>
      </c>
      <c r="X1800">
        <f>u_ChronicResp</f>
        <v>0.53465956747782661</v>
      </c>
      <c r="Z1800" s="42">
        <f t="shared" si="136"/>
        <v>1383.3106762766845</v>
      </c>
      <c r="AA1800" s="6">
        <f t="shared" si="135"/>
        <v>1.3258118145660813E-2</v>
      </c>
    </row>
    <row r="1801" spans="7:27" x14ac:dyDescent="0.3">
      <c r="M1801" s="42"/>
      <c r="Q1801" s="47">
        <f>RDS2CLD_4-(RDS2CLD_4*noHypo2CI_4)</f>
        <v>0.34905610687022898</v>
      </c>
      <c r="R1801" s="47"/>
      <c r="T1801" s="80"/>
      <c r="Z1801" s="42">
        <f t="shared" si="136"/>
        <v>0</v>
      </c>
      <c r="AA1801" s="6">
        <f t="shared" si="135"/>
        <v>0</v>
      </c>
    </row>
    <row r="1802" spans="7:27" x14ac:dyDescent="0.3">
      <c r="M1802" s="42"/>
      <c r="Q1802" s="48">
        <f>c_lung+c_hosp_fu+c_CSG</f>
        <v>54529.510902399998</v>
      </c>
      <c r="R1802" s="48"/>
      <c r="T1802" s="80"/>
      <c r="Z1802" s="42">
        <f t="shared" si="136"/>
        <v>0</v>
      </c>
      <c r="AA1802" s="6">
        <f t="shared" si="135"/>
        <v>0</v>
      </c>
    </row>
    <row r="1803" spans="7:27" x14ac:dyDescent="0.3">
      <c r="M1803" s="42"/>
      <c r="O1803" s="19" t="s">
        <v>371</v>
      </c>
      <c r="Q1803" s="19" t="s">
        <v>226</v>
      </c>
      <c r="R1803" s="19"/>
      <c r="T1803" s="80"/>
      <c r="U1803">
        <f>$K$1777*$I$1766*$G$1731*$E$1659*$C$1505*$A$1460*$M$1792*$O$1804*Q1804</f>
        <v>1.5019271449869143E-3</v>
      </c>
      <c r="V1803">
        <v>1.5019271449869143E-3</v>
      </c>
      <c r="W1803" s="42">
        <f>$K$1778+$I$1767+$G$1732+$E$1660+$C$1506+$A$1461+$M$1793+$O$1805+Q1805</f>
        <v>17021.2</v>
      </c>
      <c r="X1803">
        <f>u_CongnitiveImpairement</f>
        <v>17.270393127285455</v>
      </c>
      <c r="Z1803" s="42">
        <f t="shared" si="136"/>
        <v>25.564602320251268</v>
      </c>
      <c r="AA1803" s="6">
        <f t="shared" si="135"/>
        <v>2.593887224246547E-2</v>
      </c>
    </row>
    <row r="1804" spans="7:27" x14ac:dyDescent="0.3">
      <c r="M1804" s="42"/>
      <c r="O1804" s="47">
        <f>AGA_term_2normoglycaemia_4</f>
        <v>1</v>
      </c>
      <c r="Q1804" s="47">
        <f>noHypo2CI_4-(RDS2CLD_4*noHypo2CI_4)</f>
        <v>2.1141683406990762E-2</v>
      </c>
      <c r="R1804" s="47"/>
      <c r="T1804" s="80"/>
      <c r="Z1804" s="42">
        <f t="shared" si="136"/>
        <v>0</v>
      </c>
      <c r="AA1804" s="6">
        <f t="shared" si="135"/>
        <v>0</v>
      </c>
    </row>
    <row r="1805" spans="7:27" x14ac:dyDescent="0.3">
      <c r="M1805" s="42"/>
      <c r="O1805" s="48"/>
      <c r="Q1805" s="48">
        <f>c_cog+c_hosp_fu+c_CSG</f>
        <v>15766</v>
      </c>
      <c r="R1805" s="48"/>
      <c r="T1805" s="80"/>
      <c r="Z1805" s="42">
        <f t="shared" si="136"/>
        <v>0</v>
      </c>
      <c r="AA1805" s="6">
        <f t="shared" si="135"/>
        <v>0</v>
      </c>
    </row>
    <row r="1806" spans="7:27" x14ac:dyDescent="0.3">
      <c r="G1806" s="42"/>
      <c r="M1806" s="42"/>
      <c r="Q1806" s="19" t="s">
        <v>369</v>
      </c>
      <c r="R1806" s="19"/>
      <c r="T1806" s="80"/>
      <c r="U1806">
        <f>$K$1777*$I$1766*$G$1731*$E$1659*$C$1505*$A$1460*$M$1792*$O$1804*Q1807</f>
        <v>8.4850657173752111E-4</v>
      </c>
      <c r="V1806">
        <v>8.4850657173752111E-4</v>
      </c>
      <c r="W1806" s="42">
        <f>$K$1778+$I$1767+$G$1732+$E$1660+$C$1506+$A$1461+$M$1793+$O$1805+Q1808</f>
        <v>59603.710902399995</v>
      </c>
      <c r="X1806">
        <f>u_ChronicResp+u_CongnitiveImpairement</f>
        <v>17.805052694763283</v>
      </c>
      <c r="Z1806" s="42">
        <f t="shared" si="136"/>
        <v>50.57414040062973</v>
      </c>
      <c r="AA1806" s="6">
        <f t="shared" si="135"/>
        <v>1.5107704221639505E-2</v>
      </c>
    </row>
    <row r="1807" spans="7:27" x14ac:dyDescent="0.3">
      <c r="Q1807" s="47">
        <f>RDS2CLD_4*noHypo2CI_4</f>
        <v>1.1943893129770991E-2</v>
      </c>
      <c r="R1807" s="47"/>
      <c r="T1807" s="80"/>
      <c r="Z1807" s="42">
        <f t="shared" si="136"/>
        <v>0</v>
      </c>
      <c r="AA1807" s="6">
        <f t="shared" si="135"/>
        <v>0</v>
      </c>
    </row>
    <row r="1808" spans="7:27" x14ac:dyDescent="0.3">
      <c r="Q1808" s="48">
        <f>c_cog+c_lung+c_hosp_fu+c_CSG</f>
        <v>58348.510902399998</v>
      </c>
      <c r="R1808" s="48"/>
      <c r="T1808" s="80"/>
      <c r="Z1808" s="42">
        <f t="shared" si="136"/>
        <v>0</v>
      </c>
      <c r="AA1808" s="6">
        <f t="shared" si="135"/>
        <v>0</v>
      </c>
    </row>
    <row r="1809" spans="1:27" x14ac:dyDescent="0.3">
      <c r="M1809" s="42"/>
      <c r="Q1809" s="19" t="s">
        <v>370</v>
      </c>
      <c r="R1809" s="19"/>
      <c r="T1809" s="80"/>
      <c r="U1809">
        <f>$K$1777*$I$1766*$G$1731*$E$1659*$C$1505*$A$1460*$M$1792*$O$1804*Q1810</f>
        <v>4.3893296460021346E-2</v>
      </c>
      <c r="V1809">
        <v>4.3893296460021346E-2</v>
      </c>
      <c r="W1809" s="42">
        <f>$K$1778+$I$1767+$G$1732+$E$1660+$C$1506+$A$1461+$M$1793+$O$1805+Q1811</f>
        <v>15658.2</v>
      </c>
      <c r="X1809">
        <f>u_Healthy</f>
        <v>0</v>
      </c>
      <c r="Z1809" s="42">
        <f t="shared" si="136"/>
        <v>687.29001463030625</v>
      </c>
      <c r="AA1809" s="6">
        <f t="shared" si="135"/>
        <v>0</v>
      </c>
    </row>
    <row r="1810" spans="1:27" x14ac:dyDescent="0.3">
      <c r="M1810" s="42"/>
      <c r="Q1810" s="47">
        <f>1-Q1807-Q1804-Q1801</f>
        <v>0.61785831659300938</v>
      </c>
      <c r="R1810" s="47"/>
      <c r="T1810" s="80"/>
      <c r="AA1810" s="6"/>
    </row>
    <row r="1811" spans="1:27" x14ac:dyDescent="0.3">
      <c r="M1811" s="42"/>
      <c r="Q1811" s="48">
        <f>c_clinic_fu+c_CSG</f>
        <v>14403</v>
      </c>
      <c r="R1811" s="48"/>
      <c r="T1811" s="80"/>
      <c r="AA1811" s="6"/>
    </row>
    <row r="1812" spans="1:27" x14ac:dyDescent="0.3">
      <c r="A1812" s="83"/>
      <c r="B1812" s="83"/>
      <c r="C1812" s="83"/>
      <c r="D1812" s="83"/>
      <c r="E1812" s="83"/>
      <c r="F1812" s="83"/>
      <c r="G1812" s="83"/>
      <c r="H1812" s="83"/>
      <c r="I1812" s="83"/>
      <c r="J1812" s="83"/>
      <c r="K1812" s="83"/>
      <c r="L1812" s="83"/>
      <c r="M1812" s="85"/>
      <c r="N1812" s="83"/>
      <c r="O1812" s="83"/>
      <c r="P1812" s="83"/>
      <c r="Q1812" s="85"/>
      <c r="R1812" s="85"/>
      <c r="S1812" s="97"/>
      <c r="T1812" s="80"/>
      <c r="AA1812" s="6"/>
    </row>
    <row r="1813" spans="1:27" x14ac:dyDescent="0.3">
      <c r="T1813" s="102"/>
      <c r="U1813" s="100">
        <f>SUM(U909:U1809)</f>
        <v>1.0000000000000004</v>
      </c>
      <c r="V1813" s="100"/>
      <c r="W1813" s="100">
        <f>SUM(W909:W1809)</f>
        <v>48408541.642780259</v>
      </c>
      <c r="X1813" s="100">
        <f>SUM(X909:X1809)</f>
        <v>2624.314430989391</v>
      </c>
      <c r="Y1813" s="100"/>
      <c r="Z1813" s="100">
        <f>SUM(Z909:Z1809)</f>
        <v>122246.44656976325</v>
      </c>
      <c r="AA1813" s="101">
        <f>SUM(AA909:AA1809)</f>
        <v>1.3097675131226969</v>
      </c>
    </row>
  </sheetData>
  <conditionalFormatting sqref="BE63:BT83">
    <cfRule type="colorScale" priority="9">
      <colorScale>
        <cfvo type="min"/>
        <cfvo type="percentile" val="50"/>
        <cfvo type="max"/>
        <color rgb="FF63BE7B"/>
        <color rgb="FFFFEB84"/>
        <color rgb="FFF8696B"/>
      </colorScale>
    </cfRule>
  </conditionalFormatting>
  <conditionalFormatting sqref="BF530:CL601">
    <cfRule type="colorScale" priority="6">
      <colorScale>
        <cfvo type="min"/>
        <cfvo type="percentile" val="50"/>
        <cfvo type="max"/>
        <color rgb="FFF8696B"/>
        <color rgb="FFFFEB84"/>
        <color rgb="FF63BE7B"/>
      </colorScale>
    </cfRule>
  </conditionalFormatting>
  <conditionalFormatting sqref="T1139:T181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I17"/>
  <sheetViews>
    <sheetView zoomScaleNormal="100" workbookViewId="0">
      <selection activeCell="C10" sqref="C10"/>
    </sheetView>
  </sheetViews>
  <sheetFormatPr defaultRowHeight="14.4" x14ac:dyDescent="0.3"/>
  <cols>
    <col min="1" max="1" width="16.5546875" bestFit="1" customWidth="1"/>
    <col min="2" max="2" width="13" bestFit="1" customWidth="1"/>
    <col min="3" max="3" width="15.33203125" bestFit="1" customWidth="1"/>
    <col min="4" max="4" width="17.6640625" customWidth="1"/>
    <col min="5" max="5" width="10.44140625" bestFit="1" customWidth="1"/>
  </cols>
  <sheetData>
    <row r="1" spans="1:9" x14ac:dyDescent="0.3">
      <c r="A1" s="25"/>
      <c r="B1" s="27"/>
      <c r="C1" s="26"/>
      <c r="D1" s="25"/>
      <c r="E1" s="25"/>
      <c r="F1" s="25"/>
    </row>
    <row r="2" spans="1:9" ht="15" thickBot="1" x14ac:dyDescent="0.35">
      <c r="A2" s="25"/>
      <c r="B2" s="27" t="s">
        <v>210</v>
      </c>
      <c r="C2" s="25"/>
      <c r="E2" s="27" t="s">
        <v>65</v>
      </c>
    </row>
    <row r="3" spans="1:9" ht="15" thickBot="1" x14ac:dyDescent="0.35">
      <c r="A3" s="28" t="s">
        <v>4</v>
      </c>
      <c r="B3" s="33">
        <f>'Decision tree'!Z908</f>
        <v>91072.43856734017</v>
      </c>
      <c r="C3" s="43"/>
      <c r="E3" s="44">
        <f>'Decision tree'!AA908</f>
        <v>1.1803022965259311</v>
      </c>
    </row>
    <row r="4" spans="1:9" ht="15" thickBot="1" x14ac:dyDescent="0.35">
      <c r="A4" s="28" t="s">
        <v>5</v>
      </c>
      <c r="B4" s="33">
        <f>'Decision tree'!Z1813</f>
        <v>122246.44656976325</v>
      </c>
      <c r="C4" s="43"/>
      <c r="E4" s="44">
        <f>'Decision tree'!AA1813</f>
        <v>1.3097675131226969</v>
      </c>
    </row>
    <row r="5" spans="1:9" ht="15" thickBot="1" x14ac:dyDescent="0.35">
      <c r="A5" s="30"/>
      <c r="B5" s="25"/>
      <c r="C5" s="25"/>
      <c r="D5" s="25"/>
      <c r="E5" s="31"/>
    </row>
    <row r="6" spans="1:9" ht="15" thickBot="1" x14ac:dyDescent="0.35">
      <c r="A6" s="92" t="s">
        <v>61</v>
      </c>
      <c r="B6" s="93">
        <f>B3-B4</f>
        <v>-31174.008002423085</v>
      </c>
      <c r="C6" s="45"/>
      <c r="D6" s="94" t="s">
        <v>715</v>
      </c>
      <c r="E6" s="95">
        <f>E4-E3</f>
        <v>0.1294652165967658</v>
      </c>
    </row>
    <row r="7" spans="1:9" x14ac:dyDescent="0.3">
      <c r="A7" s="25"/>
      <c r="B7" s="25"/>
      <c r="C7" s="25"/>
      <c r="D7" s="25"/>
      <c r="E7" s="25"/>
      <c r="F7" s="25"/>
    </row>
    <row r="8" spans="1:9" ht="15" thickBot="1" x14ac:dyDescent="0.35">
      <c r="A8" s="25"/>
      <c r="B8" s="25"/>
      <c r="C8" s="25"/>
      <c r="D8" s="25"/>
      <c r="E8" s="25"/>
      <c r="F8" s="25"/>
    </row>
    <row r="9" spans="1:9" ht="15" thickBot="1" x14ac:dyDescent="0.35">
      <c r="A9" s="25"/>
      <c r="B9" s="91" t="s">
        <v>272</v>
      </c>
      <c r="C9" s="225">
        <f>(C12*E6)-B6</f>
        <v>36158.418841398568</v>
      </c>
      <c r="D9" s="25"/>
    </row>
    <row r="10" spans="1:9" ht="15" thickBot="1" x14ac:dyDescent="0.35">
      <c r="A10" s="25"/>
      <c r="B10" s="91" t="s">
        <v>62</v>
      </c>
      <c r="C10" s="225">
        <f>B6/E6</f>
        <v>-240790.60632569823</v>
      </c>
      <c r="D10" s="29" t="s">
        <v>217</v>
      </c>
      <c r="E10">
        <f>C10/14</f>
        <v>-17199.329023264159</v>
      </c>
      <c r="I10" s="22"/>
    </row>
    <row r="11" spans="1:9" x14ac:dyDescent="0.3">
      <c r="A11" s="25"/>
      <c r="B11" s="25"/>
      <c r="C11" s="25"/>
      <c r="D11" s="25"/>
    </row>
    <row r="12" spans="1:9" x14ac:dyDescent="0.3">
      <c r="B12" s="69" t="s">
        <v>232</v>
      </c>
      <c r="C12" s="70">
        <f>'Parameter Values'!C16</f>
        <v>38500</v>
      </c>
      <c r="D12" s="25" t="s">
        <v>273</v>
      </c>
    </row>
    <row r="14" spans="1:9" x14ac:dyDescent="0.3">
      <c r="B14" t="s">
        <v>67</v>
      </c>
      <c r="C14" t="s">
        <v>740</v>
      </c>
      <c r="I14" s="21"/>
    </row>
    <row r="15" spans="1:9" x14ac:dyDescent="0.3">
      <c r="A15" t="s">
        <v>232</v>
      </c>
      <c r="B15">
        <v>38500</v>
      </c>
      <c r="C15">
        <v>1</v>
      </c>
    </row>
    <row r="16" spans="1:9" x14ac:dyDescent="0.3">
      <c r="A16" t="s">
        <v>62</v>
      </c>
      <c r="B16" s="109">
        <f>C10</f>
        <v>-240790.60632569823</v>
      </c>
      <c r="C16">
        <v>1</v>
      </c>
    </row>
    <row r="17" spans="1:3" x14ac:dyDescent="0.3">
      <c r="A17" t="s">
        <v>741</v>
      </c>
      <c r="B17" s="42">
        <f>B6</f>
        <v>-31174.008002423085</v>
      </c>
      <c r="C17" s="89">
        <f>E6</f>
        <v>0.1294652165967658</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rgb="FFFF0000"/>
  </sheetPr>
  <dimension ref="A1:BH209"/>
  <sheetViews>
    <sheetView zoomScale="70" zoomScaleNormal="70" workbookViewId="0">
      <selection activeCell="J4" sqref="J4"/>
    </sheetView>
  </sheetViews>
  <sheetFormatPr defaultColWidth="8.77734375" defaultRowHeight="14.4" x14ac:dyDescent="0.3"/>
  <cols>
    <col min="2" max="2" width="23.109375" bestFit="1" customWidth="1"/>
    <col min="3" max="4" width="17.109375" bestFit="1" customWidth="1"/>
    <col min="5" max="5" width="11.77734375" bestFit="1" customWidth="1"/>
    <col min="6" max="8" width="17.109375" bestFit="1" customWidth="1"/>
    <col min="9" max="9" width="11.5546875" bestFit="1" customWidth="1"/>
    <col min="10" max="10" width="18" bestFit="1" customWidth="1"/>
    <col min="11" max="11" width="16.33203125" bestFit="1" customWidth="1"/>
    <col min="12" max="12" width="17.109375" bestFit="1" customWidth="1"/>
    <col min="14" max="14" width="13.6640625" customWidth="1"/>
    <col min="15" max="15" width="13.77734375" bestFit="1" customWidth="1"/>
    <col min="16" max="16" width="17.109375" bestFit="1" customWidth="1"/>
    <col min="18" max="18" width="11.6640625" bestFit="1" customWidth="1"/>
    <col min="19" max="19" width="13.77734375" bestFit="1" customWidth="1"/>
    <col min="20" max="20" width="17.109375" bestFit="1" customWidth="1"/>
    <col min="22" max="22" width="18.44140625" customWidth="1"/>
    <col min="23" max="23" width="13.77734375" bestFit="1" customWidth="1"/>
    <col min="24" max="24" width="17.109375" bestFit="1" customWidth="1"/>
    <col min="25" max="25" width="17.109375" customWidth="1"/>
    <col min="26" max="26" width="13.88671875" customWidth="1"/>
    <col min="27" max="27" width="15.88671875" bestFit="1" customWidth="1"/>
    <col min="28" max="28" width="17.109375" bestFit="1" customWidth="1"/>
    <col min="30" max="30" width="15.88671875" customWidth="1"/>
    <col min="31" max="31" width="15.5546875" customWidth="1"/>
    <col min="32" max="32" width="11.77734375" bestFit="1" customWidth="1"/>
    <col min="34" max="34" width="12.6640625" bestFit="1" customWidth="1"/>
    <col min="35" max="35" width="16" customWidth="1"/>
    <col min="36" max="36" width="11.77734375" bestFit="1" customWidth="1"/>
    <col min="38" max="38" width="14.5546875" bestFit="1" customWidth="1"/>
    <col min="39" max="39" width="17.21875" customWidth="1"/>
    <col min="40" max="40" width="14.77734375" bestFit="1" customWidth="1"/>
    <col min="42" max="42" width="17.21875" bestFit="1" customWidth="1"/>
    <col min="43" max="43" width="15.5546875" customWidth="1"/>
    <col min="44" max="44" width="11.21875" bestFit="1" customWidth="1"/>
    <col min="46" max="46" width="10.44140625" bestFit="1" customWidth="1"/>
    <col min="47" max="47" width="12.21875" bestFit="1" customWidth="1"/>
    <col min="48" max="48" width="10.44140625" bestFit="1" customWidth="1"/>
    <col min="50" max="50" width="11.5546875" bestFit="1" customWidth="1"/>
    <col min="51" max="51" width="12.21875" bestFit="1" customWidth="1"/>
    <col min="52" max="52" width="10.44140625" bestFit="1" customWidth="1"/>
    <col min="54" max="54" width="9.44140625" bestFit="1" customWidth="1"/>
    <col min="55" max="55" width="12.21875" bestFit="1" customWidth="1"/>
    <col min="56" max="56" width="10.44140625" bestFit="1" customWidth="1"/>
    <col min="58" max="58" width="9.44140625" bestFit="1" customWidth="1"/>
    <col min="59" max="59" width="12.21875" bestFit="1" customWidth="1"/>
  </cols>
  <sheetData>
    <row r="1" spans="1:25" ht="15" thickBo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row>
    <row r="2" spans="1:25" ht="15" thickBot="1" x14ac:dyDescent="0.35">
      <c r="A2" s="110"/>
      <c r="B2" s="232" t="s">
        <v>813</v>
      </c>
      <c r="C2" s="233"/>
      <c r="D2" s="233"/>
      <c r="E2" s="233"/>
      <c r="F2" s="233"/>
      <c r="G2" s="233"/>
      <c r="H2" s="233"/>
      <c r="I2" s="233"/>
      <c r="J2" s="233"/>
      <c r="K2" s="233"/>
      <c r="L2" s="233"/>
      <c r="M2" s="233"/>
      <c r="N2" s="233"/>
      <c r="O2" s="233"/>
      <c r="P2" s="233"/>
      <c r="Q2" s="233"/>
      <c r="R2" s="233"/>
      <c r="S2" s="233"/>
      <c r="T2" s="234"/>
      <c r="U2" s="111"/>
      <c r="V2" s="111"/>
      <c r="W2" s="111"/>
      <c r="X2" s="111"/>
      <c r="Y2" s="111"/>
    </row>
    <row r="3" spans="1:25" ht="15" thickBot="1" x14ac:dyDescent="0.35">
      <c r="A3" s="110"/>
      <c r="B3" s="111"/>
      <c r="C3" s="110"/>
      <c r="D3" s="110"/>
      <c r="E3" s="110"/>
      <c r="F3" s="110"/>
      <c r="G3" s="110"/>
      <c r="H3" s="110"/>
      <c r="I3" s="110"/>
      <c r="J3" s="110"/>
      <c r="K3" s="110"/>
      <c r="L3" s="110"/>
      <c r="M3" s="110"/>
      <c r="N3" s="110"/>
      <c r="O3" s="110"/>
      <c r="P3" s="110"/>
      <c r="Q3" s="110"/>
      <c r="R3" s="110"/>
      <c r="S3" s="110"/>
      <c r="T3" s="110"/>
      <c r="U3" s="110"/>
      <c r="V3" s="110"/>
      <c r="W3" s="110"/>
      <c r="X3" s="110"/>
      <c r="Y3" s="110"/>
    </row>
    <row r="4" spans="1:25" ht="15" thickBot="1" x14ac:dyDescent="0.35">
      <c r="A4" s="110"/>
      <c r="B4" s="112" t="s">
        <v>742</v>
      </c>
      <c r="C4" s="113"/>
      <c r="D4" s="114"/>
      <c r="E4" s="110"/>
      <c r="F4" s="110"/>
      <c r="G4" s="110"/>
      <c r="H4" s="188" t="s">
        <v>794</v>
      </c>
      <c r="I4" s="189"/>
      <c r="J4" s="187">
        <v>0</v>
      </c>
      <c r="K4" s="110"/>
      <c r="L4" s="110"/>
      <c r="M4" s="110"/>
      <c r="N4" s="110"/>
      <c r="O4" s="110"/>
      <c r="P4" s="110"/>
      <c r="Q4" s="110"/>
      <c r="R4" s="110"/>
      <c r="S4" s="110"/>
      <c r="T4" s="110"/>
      <c r="U4" s="110"/>
      <c r="V4" s="110"/>
      <c r="W4" s="110"/>
      <c r="X4" s="110"/>
      <c r="Y4" s="110"/>
    </row>
    <row r="5" spans="1:25" x14ac:dyDescent="0.3">
      <c r="A5" s="110"/>
      <c r="B5" s="115" t="s">
        <v>743</v>
      </c>
      <c r="C5" s="116">
        <f>Output!C10</f>
        <v>-240790.60632569823</v>
      </c>
      <c r="D5" s="117" t="s">
        <v>744</v>
      </c>
      <c r="E5" s="110"/>
      <c r="F5" s="110">
        <f>VALUE(C5)</f>
        <v>-240790.60632569823</v>
      </c>
      <c r="G5" s="110"/>
      <c r="H5" s="110" t="s">
        <v>795</v>
      </c>
      <c r="I5" s="110"/>
      <c r="J5" s="110"/>
      <c r="K5" s="110"/>
      <c r="L5" s="110"/>
      <c r="M5" s="110"/>
      <c r="N5" s="110"/>
      <c r="O5" s="110"/>
      <c r="P5" s="110"/>
      <c r="Q5" s="110"/>
      <c r="R5" s="110"/>
      <c r="S5" s="110"/>
      <c r="T5" s="110"/>
      <c r="U5" s="110"/>
      <c r="V5" s="110"/>
      <c r="W5" s="110"/>
      <c r="X5" s="110"/>
      <c r="Y5" s="110"/>
    </row>
    <row r="6" spans="1:25" ht="15" thickBot="1" x14ac:dyDescent="0.35">
      <c r="A6" s="110"/>
      <c r="B6" s="118" t="s">
        <v>745</v>
      </c>
      <c r="C6" s="119">
        <f>Output!C9</f>
        <v>36158.418841398568</v>
      </c>
      <c r="D6" s="120"/>
      <c r="E6" s="110"/>
      <c r="F6" s="110"/>
      <c r="G6" s="110"/>
      <c r="H6" s="110"/>
      <c r="I6" s="110"/>
      <c r="J6" s="110"/>
      <c r="K6" s="110"/>
      <c r="L6" s="110"/>
      <c r="M6" s="110"/>
      <c r="N6" s="110"/>
      <c r="O6" s="110"/>
      <c r="P6" s="110"/>
      <c r="Q6" s="110"/>
      <c r="R6" s="110"/>
      <c r="S6" s="110"/>
      <c r="T6" s="110"/>
      <c r="U6" s="110"/>
      <c r="V6" s="110"/>
      <c r="W6" s="110"/>
      <c r="X6" s="110"/>
      <c r="Y6" s="110"/>
    </row>
    <row r="7" spans="1:25" ht="15" thickBot="1" x14ac:dyDescent="0.35">
      <c r="A7" s="110"/>
      <c r="B7" s="110"/>
      <c r="C7" s="110"/>
      <c r="D7" s="110"/>
      <c r="E7" s="110"/>
      <c r="F7" s="110"/>
      <c r="G7" s="110"/>
      <c r="H7" s="235" t="s">
        <v>790</v>
      </c>
      <c r="I7" s="236"/>
      <c r="J7" s="236"/>
      <c r="K7" s="237"/>
      <c r="L7" s="110"/>
      <c r="M7" s="110"/>
      <c r="N7" s="110"/>
      <c r="O7" s="110"/>
      <c r="P7" s="110"/>
      <c r="Q7" s="110"/>
      <c r="R7" s="110"/>
      <c r="S7" s="110"/>
      <c r="T7" s="110"/>
      <c r="U7" s="110"/>
      <c r="V7" s="110"/>
      <c r="W7" s="110"/>
      <c r="X7" s="110"/>
      <c r="Y7" s="110"/>
    </row>
    <row r="8" spans="1:25" ht="14.55" customHeight="1" x14ac:dyDescent="0.3">
      <c r="A8" s="110"/>
      <c r="B8" s="238" t="s">
        <v>746</v>
      </c>
      <c r="C8" s="240" t="s">
        <v>812</v>
      </c>
      <c r="D8" s="121"/>
      <c r="E8" s="110"/>
      <c r="F8" s="110"/>
      <c r="G8" s="110"/>
      <c r="H8" s="110"/>
      <c r="I8" s="110"/>
      <c r="J8" s="110"/>
      <c r="K8" s="110"/>
      <c r="L8" s="110"/>
      <c r="M8" s="110"/>
      <c r="N8" s="110"/>
      <c r="O8" s="110"/>
      <c r="P8" s="110"/>
      <c r="Q8" s="110"/>
      <c r="R8" s="110"/>
      <c r="S8" s="110"/>
      <c r="T8" s="110"/>
      <c r="U8" s="110"/>
      <c r="V8" s="110"/>
      <c r="W8" s="110"/>
      <c r="X8" s="110"/>
      <c r="Y8" s="110"/>
    </row>
    <row r="9" spans="1:25" ht="15" thickBot="1" x14ac:dyDescent="0.35">
      <c r="A9" s="110" t="s">
        <v>783</v>
      </c>
      <c r="B9" s="239"/>
      <c r="C9" s="241"/>
      <c r="D9" s="63" t="s">
        <v>791</v>
      </c>
      <c r="E9" s="183" t="s">
        <v>747</v>
      </c>
      <c r="F9" s="184" t="s">
        <v>748</v>
      </c>
      <c r="G9" s="184" t="s">
        <v>749</v>
      </c>
      <c r="H9" s="184" t="s">
        <v>793</v>
      </c>
      <c r="I9" s="184" t="s">
        <v>789</v>
      </c>
      <c r="J9" s="184" t="s">
        <v>797</v>
      </c>
      <c r="K9" s="63" t="s">
        <v>792</v>
      </c>
      <c r="L9" s="183" t="s">
        <v>32</v>
      </c>
      <c r="M9" s="110" t="s">
        <v>806</v>
      </c>
      <c r="N9" s="110"/>
      <c r="O9" s="110"/>
      <c r="P9" s="110"/>
      <c r="Q9" s="110"/>
      <c r="R9" s="110"/>
      <c r="S9" s="110"/>
      <c r="T9" s="110"/>
      <c r="U9" s="110"/>
      <c r="V9" s="110"/>
      <c r="W9" s="110"/>
      <c r="X9" s="110"/>
      <c r="Y9" s="110"/>
    </row>
    <row r="10" spans="1:25" x14ac:dyDescent="0.3">
      <c r="A10" s="110">
        <v>2300</v>
      </c>
      <c r="B10" s="122" t="s">
        <v>278</v>
      </c>
      <c r="C10" s="222">
        <f>IF($J$4=0,D10,K10)</f>
        <v>2300</v>
      </c>
      <c r="D10">
        <v>2300</v>
      </c>
      <c r="E10" s="216">
        <f>A10-(A10/2)</f>
        <v>1150</v>
      </c>
      <c r="F10" s="42">
        <f>A10+(A10/2)</f>
        <v>3450</v>
      </c>
      <c r="G10" s="125">
        <f t="shared" ref="G10:G19" si="0">(F10-E10)/30</f>
        <v>76.666666666666671</v>
      </c>
      <c r="H10" s="73" t="s">
        <v>796</v>
      </c>
      <c r="I10" s="73"/>
      <c r="J10" s="73"/>
      <c r="K10" s="73">
        <f>D10</f>
        <v>2300</v>
      </c>
      <c r="M10" s="110"/>
      <c r="N10" s="110"/>
      <c r="O10" s="110"/>
      <c r="P10" s="110"/>
      <c r="Q10" s="110"/>
      <c r="R10" s="110"/>
      <c r="S10" s="110"/>
      <c r="T10" s="110"/>
      <c r="U10" s="110"/>
      <c r="V10" s="110"/>
      <c r="W10" s="110"/>
      <c r="X10" s="110"/>
    </row>
    <row r="11" spans="1:25" x14ac:dyDescent="0.3">
      <c r="A11" s="110">
        <v>0.10100000000000001</v>
      </c>
      <c r="B11" s="122" t="s">
        <v>314</v>
      </c>
      <c r="C11" s="223">
        <f t="shared" ref="C11:C50" si="1">IF($J$4=0,D11,K11)</f>
        <v>0.10100000000000001</v>
      </c>
      <c r="D11">
        <v>0.10100000000000001</v>
      </c>
      <c r="E11" s="216">
        <f>A11-(A11/2)</f>
        <v>5.0500000000000003E-2</v>
      </c>
      <c r="F11" s="22">
        <f>A11+(A11/2)</f>
        <v>0.15150000000000002</v>
      </c>
      <c r="G11" s="126">
        <f t="shared" si="0"/>
        <v>3.3666666666666675E-3</v>
      </c>
      <c r="H11" s="88">
        <f>LN(D11)</f>
        <v>-2.2926347621408776</v>
      </c>
      <c r="I11" s="88"/>
      <c r="J11" s="88">
        <f>(LN(F11)-LN(E11))/(1.96*2)</f>
        <v>0.28025823690513013</v>
      </c>
      <c r="K11" s="88">
        <f ca="1">EXP(NORMINV(RAND(),H11,J11))</f>
        <v>7.4223811892545385E-2</v>
      </c>
      <c r="M11" s="110" t="s">
        <v>807</v>
      </c>
      <c r="N11" s="110"/>
      <c r="O11" s="110"/>
      <c r="P11" s="110"/>
      <c r="Q11" s="110"/>
      <c r="R11" s="110"/>
      <c r="S11" s="110"/>
      <c r="T11" s="110"/>
      <c r="U11" s="110"/>
      <c r="V11" s="110"/>
      <c r="W11" s="110"/>
      <c r="X11" s="110"/>
    </row>
    <row r="12" spans="1:25" x14ac:dyDescent="0.3">
      <c r="A12" s="110">
        <v>0.76</v>
      </c>
      <c r="B12" s="122" t="s">
        <v>646</v>
      </c>
      <c r="C12" s="223">
        <f t="shared" si="1"/>
        <v>0.76</v>
      </c>
      <c r="D12" s="185">
        <v>0.76</v>
      </c>
      <c r="E12" s="217">
        <v>0.69</v>
      </c>
      <c r="F12" s="185">
        <v>0.84</v>
      </c>
      <c r="G12" s="186">
        <f t="shared" si="0"/>
        <v>5.000000000000001E-3</v>
      </c>
      <c r="H12" s="88">
        <f>LN(D12)</f>
        <v>-0.2744368457017603</v>
      </c>
      <c r="I12" s="88"/>
      <c r="J12" s="88">
        <f>(LN(F12)-LN(E12))/(1.96*2)</f>
        <v>5.0181197511748536E-2</v>
      </c>
      <c r="K12" s="88">
        <f ca="1">EXP(NORMINV(RAND(),H12,J12))</f>
        <v>0.77479675565874007</v>
      </c>
      <c r="M12" s="110" t="s">
        <v>807</v>
      </c>
      <c r="N12" s="110"/>
      <c r="O12" s="110"/>
      <c r="P12" s="110"/>
      <c r="Q12" s="110"/>
      <c r="R12" s="110"/>
      <c r="S12" s="110"/>
      <c r="T12" s="110"/>
      <c r="U12" s="110"/>
      <c r="V12" s="110"/>
      <c r="W12" s="110"/>
      <c r="X12" s="110"/>
    </row>
    <row r="13" spans="1:25" x14ac:dyDescent="0.3">
      <c r="A13" s="110">
        <v>0.71</v>
      </c>
      <c r="B13" s="122" t="s">
        <v>315</v>
      </c>
      <c r="C13" s="223">
        <f t="shared" si="1"/>
        <v>0.71</v>
      </c>
      <c r="D13" s="185">
        <v>0.71</v>
      </c>
      <c r="E13" s="217">
        <v>0.63</v>
      </c>
      <c r="F13" s="185">
        <v>0.82</v>
      </c>
      <c r="G13" s="186">
        <f t="shared" si="0"/>
        <v>6.3333333333333314E-3</v>
      </c>
      <c r="H13" s="88">
        <f t="shared" ref="H13:H15" si="2">LN(D13)</f>
        <v>-0.34249030894677601</v>
      </c>
      <c r="I13" s="88"/>
      <c r="J13" s="88">
        <f t="shared" ref="J13:J15" si="3">(LN(F13)-LN(E13))/(1.96*2)</f>
        <v>6.7240949202224579E-2</v>
      </c>
      <c r="K13" s="88">
        <f t="shared" ref="K13:K15" ca="1" si="4">EXP(NORMINV(RAND(),H13,J13))</f>
        <v>0.6756430467258705</v>
      </c>
      <c r="M13" s="110" t="s">
        <v>807</v>
      </c>
      <c r="N13" s="110"/>
      <c r="O13" s="110"/>
      <c r="P13" s="110"/>
      <c r="Q13" s="110"/>
      <c r="R13" s="110"/>
      <c r="S13" s="110"/>
      <c r="T13" s="110"/>
      <c r="U13" s="110"/>
      <c r="V13" s="110"/>
      <c r="W13" s="110"/>
      <c r="X13" s="110"/>
    </row>
    <row r="14" spans="1:25" x14ac:dyDescent="0.3">
      <c r="A14" s="110">
        <v>0.9</v>
      </c>
      <c r="B14" s="122" t="s">
        <v>316</v>
      </c>
      <c r="C14" s="223">
        <f t="shared" si="1"/>
        <v>0.9</v>
      </c>
      <c r="D14" s="185">
        <v>0.9</v>
      </c>
      <c r="E14" s="217">
        <v>0.82</v>
      </c>
      <c r="F14" s="185">
        <v>0.99</v>
      </c>
      <c r="G14" s="186">
        <f t="shared" si="0"/>
        <v>5.6666666666666679E-3</v>
      </c>
      <c r="H14" s="88">
        <f t="shared" si="2"/>
        <v>-0.10536051565782628</v>
      </c>
      <c r="I14" s="88"/>
      <c r="J14" s="88">
        <f t="shared" si="3"/>
        <v>4.8061378283249197E-2</v>
      </c>
      <c r="K14" s="88">
        <f t="shared" ca="1" si="4"/>
        <v>0.92262636027306999</v>
      </c>
      <c r="M14" s="110" t="s">
        <v>807</v>
      </c>
      <c r="N14" s="110"/>
      <c r="O14" s="110"/>
      <c r="P14" s="110"/>
      <c r="Q14" s="110"/>
      <c r="R14" s="110"/>
      <c r="S14" s="110"/>
      <c r="T14" s="110"/>
      <c r="U14" s="110"/>
      <c r="V14" s="110"/>
      <c r="W14" s="110"/>
      <c r="X14" s="110"/>
    </row>
    <row r="15" spans="1:25" x14ac:dyDescent="0.3">
      <c r="A15" s="110">
        <v>9.2999999999999999E-2</v>
      </c>
      <c r="B15" s="122" t="s">
        <v>675</v>
      </c>
      <c r="C15" s="223">
        <f>IF($J$4=0,D15,K15)</f>
        <v>9.2999999999999999E-2</v>
      </c>
      <c r="D15" s="185">
        <v>9.2999999999999999E-2</v>
      </c>
      <c r="E15" s="217">
        <f>A15-(A15/2)</f>
        <v>4.65E-2</v>
      </c>
      <c r="F15" s="185">
        <f>A15+(A15/2)</f>
        <v>0.13950000000000001</v>
      </c>
      <c r="G15" s="186">
        <f t="shared" si="0"/>
        <v>3.1000000000000003E-3</v>
      </c>
      <c r="H15" s="88">
        <f t="shared" si="2"/>
        <v>-2.375155785828881</v>
      </c>
      <c r="I15" s="88"/>
      <c r="J15" s="88">
        <f t="shared" si="3"/>
        <v>0.28025823690513008</v>
      </c>
      <c r="K15" s="88">
        <f t="shared" ca="1" si="4"/>
        <v>0.15439083109628146</v>
      </c>
      <c r="M15" s="110" t="s">
        <v>807</v>
      </c>
      <c r="N15" s="110"/>
      <c r="O15" s="110"/>
      <c r="P15" s="110"/>
      <c r="Q15" s="110"/>
      <c r="R15" s="110"/>
      <c r="S15" s="110"/>
      <c r="T15" s="110"/>
      <c r="U15" s="110"/>
      <c r="V15" s="110"/>
      <c r="W15" s="110"/>
      <c r="X15" s="110"/>
    </row>
    <row r="16" spans="1:25" x14ac:dyDescent="0.3">
      <c r="A16" s="110">
        <v>38500</v>
      </c>
      <c r="B16" s="122" t="s">
        <v>232</v>
      </c>
      <c r="C16" s="222">
        <v>38500</v>
      </c>
      <c r="D16">
        <f>cRatio</f>
        <v>0</v>
      </c>
      <c r="E16" s="218">
        <f>$A$16-($A$16/2)</f>
        <v>19250</v>
      </c>
      <c r="F16" s="125">
        <f>A16+(A16/2)</f>
        <v>57750</v>
      </c>
      <c r="G16" s="125">
        <f t="shared" si="0"/>
        <v>1283.3333333333333</v>
      </c>
      <c r="H16" s="73" t="s">
        <v>796</v>
      </c>
      <c r="I16" s="73"/>
      <c r="J16" s="73"/>
      <c r="K16" s="73">
        <v>38500</v>
      </c>
      <c r="M16" s="110"/>
      <c r="N16" s="110"/>
      <c r="O16" s="110"/>
      <c r="P16" s="110"/>
      <c r="Q16" s="110"/>
      <c r="R16" s="110"/>
      <c r="S16" s="110"/>
      <c r="T16" s="110"/>
      <c r="U16" s="110"/>
      <c r="V16" s="110"/>
      <c r="W16" s="110"/>
      <c r="X16" s="110"/>
    </row>
    <row r="17" spans="1:24" x14ac:dyDescent="0.3">
      <c r="A17" s="110">
        <v>0.13300000000000001</v>
      </c>
      <c r="B17" s="122" t="s">
        <v>750</v>
      </c>
      <c r="C17" s="223">
        <f t="shared" si="1"/>
        <v>0.13300000000000001</v>
      </c>
      <c r="D17">
        <v>0.13300000000000001</v>
      </c>
      <c r="E17" s="219">
        <v>8.5999999999999993E-2</v>
      </c>
      <c r="F17" s="186">
        <v>0.192</v>
      </c>
      <c r="G17" s="127">
        <f t="shared" si="0"/>
        <v>3.5333333333333336E-3</v>
      </c>
      <c r="H17" s="185">
        <f>D17*(((D17*(1-D17))/J17^2)-1)</f>
        <v>21.2712995746529</v>
      </c>
      <c r="I17" s="185">
        <f>H17*(1-D17)/D17</f>
        <v>138.663283693414</v>
      </c>
      <c r="J17" s="185">
        <f t="shared" ref="J17" si="5">(F17-E17)/3.96</f>
        <v>2.676767676767677E-2</v>
      </c>
      <c r="K17" s="88">
        <f ca="1">BETAINV(RAND(),H17,I17)</f>
        <v>0.1208583220301379</v>
      </c>
      <c r="M17" s="110" t="s">
        <v>808</v>
      </c>
      <c r="N17" s="110"/>
      <c r="O17" s="110"/>
      <c r="P17" s="110"/>
      <c r="Q17" s="110"/>
      <c r="R17" s="110"/>
      <c r="S17" s="110"/>
      <c r="T17" s="110"/>
      <c r="U17" s="110"/>
      <c r="V17" s="110"/>
      <c r="W17" s="110"/>
      <c r="X17" s="110"/>
    </row>
    <row r="18" spans="1:24" x14ac:dyDescent="0.3">
      <c r="A18" s="110">
        <v>6.0999999999999999E-2</v>
      </c>
      <c r="B18" s="122" t="s">
        <v>751</v>
      </c>
      <c r="C18" s="223">
        <f t="shared" si="1"/>
        <v>6.0999999999999999E-2</v>
      </c>
      <c r="D18">
        <v>6.0999999999999999E-2</v>
      </c>
      <c r="E18" s="219">
        <v>0.04</v>
      </c>
      <c r="F18" s="186">
        <v>8.8999999999999996E-2</v>
      </c>
      <c r="G18" s="127">
        <f t="shared" si="0"/>
        <v>1.6333333333333332E-3</v>
      </c>
      <c r="H18" s="185">
        <f>D18*(((D18*(1-D18))/J18^2)-1)</f>
        <v>22.759411641149526</v>
      </c>
      <c r="I18" s="185">
        <f>H18*(1-D18)/D18</f>
        <v>350.3456972301542</v>
      </c>
      <c r="J18" s="185">
        <f t="shared" ref="J18" si="6">(F18-E18)/3.96</f>
        <v>1.2373737373737372E-2</v>
      </c>
      <c r="K18" s="88">
        <f ca="1">BETAINV(RAND(),H18,I18)</f>
        <v>5.830930143282672E-2</v>
      </c>
      <c r="M18" s="110" t="s">
        <v>808</v>
      </c>
      <c r="N18" s="110"/>
      <c r="O18" s="110"/>
      <c r="P18" s="110"/>
      <c r="Q18" s="110"/>
      <c r="R18" s="110"/>
      <c r="S18" s="110"/>
      <c r="T18" s="110"/>
      <c r="U18" s="110"/>
      <c r="V18" s="110"/>
      <c r="W18" s="110"/>
      <c r="X18" s="110"/>
    </row>
    <row r="19" spans="1:24" x14ac:dyDescent="0.3">
      <c r="A19" s="110">
        <v>0.83099999999999996</v>
      </c>
      <c r="B19" s="122" t="s">
        <v>202</v>
      </c>
      <c r="C19" s="223">
        <f t="shared" si="1"/>
        <v>0.83099999999999996</v>
      </c>
      <c r="D19">
        <v>0.83099999999999996</v>
      </c>
      <c r="E19" s="219">
        <v>0.69</v>
      </c>
      <c r="F19" s="186">
        <v>1</v>
      </c>
      <c r="G19" s="127">
        <f t="shared" si="0"/>
        <v>1.0333333333333335E-2</v>
      </c>
      <c r="H19" s="185">
        <f t="shared" ref="H19:H38" si="7">D19*(((D19*(1-D19))/J19^2)-1)</f>
        <v>18.212893161440164</v>
      </c>
      <c r="I19" s="185">
        <f t="shared" ref="I19:I38" si="8">H19*(1-D19)/D19</f>
        <v>3.7039457813277838</v>
      </c>
      <c r="J19" s="185">
        <f t="shared" ref="J19:J38" si="9">(F19-E19)/3.96</f>
        <v>7.8282828282828301E-2</v>
      </c>
      <c r="K19" s="88">
        <f t="shared" ref="K19:K38" ca="1" si="10">BETAINV(RAND(),H19,I19)</f>
        <v>0.65233768275596371</v>
      </c>
      <c r="M19" s="110" t="s">
        <v>808</v>
      </c>
      <c r="N19" s="110"/>
      <c r="O19" s="110"/>
      <c r="P19" s="110"/>
      <c r="Q19" s="110"/>
      <c r="R19" s="110"/>
      <c r="S19" s="110"/>
      <c r="T19" s="110"/>
      <c r="U19" s="110"/>
      <c r="V19" s="110"/>
      <c r="W19" s="110"/>
      <c r="X19" s="110"/>
    </row>
    <row r="20" spans="1:24" x14ac:dyDescent="0.3">
      <c r="A20" s="110">
        <v>0.98357700000000003</v>
      </c>
      <c r="B20" s="122" t="s">
        <v>364</v>
      </c>
      <c r="C20" s="223">
        <f t="shared" si="1"/>
        <v>0.98357700000000003</v>
      </c>
      <c r="D20">
        <v>0.98357700000000003</v>
      </c>
      <c r="E20" s="220">
        <f>D20-(F20-D20)</f>
        <v>0.96715400000000007</v>
      </c>
      <c r="F20" s="186">
        <v>1</v>
      </c>
      <c r="G20" s="127">
        <f>(F20-E20)/30</f>
        <v>1.0948666666666643E-3</v>
      </c>
      <c r="H20" s="185">
        <f t="shared" si="7"/>
        <v>229.95400638961576</v>
      </c>
      <c r="I20" s="185">
        <f t="shared" si="8"/>
        <v>3.8395922707999999</v>
      </c>
      <c r="J20" s="185">
        <f t="shared" si="9"/>
        <v>8.2944444444444272E-3</v>
      </c>
      <c r="K20" s="88">
        <f t="shared" ca="1" si="10"/>
        <v>0.98836040277311765</v>
      </c>
      <c r="M20" s="110" t="s">
        <v>808</v>
      </c>
      <c r="N20" s="110"/>
      <c r="O20" s="110"/>
      <c r="P20" s="110"/>
      <c r="Q20" s="110"/>
      <c r="R20" s="110"/>
      <c r="S20" s="110"/>
      <c r="T20" s="110"/>
      <c r="U20" s="110"/>
      <c r="V20" s="110"/>
      <c r="W20" s="110"/>
      <c r="X20" s="110"/>
    </row>
    <row r="21" spans="1:24" x14ac:dyDescent="0.3">
      <c r="A21" s="110">
        <v>0.96843702579666158</v>
      </c>
      <c r="B21" s="122" t="s">
        <v>365</v>
      </c>
      <c r="C21" s="223">
        <f t="shared" si="1"/>
        <v>0.96843702579666158</v>
      </c>
      <c r="D21">
        <v>0.96843702579666158</v>
      </c>
      <c r="E21" s="220">
        <f>D21-(F21-D21)</f>
        <v>0.93687405159332315</v>
      </c>
      <c r="F21" s="186">
        <v>1</v>
      </c>
      <c r="G21" s="127">
        <f t="shared" ref="G21:G38" si="11">(F21-E21)/30</f>
        <v>2.1041982802225616E-3</v>
      </c>
      <c r="H21" s="185">
        <f t="shared" si="7"/>
        <v>115.52332938134691</v>
      </c>
      <c r="I21" s="185">
        <f t="shared" si="8"/>
        <v>3.7650975417298937</v>
      </c>
      <c r="J21" s="185">
        <f t="shared" si="9"/>
        <v>1.5940896062292133E-2</v>
      </c>
      <c r="K21" s="88">
        <f t="shared" ca="1" si="10"/>
        <v>0.98067687249823443</v>
      </c>
      <c r="M21" s="110" t="s">
        <v>808</v>
      </c>
      <c r="N21" s="110"/>
      <c r="O21" s="110"/>
      <c r="P21" s="110"/>
      <c r="Q21" s="110"/>
      <c r="R21" s="110"/>
      <c r="S21" s="110"/>
      <c r="T21" s="110"/>
      <c r="U21" s="110"/>
      <c r="V21" s="110"/>
      <c r="W21" s="110"/>
      <c r="X21" s="110"/>
    </row>
    <row r="22" spans="1:24" x14ac:dyDescent="0.3">
      <c r="A22" s="110">
        <v>0.82518226002430128</v>
      </c>
      <c r="B22" s="122" t="s">
        <v>752</v>
      </c>
      <c r="C22" s="223">
        <f t="shared" si="1"/>
        <v>0.82518226002430128</v>
      </c>
      <c r="D22">
        <v>0.82518226002430128</v>
      </c>
      <c r="E22" s="220">
        <f>D22-(F22-D22)</f>
        <v>0.65036452004860257</v>
      </c>
      <c r="F22" s="186">
        <v>1</v>
      </c>
      <c r="G22" s="127">
        <f t="shared" si="11"/>
        <v>1.1654515998379914E-2</v>
      </c>
      <c r="H22" s="185">
        <f t="shared" si="7"/>
        <v>14.445014910643492</v>
      </c>
      <c r="I22" s="185">
        <f t="shared" si="8"/>
        <v>3.0602267922235717</v>
      </c>
      <c r="J22" s="185">
        <f t="shared" si="9"/>
        <v>8.8291787866514509E-2</v>
      </c>
      <c r="K22" s="88">
        <f t="shared" ca="1" si="10"/>
        <v>0.57271522210827308</v>
      </c>
      <c r="L22" s="110"/>
      <c r="M22" s="110" t="s">
        <v>808</v>
      </c>
      <c r="N22" s="110"/>
      <c r="O22" s="110"/>
      <c r="P22" s="110"/>
      <c r="Q22" s="110"/>
      <c r="R22" s="110"/>
      <c r="S22" s="110"/>
      <c r="T22" s="110"/>
      <c r="U22" s="110"/>
      <c r="V22" s="110"/>
      <c r="W22" s="110"/>
      <c r="X22" s="110"/>
    </row>
    <row r="23" spans="1:24" x14ac:dyDescent="0.3">
      <c r="A23" s="110">
        <v>0.82661996497373025</v>
      </c>
      <c r="B23" s="122" t="s">
        <v>753</v>
      </c>
      <c r="C23" s="223">
        <f t="shared" si="1"/>
        <v>0.82661996497373025</v>
      </c>
      <c r="D23">
        <v>0.82661996497373025</v>
      </c>
      <c r="E23" s="220">
        <f t="shared" ref="E23:E24" si="12">D23-(F23-D23)</f>
        <v>0.6532399299474605</v>
      </c>
      <c r="F23" s="186">
        <v>1</v>
      </c>
      <c r="G23" s="127">
        <f t="shared" si="11"/>
        <v>1.1558669001751317E-2</v>
      </c>
      <c r="H23" s="185">
        <f t="shared" si="7"/>
        <v>14.62389912434325</v>
      </c>
      <c r="I23" s="185">
        <f t="shared" si="8"/>
        <v>3.0673008756567421</v>
      </c>
      <c r="J23" s="185">
        <f t="shared" si="9"/>
        <v>8.7565674255691797E-2</v>
      </c>
      <c r="K23" s="88">
        <f t="shared" ca="1" si="10"/>
        <v>0.8008015629853551</v>
      </c>
      <c r="L23" s="110"/>
      <c r="M23" s="110" t="s">
        <v>808</v>
      </c>
      <c r="N23" s="110"/>
      <c r="O23" s="110"/>
      <c r="P23" s="110"/>
      <c r="Q23" s="110"/>
      <c r="R23" s="110"/>
      <c r="S23" s="110"/>
      <c r="T23" s="110"/>
      <c r="U23" s="110"/>
      <c r="V23" s="110"/>
      <c r="W23" s="110"/>
      <c r="X23" s="110"/>
    </row>
    <row r="24" spans="1:24" x14ac:dyDescent="0.3">
      <c r="A24" s="110">
        <v>0.68135593220338986</v>
      </c>
      <c r="B24" s="122" t="s">
        <v>754</v>
      </c>
      <c r="C24" s="223">
        <f t="shared" si="1"/>
        <v>0.68135593220338986</v>
      </c>
      <c r="D24">
        <v>0.68135593220338986</v>
      </c>
      <c r="E24" s="220">
        <f t="shared" si="12"/>
        <v>0.36271186440677972</v>
      </c>
      <c r="F24" s="186">
        <v>1</v>
      </c>
      <c r="G24" s="127">
        <f t="shared" si="11"/>
        <v>2.1242937853107342E-2</v>
      </c>
      <c r="H24" s="185">
        <f t="shared" si="7"/>
        <v>5.0304392499098451</v>
      </c>
      <c r="I24" s="185">
        <f t="shared" si="8"/>
        <v>2.3525437288135591</v>
      </c>
      <c r="J24" s="185">
        <f t="shared" si="9"/>
        <v>0.16093134737202533</v>
      </c>
      <c r="K24" s="88">
        <f t="shared" ca="1" si="10"/>
        <v>0.82772350295249075</v>
      </c>
      <c r="L24" s="110"/>
      <c r="M24" s="110" t="s">
        <v>808</v>
      </c>
      <c r="N24" s="110"/>
      <c r="O24" s="110"/>
      <c r="P24" s="110"/>
      <c r="Q24" s="110"/>
      <c r="R24" s="110"/>
      <c r="S24" s="110"/>
      <c r="T24" s="110"/>
      <c r="U24" s="110"/>
      <c r="V24" s="110"/>
      <c r="W24" s="110"/>
      <c r="X24" s="110"/>
    </row>
    <row r="25" spans="1:24" x14ac:dyDescent="0.3">
      <c r="A25" s="110">
        <v>0.34769230769230769</v>
      </c>
      <c r="B25" s="122" t="s">
        <v>755</v>
      </c>
      <c r="C25" s="223">
        <f t="shared" si="1"/>
        <v>0.34769230769230769</v>
      </c>
      <c r="D25">
        <v>0.34769230769230769</v>
      </c>
      <c r="E25" s="220">
        <f t="shared" ref="E25:E26" si="13">D25*0.5</f>
        <v>0.17384615384615384</v>
      </c>
      <c r="F25" s="186">
        <f t="shared" ref="F25:F26" si="14">A25*1.5</f>
        <v>0.52153846153846151</v>
      </c>
      <c r="G25" s="127">
        <f t="shared" si="11"/>
        <v>1.1589743589743589E-2</v>
      </c>
      <c r="H25" s="185">
        <f t="shared" si="7"/>
        <v>9.8815360000000005</v>
      </c>
      <c r="I25" s="185">
        <f t="shared" si="8"/>
        <v>18.538810902654866</v>
      </c>
      <c r="J25" s="185">
        <f t="shared" si="9"/>
        <v>8.7801087801087793E-2</v>
      </c>
      <c r="K25" s="88">
        <f t="shared" ca="1" si="10"/>
        <v>0.33271455485329265</v>
      </c>
      <c r="L25" s="110"/>
      <c r="M25" s="110" t="s">
        <v>808</v>
      </c>
      <c r="N25" s="110"/>
      <c r="O25" s="110"/>
      <c r="P25" s="110"/>
      <c r="Q25" s="110"/>
      <c r="R25" s="110"/>
      <c r="S25" s="110"/>
      <c r="T25" s="110"/>
      <c r="U25" s="110"/>
      <c r="V25" s="110"/>
      <c r="W25" s="110"/>
      <c r="X25" s="110"/>
    </row>
    <row r="26" spans="1:24" x14ac:dyDescent="0.3">
      <c r="A26" s="110">
        <v>0.44409547738693467</v>
      </c>
      <c r="B26" s="122" t="s">
        <v>756</v>
      </c>
      <c r="C26" s="223">
        <f t="shared" si="1"/>
        <v>0.44409547738693467</v>
      </c>
      <c r="D26">
        <v>0.44409547738693467</v>
      </c>
      <c r="E26" s="220">
        <f t="shared" si="13"/>
        <v>0.22204773869346733</v>
      </c>
      <c r="F26" s="186">
        <f t="shared" si="14"/>
        <v>0.66614321608040195</v>
      </c>
      <c r="G26" s="127">
        <f t="shared" si="11"/>
        <v>1.4803182579564486E-2</v>
      </c>
      <c r="H26" s="185">
        <f t="shared" si="7"/>
        <v>8.2733768844221132</v>
      </c>
      <c r="I26" s="185">
        <f t="shared" si="8"/>
        <v>10.356348716709434</v>
      </c>
      <c r="J26" s="185">
        <f t="shared" si="9"/>
        <v>0.11214532257245824</v>
      </c>
      <c r="K26" s="88">
        <f t="shared" ca="1" si="10"/>
        <v>0.34408203415074573</v>
      </c>
      <c r="L26" s="110"/>
      <c r="M26" s="110" t="s">
        <v>808</v>
      </c>
      <c r="N26" s="110"/>
      <c r="O26" s="110"/>
      <c r="P26" s="110"/>
      <c r="Q26" s="110"/>
      <c r="R26" s="110"/>
      <c r="S26" s="110"/>
      <c r="T26" s="110"/>
      <c r="U26" s="110"/>
      <c r="V26" s="110"/>
      <c r="W26" s="110"/>
      <c r="X26" s="110"/>
    </row>
    <row r="27" spans="1:24" x14ac:dyDescent="0.3">
      <c r="A27" s="110">
        <v>0.81004360154892219</v>
      </c>
      <c r="B27" s="122" t="s">
        <v>757</v>
      </c>
      <c r="C27" s="223">
        <f t="shared" si="1"/>
        <v>0.81004360154892219</v>
      </c>
      <c r="D27">
        <v>0.81004360154892219</v>
      </c>
      <c r="E27" s="220">
        <f t="shared" ref="E27" si="15">D27-(F27-D27)</f>
        <v>0.62008720309784437</v>
      </c>
      <c r="F27" s="186">
        <v>1</v>
      </c>
      <c r="G27" s="127">
        <f t="shared" si="11"/>
        <v>1.266375989673852E-2</v>
      </c>
      <c r="H27" s="185">
        <f t="shared" si="7"/>
        <v>12.732281816068703</v>
      </c>
      <c r="I27" s="185">
        <f t="shared" si="8"/>
        <v>2.9857385370613168</v>
      </c>
      <c r="J27" s="185">
        <f t="shared" si="9"/>
        <v>9.5937574975291831E-2</v>
      </c>
      <c r="K27" s="88">
        <f t="shared" ca="1" si="10"/>
        <v>0.94533334485247777</v>
      </c>
      <c r="L27" s="110"/>
      <c r="M27" s="110" t="s">
        <v>808</v>
      </c>
      <c r="N27" s="110"/>
      <c r="O27" s="110"/>
      <c r="P27" s="110"/>
      <c r="Q27" s="110"/>
      <c r="R27" s="110"/>
      <c r="S27" s="110"/>
      <c r="T27" s="110"/>
      <c r="U27" s="110"/>
      <c r="V27" s="110"/>
      <c r="W27" s="110"/>
      <c r="X27" s="110"/>
    </row>
    <row r="28" spans="1:24" x14ac:dyDescent="0.3">
      <c r="A28" s="110">
        <v>8.4066666666666665E-2</v>
      </c>
      <c r="B28" s="122" t="s">
        <v>758</v>
      </c>
      <c r="C28" s="223">
        <f t="shared" si="1"/>
        <v>8.4066666666666665E-2</v>
      </c>
      <c r="D28">
        <v>8.4066666666666665E-2</v>
      </c>
      <c r="E28" s="220">
        <f>D28*0.5</f>
        <v>4.2033333333333332E-2</v>
      </c>
      <c r="F28" s="186">
        <f>A28*1.5</f>
        <v>0.12609999999999999</v>
      </c>
      <c r="G28" s="127">
        <f t="shared" si="11"/>
        <v>2.8022222222222216E-3</v>
      </c>
      <c r="H28" s="185">
        <f t="shared" si="7"/>
        <v>14.279233493333336</v>
      </c>
      <c r="I28" s="185">
        <f t="shared" si="8"/>
        <v>155.57683502371668</v>
      </c>
      <c r="J28" s="185">
        <f t="shared" si="9"/>
        <v>2.1228956228956226E-2</v>
      </c>
      <c r="K28" s="88">
        <f t="shared" ca="1" si="10"/>
        <v>5.311568385433247E-2</v>
      </c>
      <c r="L28" s="110"/>
      <c r="M28" s="110" t="s">
        <v>808</v>
      </c>
      <c r="N28" s="110"/>
      <c r="O28" s="110"/>
      <c r="P28" s="110"/>
      <c r="Q28" s="110"/>
      <c r="R28" s="110"/>
      <c r="S28" s="110"/>
      <c r="T28" s="110"/>
      <c r="U28" s="110"/>
      <c r="V28" s="110"/>
      <c r="W28" s="110"/>
      <c r="X28" s="110"/>
    </row>
    <row r="29" spans="1:24" x14ac:dyDescent="0.3">
      <c r="A29" s="110">
        <v>1.3200000000000002E-2</v>
      </c>
      <c r="B29" s="122" t="s">
        <v>759</v>
      </c>
      <c r="C29" s="223">
        <f t="shared" si="1"/>
        <v>1.3200000000000002E-2</v>
      </c>
      <c r="D29">
        <v>1.3200000000000002E-2</v>
      </c>
      <c r="E29" s="220">
        <f t="shared" ref="E29:E38" si="16">D29*0.5</f>
        <v>6.6000000000000008E-3</v>
      </c>
      <c r="F29" s="186">
        <f t="shared" ref="F29:F30" si="17">A29*1.5</f>
        <v>1.9800000000000002E-2</v>
      </c>
      <c r="G29" s="127">
        <f t="shared" si="11"/>
        <v>4.4000000000000002E-4</v>
      </c>
      <c r="H29" s="185">
        <f t="shared" si="7"/>
        <v>15.46140288</v>
      </c>
      <c r="I29" s="185">
        <f t="shared" si="8"/>
        <v>1155.8569971199997</v>
      </c>
      <c r="J29" s="185">
        <f t="shared" si="9"/>
        <v>3.3333333333333335E-3</v>
      </c>
      <c r="K29" s="88">
        <f t="shared" ca="1" si="10"/>
        <v>1.4116602128954048E-2</v>
      </c>
      <c r="L29" s="110"/>
      <c r="M29" s="110" t="s">
        <v>808</v>
      </c>
      <c r="N29" s="110"/>
      <c r="O29" s="110"/>
      <c r="P29" s="110"/>
      <c r="Q29" s="110"/>
      <c r="R29" s="110"/>
      <c r="S29" s="110"/>
      <c r="T29" s="110"/>
      <c r="U29" s="110"/>
      <c r="V29" s="110"/>
      <c r="W29" s="110"/>
      <c r="X29" s="110"/>
    </row>
    <row r="30" spans="1:24" x14ac:dyDescent="0.3">
      <c r="A30" s="110">
        <v>3.5174999999999998E-2</v>
      </c>
      <c r="B30" s="122" t="s">
        <v>760</v>
      </c>
      <c r="C30" s="223">
        <f t="shared" si="1"/>
        <v>3.5174999999999998E-2</v>
      </c>
      <c r="D30">
        <v>3.5174999999999998E-2</v>
      </c>
      <c r="E30" s="220">
        <f t="shared" si="16"/>
        <v>1.7587499999999999E-2</v>
      </c>
      <c r="F30" s="186">
        <f t="shared" si="17"/>
        <v>5.2762499999999997E-2</v>
      </c>
      <c r="G30" s="127">
        <f t="shared" si="11"/>
        <v>1.1724999999999999E-3</v>
      </c>
      <c r="H30" s="185">
        <f t="shared" si="7"/>
        <v>15.094824719999998</v>
      </c>
      <c r="I30" s="185">
        <f t="shared" si="8"/>
        <v>414.04020641006394</v>
      </c>
      <c r="J30" s="185">
        <f t="shared" si="9"/>
        <v>8.8825757575757575E-3</v>
      </c>
      <c r="K30" s="88">
        <f t="shared" ca="1" si="10"/>
        <v>2.1340774955269187E-2</v>
      </c>
      <c r="L30" s="110"/>
      <c r="M30" s="110" t="s">
        <v>808</v>
      </c>
      <c r="N30" s="110"/>
      <c r="O30" s="110"/>
      <c r="P30" s="110"/>
      <c r="Q30" s="110"/>
      <c r="R30" s="110"/>
      <c r="S30" s="110"/>
      <c r="T30" s="110"/>
      <c r="U30" s="110"/>
      <c r="V30" s="110"/>
      <c r="W30" s="110"/>
      <c r="X30" s="110"/>
    </row>
    <row r="31" spans="1:24" x14ac:dyDescent="0.3">
      <c r="A31" s="110">
        <v>6.2333333333333338E-3</v>
      </c>
      <c r="B31" s="122" t="s">
        <v>761</v>
      </c>
      <c r="C31" s="223">
        <f t="shared" si="1"/>
        <v>6.2333333333333338E-3</v>
      </c>
      <c r="D31">
        <v>6.2333333333333338E-3</v>
      </c>
      <c r="E31" s="220">
        <f t="shared" si="16"/>
        <v>3.1166666666666669E-3</v>
      </c>
      <c r="F31" s="186">
        <f t="shared" ref="F31" si="18">A31*1.5</f>
        <v>9.3500000000000007E-3</v>
      </c>
      <c r="G31" s="127">
        <f t="shared" si="11"/>
        <v>2.0777777777777778E-4</v>
      </c>
      <c r="H31" s="185">
        <f t="shared" si="7"/>
        <v>15.577618026666665</v>
      </c>
      <c r="I31" s="185">
        <f t="shared" si="8"/>
        <v>2483.5054878556857</v>
      </c>
      <c r="J31" s="185">
        <f t="shared" si="9"/>
        <v>1.5740740740740743E-3</v>
      </c>
      <c r="K31" s="88">
        <f t="shared" ca="1" si="10"/>
        <v>7.8177151701916969E-3</v>
      </c>
      <c r="L31" s="110"/>
      <c r="M31" s="110" t="s">
        <v>808</v>
      </c>
      <c r="N31" s="110"/>
      <c r="O31" s="110"/>
      <c r="P31" s="110"/>
      <c r="Q31" s="110"/>
      <c r="R31" s="110"/>
      <c r="S31" s="110"/>
      <c r="T31" s="110"/>
      <c r="U31" s="110"/>
      <c r="V31" s="110"/>
      <c r="W31" s="110"/>
      <c r="X31" s="110"/>
    </row>
    <row r="32" spans="1:24" x14ac:dyDescent="0.3">
      <c r="A32" s="110">
        <v>0.45</v>
      </c>
      <c r="B32" s="122" t="s">
        <v>762</v>
      </c>
      <c r="C32" s="223">
        <f t="shared" si="1"/>
        <v>0.45</v>
      </c>
      <c r="D32">
        <v>0.45</v>
      </c>
      <c r="E32" s="220">
        <f t="shared" si="16"/>
        <v>0.22500000000000001</v>
      </c>
      <c r="F32" s="186">
        <f t="shared" ref="F32" si="19">A32*1.5</f>
        <v>0.67500000000000004</v>
      </c>
      <c r="G32" s="127">
        <f t="shared" si="11"/>
        <v>1.5000000000000003E-2</v>
      </c>
      <c r="H32" s="185">
        <f t="shared" si="7"/>
        <v>8.1748799999999964</v>
      </c>
      <c r="I32" s="185">
        <f t="shared" si="8"/>
        <v>9.991519999999996</v>
      </c>
      <c r="J32" s="185">
        <f t="shared" si="9"/>
        <v>0.11363636363636366</v>
      </c>
      <c r="K32" s="88">
        <f t="shared" ca="1" si="10"/>
        <v>0.47931743270809435</v>
      </c>
      <c r="L32" s="110"/>
      <c r="M32" s="110" t="s">
        <v>808</v>
      </c>
      <c r="N32" s="110"/>
      <c r="O32" s="110"/>
      <c r="P32" s="110"/>
      <c r="Q32" s="110"/>
      <c r="R32" s="110"/>
      <c r="S32" s="110"/>
      <c r="T32" s="110"/>
      <c r="U32" s="110"/>
      <c r="V32" s="110"/>
      <c r="W32" s="110"/>
      <c r="X32" s="110"/>
    </row>
    <row r="33" spans="1:24" x14ac:dyDescent="0.3">
      <c r="A33" s="110">
        <v>0.2155</v>
      </c>
      <c r="B33" s="122" t="s">
        <v>763</v>
      </c>
      <c r="C33" s="223">
        <f t="shared" si="1"/>
        <v>0.2155</v>
      </c>
      <c r="D33">
        <v>0.2155</v>
      </c>
      <c r="E33" s="220">
        <f t="shared" si="16"/>
        <v>0.10775</v>
      </c>
      <c r="F33" s="186">
        <f t="shared" ref="F33:F38" si="20">A33*1.5</f>
        <v>0.32324999999999998</v>
      </c>
      <c r="G33" s="127">
        <f t="shared" si="11"/>
        <v>7.1833333333333324E-3</v>
      </c>
      <c r="H33" s="185">
        <f t="shared" si="7"/>
        <v>12.086715200000002</v>
      </c>
      <c r="I33" s="185">
        <f t="shared" si="8"/>
        <v>44.000130275638064</v>
      </c>
      <c r="J33" s="185">
        <f t="shared" si="9"/>
        <v>5.4419191919191909E-2</v>
      </c>
      <c r="K33" s="88">
        <f t="shared" ca="1" si="10"/>
        <v>0.19232397717528751</v>
      </c>
      <c r="L33" s="110"/>
      <c r="M33" s="110" t="s">
        <v>808</v>
      </c>
      <c r="N33" s="110"/>
      <c r="O33" s="110"/>
      <c r="P33" s="110"/>
      <c r="Q33" s="110"/>
      <c r="R33" s="110"/>
      <c r="S33" s="110"/>
      <c r="T33" s="110"/>
      <c r="U33" s="110"/>
      <c r="V33" s="110"/>
      <c r="W33" s="110"/>
      <c r="X33" s="110"/>
    </row>
    <row r="34" spans="1:24" x14ac:dyDescent="0.3">
      <c r="A34" s="110">
        <v>0.26</v>
      </c>
      <c r="B34" s="122" t="s">
        <v>764</v>
      </c>
      <c r="C34" s="223">
        <f t="shared" si="1"/>
        <v>0.26</v>
      </c>
      <c r="D34">
        <v>0.26</v>
      </c>
      <c r="E34" s="220">
        <f t="shared" si="16"/>
        <v>0.13</v>
      </c>
      <c r="F34" s="186">
        <f t="shared" si="20"/>
        <v>0.39</v>
      </c>
      <c r="G34" s="127">
        <f t="shared" si="11"/>
        <v>8.6666666666666663E-3</v>
      </c>
      <c r="H34" s="185">
        <f t="shared" si="7"/>
        <v>11.344383999999998</v>
      </c>
      <c r="I34" s="185">
        <f t="shared" si="8"/>
        <v>32.287862153846149</v>
      </c>
      <c r="J34" s="185">
        <f t="shared" si="9"/>
        <v>6.5656565656565663E-2</v>
      </c>
      <c r="K34" s="88">
        <f t="shared" ca="1" si="10"/>
        <v>0.24963181545703891</v>
      </c>
      <c r="L34" s="110"/>
      <c r="M34" s="110" t="s">
        <v>808</v>
      </c>
      <c r="N34" s="110"/>
      <c r="O34" s="110"/>
      <c r="P34" s="110"/>
      <c r="Q34" s="110"/>
      <c r="R34" s="110"/>
      <c r="S34" s="110"/>
      <c r="T34" s="110"/>
      <c r="U34" s="110"/>
      <c r="V34" s="110"/>
      <c r="W34" s="110"/>
      <c r="X34" s="110"/>
    </row>
    <row r="35" spans="1:24" x14ac:dyDescent="0.3">
      <c r="A35" s="110">
        <v>0.15</v>
      </c>
      <c r="B35" s="122" t="s">
        <v>784</v>
      </c>
      <c r="C35" s="223">
        <f t="shared" si="1"/>
        <v>0.15</v>
      </c>
      <c r="D35">
        <v>0.15</v>
      </c>
      <c r="E35" s="220">
        <f t="shared" si="16"/>
        <v>7.4999999999999997E-2</v>
      </c>
      <c r="F35" s="186">
        <f t="shared" si="20"/>
        <v>0.22499999999999998</v>
      </c>
      <c r="G35" s="127">
        <f t="shared" si="11"/>
        <v>4.9999999999999992E-3</v>
      </c>
      <c r="H35" s="185">
        <f t="shared" si="7"/>
        <v>13.179360000000004</v>
      </c>
      <c r="I35" s="185">
        <f t="shared" si="8"/>
        <v>74.68304000000002</v>
      </c>
      <c r="J35" s="185">
        <f t="shared" si="9"/>
        <v>3.7878787878787873E-2</v>
      </c>
      <c r="K35" s="88">
        <f t="shared" ca="1" si="10"/>
        <v>0.15443391593755806</v>
      </c>
      <c r="L35" s="110"/>
      <c r="M35" s="110" t="s">
        <v>808</v>
      </c>
      <c r="N35" s="110"/>
      <c r="O35" s="110"/>
      <c r="P35" s="110"/>
      <c r="Q35" s="110"/>
      <c r="R35" s="110"/>
      <c r="S35" s="110"/>
      <c r="T35" s="110"/>
      <c r="U35" s="110"/>
      <c r="V35" s="110"/>
      <c r="W35" s="110"/>
      <c r="X35" s="110"/>
    </row>
    <row r="36" spans="1:24" x14ac:dyDescent="0.3">
      <c r="A36" s="110">
        <v>0.36099999999999999</v>
      </c>
      <c r="B36" s="122" t="s">
        <v>765</v>
      </c>
      <c r="C36" s="223">
        <f t="shared" si="1"/>
        <v>0.36099999999999999</v>
      </c>
      <c r="D36">
        <v>0.36099999999999999</v>
      </c>
      <c r="E36" s="220">
        <f t="shared" si="16"/>
        <v>0.18049999999999999</v>
      </c>
      <c r="F36" s="186">
        <f t="shared" si="20"/>
        <v>0.54149999999999998</v>
      </c>
      <c r="G36" s="127">
        <f t="shared" si="11"/>
        <v>1.2033333333333333E-2</v>
      </c>
      <c r="H36" s="185">
        <f t="shared" si="7"/>
        <v>9.6595423999999976</v>
      </c>
      <c r="I36" s="185">
        <f t="shared" si="8"/>
        <v>17.098192780055399</v>
      </c>
      <c r="J36" s="185">
        <f t="shared" si="9"/>
        <v>9.1161616161616166E-2</v>
      </c>
      <c r="K36" s="88">
        <f t="shared" ca="1" si="10"/>
        <v>0.44583590620949831</v>
      </c>
      <c r="L36" s="110"/>
      <c r="M36" s="110" t="s">
        <v>808</v>
      </c>
      <c r="N36" s="110"/>
      <c r="O36" s="110"/>
      <c r="P36" s="110"/>
      <c r="Q36" s="110"/>
      <c r="R36" s="110"/>
      <c r="S36" s="110"/>
      <c r="T36" s="110"/>
      <c r="U36" s="110"/>
      <c r="V36" s="110"/>
      <c r="W36" s="110"/>
      <c r="X36" s="110"/>
    </row>
    <row r="37" spans="1:24" x14ac:dyDescent="0.3">
      <c r="A37" s="110">
        <v>5.1333333333333335E-2</v>
      </c>
      <c r="B37" s="122" t="s">
        <v>788</v>
      </c>
      <c r="C37" s="223">
        <f t="shared" si="1"/>
        <v>5.1333333333333335E-2</v>
      </c>
      <c r="D37">
        <v>5.1333333333333335E-2</v>
      </c>
      <c r="E37" s="220">
        <f t="shared" si="16"/>
        <v>2.5666666666666667E-2</v>
      </c>
      <c r="F37" s="186">
        <f t="shared" si="20"/>
        <v>7.6999999999999999E-2</v>
      </c>
      <c r="G37" s="127">
        <f t="shared" si="11"/>
        <v>1.7111111111111109E-3</v>
      </c>
      <c r="H37" s="185">
        <f t="shared" si="7"/>
        <v>14.825277866666669</v>
      </c>
      <c r="I37" s="185">
        <f t="shared" si="8"/>
        <v>273.97883641904764</v>
      </c>
      <c r="J37" s="185">
        <f t="shared" si="9"/>
        <v>1.2962962962962963E-2</v>
      </c>
      <c r="K37" s="88">
        <f t="shared" ca="1" si="10"/>
        <v>3.9160310094766858E-2</v>
      </c>
      <c r="L37" s="110"/>
      <c r="M37" s="110" t="s">
        <v>808</v>
      </c>
      <c r="N37" s="110"/>
      <c r="O37" s="110"/>
      <c r="P37" s="110"/>
      <c r="Q37" s="110"/>
      <c r="R37" s="110"/>
      <c r="S37" s="110"/>
      <c r="T37" s="110"/>
      <c r="U37" s="110"/>
      <c r="V37" s="110"/>
      <c r="W37" s="110"/>
      <c r="X37" s="110"/>
    </row>
    <row r="38" spans="1:24" x14ac:dyDescent="0.3">
      <c r="A38" s="110">
        <v>3.3085576536761752E-2</v>
      </c>
      <c r="B38" s="122" t="s">
        <v>787</v>
      </c>
      <c r="C38" s="223">
        <f t="shared" si="1"/>
        <v>3.3085576536761752E-2</v>
      </c>
      <c r="D38">
        <v>3.3085576536761752E-2</v>
      </c>
      <c r="E38" s="220">
        <f t="shared" si="16"/>
        <v>1.6542788268380876E-2</v>
      </c>
      <c r="F38" s="186">
        <f t="shared" si="20"/>
        <v>4.9628364805142627E-2</v>
      </c>
      <c r="G38" s="127">
        <f t="shared" si="11"/>
        <v>1.1028525512253918E-3</v>
      </c>
      <c r="H38" s="185">
        <f t="shared" si="7"/>
        <v>15.129679646444355</v>
      </c>
      <c r="I38" s="185">
        <f t="shared" si="8"/>
        <v>442.15960559945728</v>
      </c>
      <c r="J38" s="185">
        <f t="shared" si="9"/>
        <v>8.354943569889332E-3</v>
      </c>
      <c r="K38" s="88">
        <f t="shared" ca="1" si="10"/>
        <v>2.6503304590881932E-2</v>
      </c>
      <c r="L38" s="110"/>
      <c r="M38" s="110" t="s">
        <v>808</v>
      </c>
      <c r="N38" s="110"/>
      <c r="O38" s="110"/>
      <c r="P38" s="110"/>
      <c r="Q38" s="110"/>
      <c r="R38" s="110"/>
      <c r="S38" s="110"/>
      <c r="T38" s="110"/>
      <c r="U38" s="110"/>
      <c r="V38" s="110"/>
      <c r="W38" s="110"/>
      <c r="X38" s="110"/>
    </row>
    <row r="39" spans="1:24" x14ac:dyDescent="0.3">
      <c r="A39" s="110">
        <v>11040</v>
      </c>
      <c r="B39" s="122" t="s">
        <v>739</v>
      </c>
      <c r="C39" s="222">
        <f t="shared" si="1"/>
        <v>11040</v>
      </c>
      <c r="D39" s="124">
        <v>11040</v>
      </c>
      <c r="E39" s="124">
        <f t="shared" ref="E39:E50" si="21">A39-(A39/2)</f>
        <v>5520</v>
      </c>
      <c r="F39" s="124">
        <f>C39</f>
        <v>11040</v>
      </c>
      <c r="G39" s="124">
        <f t="shared" ref="G39:G50" si="22">(F39-E39)/30</f>
        <v>184</v>
      </c>
      <c r="H39" s="73" t="s">
        <v>796</v>
      </c>
      <c r="I39" s="73"/>
      <c r="J39" s="73"/>
      <c r="K39" s="73">
        <f>D39</f>
        <v>11040</v>
      </c>
      <c r="L39" s="110"/>
      <c r="M39" s="110"/>
      <c r="N39" s="110"/>
      <c r="O39" s="110"/>
      <c r="P39" s="110"/>
      <c r="Q39" s="110"/>
      <c r="R39" s="110"/>
      <c r="S39" s="110"/>
      <c r="T39" s="110"/>
      <c r="U39" s="110"/>
      <c r="V39" s="110"/>
      <c r="W39" s="110"/>
      <c r="X39" s="110"/>
    </row>
    <row r="40" spans="1:24" x14ac:dyDescent="0.3">
      <c r="A40" s="110">
        <v>177</v>
      </c>
      <c r="B40" s="122" t="s">
        <v>279</v>
      </c>
      <c r="C40" s="222">
        <f t="shared" si="1"/>
        <v>177</v>
      </c>
      <c r="D40" s="124">
        <v>177</v>
      </c>
      <c r="E40" s="124">
        <f t="shared" si="21"/>
        <v>88.5</v>
      </c>
      <c r="F40" s="124">
        <f t="shared" ref="F40:F50" si="23">A40+(A40/2)</f>
        <v>265.5</v>
      </c>
      <c r="G40" s="124">
        <f t="shared" si="22"/>
        <v>5.9</v>
      </c>
      <c r="H40" s="42">
        <f>D40^2/J40^2</f>
        <v>15.681600000000001</v>
      </c>
      <c r="I40" s="42">
        <f>J40^2/D40</f>
        <v>11.287113559840833</v>
      </c>
      <c r="J40" s="42">
        <f>(F40-E40)/3.96</f>
        <v>44.696969696969695</v>
      </c>
      <c r="K40" s="42">
        <f ca="1">_xlfn.GAMMA.INV(RAND(),H40,I40)</f>
        <v>248.25319684206801</v>
      </c>
      <c r="L40" s="110"/>
      <c r="M40" s="110" t="s">
        <v>809</v>
      </c>
      <c r="N40" s="110"/>
      <c r="O40" s="110"/>
      <c r="P40" s="110"/>
      <c r="Q40" s="110"/>
      <c r="R40" s="110"/>
      <c r="S40" s="110"/>
      <c r="T40" s="110"/>
      <c r="U40" s="110"/>
      <c r="V40" s="110"/>
      <c r="W40" s="110"/>
      <c r="X40" s="110"/>
    </row>
    <row r="41" spans="1:24" x14ac:dyDescent="0.3">
      <c r="A41" s="110">
        <v>577.9017081081081</v>
      </c>
      <c r="B41" s="122" t="s">
        <v>280</v>
      </c>
      <c r="C41" s="222">
        <f t="shared" si="1"/>
        <v>577.9017081081081</v>
      </c>
      <c r="D41" s="124">
        <v>577.9017081081081</v>
      </c>
      <c r="E41" s="124">
        <f t="shared" si="21"/>
        <v>288.95085405405405</v>
      </c>
      <c r="F41" s="124">
        <f t="shared" si="23"/>
        <v>866.85256216216214</v>
      </c>
      <c r="G41" s="124">
        <f t="shared" si="22"/>
        <v>19.263390270270271</v>
      </c>
      <c r="H41" s="42">
        <f t="shared" ref="H41:H50" si="24">D41^2/J41^2</f>
        <v>15.6816</v>
      </c>
      <c r="I41" s="42">
        <f t="shared" ref="I41:I50" si="25">J41^2/D41</f>
        <v>36.852215852215856</v>
      </c>
      <c r="J41" s="42">
        <f t="shared" ref="J41:J50" si="26">(F41-E41)/3.96</f>
        <v>145.93477477477478</v>
      </c>
      <c r="K41" s="42">
        <f t="shared" ref="K41:K50" ca="1" si="27">_xlfn.GAMMA.INV(RAND(),H41,I41)</f>
        <v>678.0892886161771</v>
      </c>
      <c r="L41" s="110"/>
      <c r="M41" s="110" t="s">
        <v>809</v>
      </c>
      <c r="N41" s="110"/>
      <c r="O41" s="110"/>
      <c r="P41" s="110"/>
      <c r="Q41" s="110"/>
      <c r="R41" s="110"/>
      <c r="S41" s="110"/>
      <c r="T41" s="110"/>
      <c r="U41" s="110"/>
      <c r="V41" s="110"/>
      <c r="W41" s="110"/>
      <c r="X41" s="110"/>
    </row>
    <row r="42" spans="1:24" x14ac:dyDescent="0.3">
      <c r="A42" s="110">
        <v>198651.76559999998</v>
      </c>
      <c r="B42" s="122" t="s">
        <v>281</v>
      </c>
      <c r="C42" s="222">
        <f>Cost!C33*Cost!C30*(Cost!D24+Cost!D27)+Cost!C34*Cost!C31*(Cost!D25+Cost!D28)</f>
        <v>254701.55809999997</v>
      </c>
      <c r="D42" s="124">
        <v>254701.55809999997</v>
      </c>
      <c r="E42" s="124">
        <f t="shared" si="21"/>
        <v>99325.882799999992</v>
      </c>
      <c r="F42" s="124">
        <f t="shared" si="23"/>
        <v>297977.64839999995</v>
      </c>
      <c r="G42" s="124">
        <f t="shared" si="22"/>
        <v>6621.7255199999981</v>
      </c>
      <c r="H42" s="42">
        <f t="shared" si="24"/>
        <v>25.779157299371608</v>
      </c>
      <c r="I42" s="42">
        <f t="shared" si="25"/>
        <v>9880.1351472496954</v>
      </c>
      <c r="J42" s="42">
        <f t="shared" si="26"/>
        <v>50164.587272727265</v>
      </c>
      <c r="K42" s="42">
        <f t="shared" ca="1" si="27"/>
        <v>225814.29133758671</v>
      </c>
      <c r="L42" s="110"/>
      <c r="M42" s="110" t="s">
        <v>809</v>
      </c>
      <c r="N42" s="110"/>
      <c r="O42" s="110"/>
      <c r="P42" s="110"/>
      <c r="Q42" s="110"/>
      <c r="R42" s="110"/>
      <c r="S42" s="110"/>
      <c r="T42" s="110"/>
      <c r="U42" s="110"/>
      <c r="V42" s="110"/>
      <c r="W42" s="110"/>
      <c r="X42" s="110"/>
    </row>
    <row r="43" spans="1:24" x14ac:dyDescent="0.3">
      <c r="A43" s="110">
        <v>3098.88</v>
      </c>
      <c r="B43" s="122" t="s">
        <v>730</v>
      </c>
      <c r="C43" s="222">
        <f>(Cost!D26+Cost!D29)*Cost!C32</f>
        <v>1255.2</v>
      </c>
      <c r="D43" s="124">
        <v>1255.2</v>
      </c>
      <c r="E43" s="124">
        <f t="shared" si="21"/>
        <v>1549.44</v>
      </c>
      <c r="F43" s="124">
        <f t="shared" si="23"/>
        <v>4648.32</v>
      </c>
      <c r="G43" s="124">
        <f t="shared" si="22"/>
        <v>103.29599999999999</v>
      </c>
      <c r="H43" s="42">
        <f t="shared" si="24"/>
        <v>2.5728040743632623</v>
      </c>
      <c r="I43" s="42">
        <f t="shared" si="25"/>
        <v>487.87236171905033</v>
      </c>
      <c r="J43" s="42">
        <f t="shared" si="26"/>
        <v>782.5454545454545</v>
      </c>
      <c r="K43" s="42">
        <f t="shared" ca="1" si="27"/>
        <v>539.7815889363452</v>
      </c>
      <c r="L43" s="110"/>
      <c r="M43" s="110" t="s">
        <v>809</v>
      </c>
      <c r="N43" s="110"/>
      <c r="O43" s="110"/>
      <c r="P43" s="110"/>
      <c r="Q43" s="110"/>
      <c r="R43" s="110"/>
      <c r="S43" s="110"/>
      <c r="T43" s="110"/>
      <c r="U43" s="110"/>
      <c r="V43" s="110"/>
      <c r="W43" s="110"/>
      <c r="X43" s="110"/>
    </row>
    <row r="44" spans="1:24" x14ac:dyDescent="0.3">
      <c r="A44" s="110">
        <v>1792</v>
      </c>
      <c r="B44" s="122" t="s">
        <v>339</v>
      </c>
      <c r="C44" s="222">
        <f t="shared" si="1"/>
        <v>1792</v>
      </c>
      <c r="D44" s="124">
        <v>1792</v>
      </c>
      <c r="E44" s="124">
        <f t="shared" si="21"/>
        <v>896</v>
      </c>
      <c r="F44" s="124">
        <f t="shared" si="23"/>
        <v>2688</v>
      </c>
      <c r="G44" s="124">
        <f t="shared" si="22"/>
        <v>59.733333333333334</v>
      </c>
      <c r="H44" s="42">
        <f t="shared" si="24"/>
        <v>15.6816</v>
      </c>
      <c r="I44" s="42">
        <f t="shared" si="25"/>
        <v>114.27405366799306</v>
      </c>
      <c r="J44" s="42">
        <f t="shared" si="26"/>
        <v>452.52525252525254</v>
      </c>
      <c r="K44" s="42">
        <f t="shared" ca="1" si="27"/>
        <v>1429.1072708231457</v>
      </c>
      <c r="L44" s="110"/>
      <c r="M44" s="110" t="s">
        <v>809</v>
      </c>
      <c r="N44" s="110"/>
      <c r="O44" s="110"/>
      <c r="P44" s="110"/>
      <c r="Q44" s="110"/>
      <c r="R44" s="110"/>
      <c r="S44" s="110"/>
      <c r="T44" s="110"/>
      <c r="U44" s="110"/>
      <c r="V44" s="110"/>
      <c r="W44" s="110"/>
      <c r="X44" s="110"/>
    </row>
    <row r="45" spans="1:24" x14ac:dyDescent="0.3">
      <c r="A45" s="110">
        <v>30595.610148205637</v>
      </c>
      <c r="B45" s="122" t="s">
        <v>282</v>
      </c>
      <c r="C45" s="222">
        <f t="shared" si="1"/>
        <v>30595.610148205637</v>
      </c>
      <c r="D45" s="124">
        <v>30595.610148205637</v>
      </c>
      <c r="E45" s="124">
        <f t="shared" si="21"/>
        <v>15297.805074102818</v>
      </c>
      <c r="F45" s="124">
        <f t="shared" si="23"/>
        <v>45893.415222308453</v>
      </c>
      <c r="G45" s="124">
        <f t="shared" si="22"/>
        <v>1019.8536716068544</v>
      </c>
      <c r="H45" s="42">
        <f t="shared" si="24"/>
        <v>15.681600000000003</v>
      </c>
      <c r="I45" s="42">
        <f t="shared" si="25"/>
        <v>1951.0515603130823</v>
      </c>
      <c r="J45" s="42">
        <f t="shared" si="26"/>
        <v>7726.1641788398065</v>
      </c>
      <c r="K45" s="42">
        <f t="shared" ca="1" si="27"/>
        <v>36410.335439021539</v>
      </c>
      <c r="L45" s="110"/>
      <c r="M45" s="110" t="s">
        <v>809</v>
      </c>
      <c r="N45" s="110"/>
      <c r="O45" s="110"/>
      <c r="P45" s="110"/>
      <c r="Q45" s="110"/>
      <c r="R45" s="110"/>
      <c r="S45" s="110"/>
      <c r="T45" s="110"/>
      <c r="U45" s="110"/>
      <c r="V45" s="110"/>
      <c r="W45" s="110"/>
      <c r="X45" s="110"/>
    </row>
    <row r="46" spans="1:24" x14ac:dyDescent="0.3">
      <c r="A46" s="110">
        <v>2936.2604000000001</v>
      </c>
      <c r="B46" s="122" t="s">
        <v>283</v>
      </c>
      <c r="C46" s="222">
        <f t="shared" si="1"/>
        <v>2936.2604000000001</v>
      </c>
      <c r="D46" s="124">
        <v>2936.2604000000001</v>
      </c>
      <c r="E46" s="124">
        <f t="shared" si="21"/>
        <v>1468.1302000000001</v>
      </c>
      <c r="F46" s="124">
        <f t="shared" si="23"/>
        <v>4404.3906000000006</v>
      </c>
      <c r="G46" s="124">
        <f t="shared" si="22"/>
        <v>97.875346666666687</v>
      </c>
      <c r="H46" s="42">
        <f t="shared" si="24"/>
        <v>15.681599999999992</v>
      </c>
      <c r="I46" s="42">
        <f t="shared" si="25"/>
        <v>187.2423987348231</v>
      </c>
      <c r="J46" s="42">
        <f t="shared" si="26"/>
        <v>741.4798989898992</v>
      </c>
      <c r="K46" s="42">
        <f t="shared" ca="1" si="27"/>
        <v>2343.0299604778265</v>
      </c>
      <c r="L46" s="110"/>
      <c r="M46" s="110" t="s">
        <v>809</v>
      </c>
      <c r="N46" s="110"/>
      <c r="O46" s="110"/>
      <c r="P46" s="110"/>
      <c r="Q46" s="110"/>
      <c r="R46" s="110"/>
      <c r="S46" s="110"/>
      <c r="T46" s="110"/>
      <c r="U46" s="110"/>
      <c r="V46" s="110"/>
      <c r="W46" s="110"/>
      <c r="X46" s="110"/>
    </row>
    <row r="47" spans="1:24" x14ac:dyDescent="0.3">
      <c r="A47" s="110">
        <v>42582.510902399998</v>
      </c>
      <c r="B47" s="122" t="s">
        <v>284</v>
      </c>
      <c r="C47" s="222">
        <f t="shared" si="1"/>
        <v>42582.510902399998</v>
      </c>
      <c r="D47" s="124">
        <v>42582.510902399998</v>
      </c>
      <c r="E47" s="124">
        <f t="shared" si="21"/>
        <v>21291.255451199999</v>
      </c>
      <c r="F47" s="124">
        <f t="shared" si="23"/>
        <v>63873.766353599996</v>
      </c>
      <c r="G47" s="124">
        <f t="shared" si="22"/>
        <v>1419.4170300799999</v>
      </c>
      <c r="H47" s="42">
        <f t="shared" si="24"/>
        <v>15.681599999999998</v>
      </c>
      <c r="I47" s="42">
        <f t="shared" si="25"/>
        <v>2715.4442724211817</v>
      </c>
      <c r="J47" s="42">
        <f t="shared" si="26"/>
        <v>10753.159318787879</v>
      </c>
      <c r="K47" s="42">
        <f t="shared" ca="1" si="27"/>
        <v>47856.189437246925</v>
      </c>
      <c r="L47" s="110"/>
      <c r="M47" s="110" t="s">
        <v>809</v>
      </c>
      <c r="N47" s="110"/>
      <c r="O47" s="110"/>
      <c r="P47" s="110"/>
      <c r="Q47" s="110"/>
      <c r="R47" s="110"/>
      <c r="S47" s="110"/>
      <c r="T47" s="110"/>
      <c r="U47" s="110"/>
      <c r="V47" s="110"/>
      <c r="W47" s="110"/>
      <c r="X47" s="110"/>
    </row>
    <row r="48" spans="1:24" x14ac:dyDescent="0.3">
      <c r="A48" s="110">
        <v>3819</v>
      </c>
      <c r="B48" s="122" t="s">
        <v>285</v>
      </c>
      <c r="C48" s="222">
        <f t="shared" si="1"/>
        <v>3819</v>
      </c>
      <c r="D48" s="124">
        <v>3819</v>
      </c>
      <c r="E48" s="124">
        <f t="shared" si="21"/>
        <v>1909.5</v>
      </c>
      <c r="F48" s="124">
        <f t="shared" si="23"/>
        <v>5728.5</v>
      </c>
      <c r="G48" s="124">
        <f t="shared" si="22"/>
        <v>127.3</v>
      </c>
      <c r="H48" s="42">
        <f t="shared" si="24"/>
        <v>15.681600000000001</v>
      </c>
      <c r="I48" s="42">
        <f t="shared" si="25"/>
        <v>243.5338230792776</v>
      </c>
      <c r="J48" s="42">
        <f t="shared" si="26"/>
        <v>964.39393939393938</v>
      </c>
      <c r="K48" s="42">
        <f t="shared" ca="1" si="27"/>
        <v>3665.0275924586558</v>
      </c>
      <c r="L48" s="110"/>
      <c r="M48" s="110" t="s">
        <v>809</v>
      </c>
      <c r="N48" s="110"/>
      <c r="O48" s="110"/>
      <c r="P48" s="110"/>
      <c r="Q48" s="110"/>
      <c r="R48" s="110"/>
      <c r="S48" s="110"/>
      <c r="T48" s="110"/>
      <c r="U48" s="110"/>
      <c r="V48" s="110"/>
      <c r="W48" s="110"/>
      <c r="X48" s="110"/>
    </row>
    <row r="49" spans="1:53" x14ac:dyDescent="0.3">
      <c r="A49" s="110">
        <v>907</v>
      </c>
      <c r="B49" s="122" t="s">
        <v>286</v>
      </c>
      <c r="C49" s="222">
        <f t="shared" si="1"/>
        <v>907</v>
      </c>
      <c r="D49" s="124">
        <v>907</v>
      </c>
      <c r="E49" s="124">
        <f t="shared" si="21"/>
        <v>453.5</v>
      </c>
      <c r="F49" s="124">
        <f t="shared" si="23"/>
        <v>1360.5</v>
      </c>
      <c r="G49" s="124">
        <f t="shared" si="22"/>
        <v>30.233333333333334</v>
      </c>
      <c r="H49" s="42">
        <f t="shared" si="24"/>
        <v>15.6816</v>
      </c>
      <c r="I49" s="42">
        <f t="shared" si="25"/>
        <v>57.838485868788901</v>
      </c>
      <c r="J49" s="42">
        <f t="shared" si="26"/>
        <v>229.04040404040404</v>
      </c>
      <c r="K49" s="42">
        <f t="shared" ca="1" si="27"/>
        <v>1282.355232283222</v>
      </c>
      <c r="L49" s="110"/>
      <c r="M49" s="110" t="s">
        <v>809</v>
      </c>
      <c r="N49" s="110"/>
      <c r="O49" s="110"/>
      <c r="P49" s="110"/>
      <c r="Q49" s="110"/>
      <c r="R49" s="110"/>
      <c r="S49" s="110"/>
      <c r="T49" s="110"/>
      <c r="U49" s="110"/>
      <c r="V49" s="110"/>
      <c r="W49" s="110"/>
      <c r="X49" s="110"/>
    </row>
    <row r="50" spans="1:53" x14ac:dyDescent="0.3">
      <c r="A50" s="110">
        <v>3363</v>
      </c>
      <c r="B50" s="122" t="s">
        <v>287</v>
      </c>
      <c r="C50" s="222">
        <f t="shared" si="1"/>
        <v>3363</v>
      </c>
      <c r="D50" s="124">
        <v>3363</v>
      </c>
      <c r="E50" s="124">
        <f t="shared" si="21"/>
        <v>1681.5</v>
      </c>
      <c r="F50" s="124">
        <f t="shared" si="23"/>
        <v>5044.5</v>
      </c>
      <c r="G50" s="124">
        <f t="shared" si="22"/>
        <v>112.1</v>
      </c>
      <c r="H50" s="42">
        <f t="shared" si="24"/>
        <v>15.6816</v>
      </c>
      <c r="I50" s="42">
        <f t="shared" si="25"/>
        <v>214.45515763697583</v>
      </c>
      <c r="J50" s="42">
        <f t="shared" si="26"/>
        <v>849.24242424242425</v>
      </c>
      <c r="K50" s="42">
        <f t="shared" ca="1" si="27"/>
        <v>3477.6870542179686</v>
      </c>
      <c r="L50" s="110"/>
      <c r="M50" s="110" t="s">
        <v>809</v>
      </c>
      <c r="N50" s="110"/>
      <c r="O50" s="110"/>
      <c r="P50" s="110"/>
      <c r="Q50" s="110"/>
      <c r="R50" s="110"/>
      <c r="S50" s="110"/>
      <c r="T50" s="110"/>
      <c r="U50" s="110"/>
      <c r="V50" s="110"/>
      <c r="W50" s="110"/>
      <c r="X50" s="110"/>
    </row>
    <row r="51" spans="1:53" ht="15" thickBot="1" x14ac:dyDescent="0.35">
      <c r="A51" s="110"/>
      <c r="D51" s="110"/>
      <c r="E51" s="110"/>
      <c r="F51" s="110"/>
      <c r="G51" s="128"/>
      <c r="H51" s="110" t="s">
        <v>793</v>
      </c>
      <c r="I51" s="110" t="s">
        <v>789</v>
      </c>
      <c r="J51" s="184" t="s">
        <v>797</v>
      </c>
      <c r="K51" s="63" t="s">
        <v>792</v>
      </c>
      <c r="L51" s="110"/>
      <c r="M51" s="110"/>
      <c r="N51" s="110"/>
      <c r="O51" s="110"/>
      <c r="P51" s="110"/>
      <c r="Q51" s="110"/>
      <c r="R51" s="110"/>
      <c r="S51" s="110"/>
      <c r="T51" s="110"/>
      <c r="U51" s="110"/>
      <c r="V51" s="110"/>
      <c r="W51" s="110"/>
      <c r="X51" s="110"/>
      <c r="Y51" s="110"/>
    </row>
    <row r="52" spans="1:53" ht="15" thickBot="1" x14ac:dyDescent="0.35">
      <c r="A52" s="110"/>
      <c r="B52" s="232" t="s">
        <v>768</v>
      </c>
      <c r="C52" s="233"/>
      <c r="D52" s="233"/>
      <c r="E52" s="233"/>
      <c r="F52" s="233"/>
      <c r="G52" s="233"/>
      <c r="H52" s="233"/>
      <c r="I52" s="233"/>
      <c r="J52" s="233"/>
      <c r="K52" s="233"/>
      <c r="L52" s="233"/>
      <c r="M52" s="233"/>
      <c r="N52" s="233"/>
      <c r="O52" s="233"/>
      <c r="P52" s="233"/>
      <c r="Q52" s="233"/>
      <c r="R52" s="233"/>
      <c r="S52" s="233"/>
      <c r="T52" s="233"/>
      <c r="U52" s="233"/>
      <c r="V52" s="233"/>
      <c r="W52" s="233"/>
      <c r="X52" s="234"/>
      <c r="Y52" s="129"/>
    </row>
    <row r="53" spans="1:53" ht="15" thickBot="1" x14ac:dyDescent="0.35">
      <c r="A53" s="110"/>
      <c r="B53" s="110"/>
      <c r="C53" s="110"/>
      <c r="D53" s="110"/>
      <c r="E53" s="110"/>
      <c r="F53" s="110"/>
      <c r="G53" s="110"/>
      <c r="H53" s="110"/>
      <c r="I53" s="110"/>
      <c r="J53" s="110"/>
      <c r="K53" s="110"/>
      <c r="L53" s="110"/>
      <c r="M53" s="110"/>
      <c r="N53" s="110"/>
      <c r="O53" s="110"/>
      <c r="P53" s="110"/>
    </row>
    <row r="54" spans="1:53" ht="15" thickBot="1" x14ac:dyDescent="0.35">
      <c r="A54" s="110"/>
      <c r="B54" s="125"/>
      <c r="C54" s="130" t="s">
        <v>62</v>
      </c>
      <c r="D54" s="131" t="s">
        <v>272</v>
      </c>
      <c r="E54" s="125"/>
      <c r="F54" s="125"/>
      <c r="G54" s="130" t="s">
        <v>62</v>
      </c>
      <c r="H54" s="131" t="s">
        <v>272</v>
      </c>
      <c r="I54" s="125"/>
      <c r="J54" s="125"/>
      <c r="K54" s="130" t="s">
        <v>62</v>
      </c>
      <c r="L54" s="131" t="s">
        <v>769</v>
      </c>
      <c r="M54" s="125"/>
      <c r="N54" s="125"/>
      <c r="O54" s="130" t="s">
        <v>62</v>
      </c>
      <c r="P54" s="131" t="s">
        <v>769</v>
      </c>
      <c r="Q54" s="42"/>
      <c r="R54" s="125"/>
      <c r="S54" s="130" t="s">
        <v>62</v>
      </c>
      <c r="T54" s="131" t="s">
        <v>769</v>
      </c>
      <c r="V54" s="125"/>
      <c r="W54" s="130" t="s">
        <v>62</v>
      </c>
      <c r="X54" s="131" t="s">
        <v>769</v>
      </c>
      <c r="Y54" s="129"/>
      <c r="Z54" s="125"/>
      <c r="AA54" s="130" t="s">
        <v>62</v>
      </c>
      <c r="AB54" s="131" t="s">
        <v>769</v>
      </c>
      <c r="AC54" s="129"/>
      <c r="AD54" s="125"/>
      <c r="AE54" s="130" t="s">
        <v>62</v>
      </c>
      <c r="AF54" s="131" t="s">
        <v>769</v>
      </c>
      <c r="AG54" s="129"/>
      <c r="AH54" s="125"/>
      <c r="AI54" s="130" t="s">
        <v>62</v>
      </c>
      <c r="AJ54" s="131" t="s">
        <v>769</v>
      </c>
      <c r="AL54" s="125"/>
      <c r="AM54" s="130" t="s">
        <v>62</v>
      </c>
      <c r="AN54" s="131" t="s">
        <v>272</v>
      </c>
      <c r="AO54" s="125"/>
      <c r="AP54" s="125"/>
      <c r="AQ54" s="130" t="s">
        <v>62</v>
      </c>
      <c r="AR54" s="131" t="s">
        <v>272</v>
      </c>
      <c r="AS54" s="125"/>
      <c r="AT54" s="125"/>
      <c r="AU54" s="130" t="s">
        <v>62</v>
      </c>
      <c r="AV54" s="131" t="s">
        <v>272</v>
      </c>
      <c r="AW54" s="125"/>
      <c r="AX54" s="125"/>
      <c r="AY54" s="130" t="s">
        <v>62</v>
      </c>
      <c r="AZ54" s="131" t="s">
        <v>272</v>
      </c>
      <c r="BA54" s="125"/>
    </row>
    <row r="55" spans="1:53" ht="15" thickBot="1" x14ac:dyDescent="0.35">
      <c r="A55" s="110"/>
      <c r="B55" s="132" t="str">
        <f>B10</f>
        <v>c_grant</v>
      </c>
      <c r="C55" s="133">
        <f>$C$5</f>
        <v>-240790.60632569823</v>
      </c>
      <c r="D55" s="134">
        <f>$C$6</f>
        <v>36158.418841398568</v>
      </c>
      <c r="E55" s="125"/>
      <c r="F55" s="132" t="str">
        <f>B11</f>
        <v xml:space="preserve">e_ANC </v>
      </c>
      <c r="G55" s="133">
        <f>$C$5</f>
        <v>-240790.60632569823</v>
      </c>
      <c r="H55" s="134">
        <f>$C$6</f>
        <v>36158.418841398568</v>
      </c>
      <c r="I55" s="125"/>
      <c r="J55" s="132" t="str">
        <f>B12</f>
        <v>e_preterm</v>
      </c>
      <c r="K55" s="133">
        <f>$C$5</f>
        <v>-240790.60632569823</v>
      </c>
      <c r="L55" s="134">
        <f>$C$6</f>
        <v>36158.418841398568</v>
      </c>
      <c r="M55" s="125"/>
      <c r="N55" s="132" t="str">
        <f>B13</f>
        <v>e_LBW</v>
      </c>
      <c r="O55" s="133">
        <f>$C$5</f>
        <v>-240790.60632569823</v>
      </c>
      <c r="P55" s="134">
        <f>$C$6</f>
        <v>36158.418841398568</v>
      </c>
      <c r="Q55" s="42"/>
      <c r="R55" s="132" t="str">
        <f>B14</f>
        <v>e_SGA</v>
      </c>
      <c r="S55" s="133">
        <f>$C$5</f>
        <v>-240790.60632569823</v>
      </c>
      <c r="T55" s="134">
        <f>$C$6</f>
        <v>36158.418841398568</v>
      </c>
      <c r="V55" s="132" t="str">
        <f>B15</f>
        <v>e_mortality</v>
      </c>
      <c r="W55" s="133">
        <f>$C$5</f>
        <v>-240790.60632569823</v>
      </c>
      <c r="X55" s="134">
        <f>$C$6</f>
        <v>36158.418841398568</v>
      </c>
      <c r="Y55" s="129"/>
      <c r="Z55" s="132" t="str">
        <f>B16</f>
        <v>Threshold</v>
      </c>
      <c r="AA55" s="133">
        <f>C5</f>
        <v>-240790.60632569823</v>
      </c>
      <c r="AB55" s="134">
        <f>$C$6</f>
        <v>36158.418841398568</v>
      </c>
      <c r="AC55" s="129"/>
      <c r="AD55" s="132" t="str">
        <f>B17</f>
        <v>dw_CLD</v>
      </c>
      <c r="AE55" s="133">
        <f>C5</f>
        <v>-240790.60632569823</v>
      </c>
      <c r="AF55" s="134">
        <f>C6</f>
        <v>36158.418841398568</v>
      </c>
      <c r="AG55" s="129"/>
      <c r="AH55" s="132" t="str">
        <f>B18</f>
        <v>dw_motor</v>
      </c>
      <c r="AI55" s="133">
        <f>C5</f>
        <v>-240790.60632569823</v>
      </c>
      <c r="AJ55" s="134">
        <f>C6</f>
        <v>36158.418841398568</v>
      </c>
      <c r="AL55" s="132" t="str">
        <f>B39</f>
        <v>c_CSG</v>
      </c>
      <c r="AM55" s="133">
        <f>$C$5</f>
        <v>-240790.60632569823</v>
      </c>
      <c r="AN55" s="134">
        <f>$C$6</f>
        <v>36158.418841398568</v>
      </c>
      <c r="AO55" s="125"/>
      <c r="AP55" s="132" t="str">
        <f>B40</f>
        <v>c_ANC</v>
      </c>
      <c r="AQ55" s="133">
        <f>$C$5</f>
        <v>-240790.60632569823</v>
      </c>
      <c r="AR55" s="134">
        <f>$C$6</f>
        <v>36158.418841398568</v>
      </c>
      <c r="AS55" s="125"/>
      <c r="AT55" s="132" t="str">
        <f>B41</f>
        <v>c_prem</v>
      </c>
      <c r="AU55" s="133">
        <f>$C$5</f>
        <v>-240790.60632569823</v>
      </c>
      <c r="AV55" s="134">
        <f>$C$6</f>
        <v>36158.418841398568</v>
      </c>
      <c r="AW55" s="125"/>
      <c r="AX55" s="132" t="str">
        <f>B42</f>
        <v>c_LBW</v>
      </c>
      <c r="AY55" s="133">
        <f>$C$5</f>
        <v>-240790.60632569823</v>
      </c>
      <c r="AZ55" s="134">
        <f>$C$6</f>
        <v>36158.418841398568</v>
      </c>
      <c r="BA55" s="125"/>
    </row>
    <row r="56" spans="1:53" x14ac:dyDescent="0.3">
      <c r="A56" s="110"/>
      <c r="B56" s="135">
        <f>E10</f>
        <v>1150</v>
      </c>
      <c r="C56" s="136">
        <f t="dataTable" ref="C56:D86" dt2D="0" dtr="0" r1="C10"/>
        <v>-249673.30107746136</v>
      </c>
      <c r="D56" s="137">
        <v>37308.418841398539</v>
      </c>
      <c r="E56" s="125"/>
      <c r="F56" s="138">
        <f>E11</f>
        <v>5.0500000000000003E-2</v>
      </c>
      <c r="G56" s="136">
        <f t="dataTable" ref="G56:H86" dt2D="0" dtr="0" r1="C11" ca="1"/>
        <v>-277644.45471415465</v>
      </c>
      <c r="H56" s="137">
        <v>34947.044438266355</v>
      </c>
      <c r="I56" s="125"/>
      <c r="J56" s="139">
        <f>E12</f>
        <v>0.69</v>
      </c>
      <c r="K56" s="136">
        <f t="dataTable" ref="K56:L86" dt2D="0" dtr="0" r1="C12" ca="1"/>
        <v>-232948.46787898667</v>
      </c>
      <c r="L56" s="137">
        <v>37436.485734884453</v>
      </c>
      <c r="M56" s="125"/>
      <c r="N56" s="139">
        <f>E13</f>
        <v>0.63</v>
      </c>
      <c r="O56" s="136">
        <f t="dataTable" ref="O56:P86" dt2D="0" dtr="0" r1="C13" ca="1"/>
        <v>-288221.87664273253</v>
      </c>
      <c r="P56" s="137">
        <v>44197.086215098258</v>
      </c>
      <c r="Q56" s="42"/>
      <c r="R56" s="139">
        <f>E14</f>
        <v>0.82</v>
      </c>
      <c r="S56" s="136">
        <f t="dataTable" ref="S56:T86" dt2D="0" dtr="0" r1="C14" ca="1"/>
        <v>-228294.61558035269</v>
      </c>
      <c r="T56" s="137">
        <v>36448.671011600178</v>
      </c>
      <c r="V56" s="139">
        <f>E15</f>
        <v>4.65E-2</v>
      </c>
      <c r="W56" s="136">
        <f t="dataTable" ref="W56:X86" dt2D="0" dtr="0" r1="C15" ca="1"/>
        <v>-264099.68182576657</v>
      </c>
      <c r="X56" s="137">
        <v>35734.714229529643</v>
      </c>
      <c r="Y56" s="129"/>
      <c r="Z56" s="135">
        <f>E16</f>
        <v>19250</v>
      </c>
      <c r="AA56" s="136">
        <f t="dataTable" ref="AA56:AB86" dt2D="0" dtr="0" r1="C16" ca="1"/>
        <v>-240790.60632569823</v>
      </c>
      <c r="AB56" s="137">
        <v>33666.213421910827</v>
      </c>
      <c r="AC56" s="129"/>
      <c r="AD56" s="140">
        <f>E17</f>
        <v>8.5999999999999993E-2</v>
      </c>
      <c r="AE56" s="136">
        <f t="dataTable" ref="AE56:AF86" dt2D="0" dtr="0" r1="C17" ca="1"/>
        <v>-252641.92486355494</v>
      </c>
      <c r="AF56" s="137">
        <v>35924.602381172706</v>
      </c>
      <c r="AG56" s="129"/>
      <c r="AH56" s="141">
        <f>E18</f>
        <v>0.04</v>
      </c>
      <c r="AI56" s="136">
        <f t="dataTable" ref="AI56:AJ86" dt2D="0" dtr="0" r1="C18" ca="1"/>
        <v>-241001.70192445241</v>
      </c>
      <c r="AJ56" s="137">
        <v>36154.052950277932</v>
      </c>
      <c r="AL56" s="135">
        <f>E39</f>
        <v>5520</v>
      </c>
      <c r="AM56" s="136">
        <f t="dataTable" ref="AM56:AN86" dt2D="0" dtr="0" r1="C39" ca="1"/>
        <v>-241027.33943261922</v>
      </c>
      <c r="AN56" s="137">
        <v>36189.067544361722</v>
      </c>
      <c r="AO56" s="125"/>
      <c r="AP56" s="135">
        <f>E40</f>
        <v>88.5</v>
      </c>
      <c r="AQ56" s="136">
        <f t="dataTable" ref="AQ56:AR86" dt2D="0" dtr="0" r1="C40" ca="1"/>
        <v>-240847.97998709735</v>
      </c>
      <c r="AR56" s="137">
        <v>36165.846734898558</v>
      </c>
      <c r="AS56" s="125"/>
      <c r="AT56" s="135">
        <f>E41</f>
        <v>288.95085405405405</v>
      </c>
      <c r="AU56" s="136">
        <f t="dataTable" ref="AU56:AV86" dt2D="0" dtr="0" r1="C41" ca="1"/>
        <v>-240699.44351906455</v>
      </c>
      <c r="AV56" s="137">
        <v>36146.616428892172</v>
      </c>
      <c r="AW56" s="125"/>
      <c r="AX56" s="135">
        <f>E42</f>
        <v>99325.882799999992</v>
      </c>
      <c r="AY56" s="136">
        <f t="dataTable" ref="AY56:AZ86" dt2D="0" dtr="0" r1="C42" ca="1"/>
        <v>-90952.031467198758</v>
      </c>
      <c r="AZ56" s="137">
        <v>16759.535292792229</v>
      </c>
      <c r="BA56" s="125"/>
    </row>
    <row r="57" spans="1:53" x14ac:dyDescent="0.3">
      <c r="A57" s="110"/>
      <c r="B57" s="135">
        <f t="shared" ref="B57:B86" si="28">B56+$G$10</f>
        <v>1226.6666666666667</v>
      </c>
      <c r="C57" s="142">
        <v>-249081.1214273441</v>
      </c>
      <c r="D57" s="137">
        <v>37231.752174731912</v>
      </c>
      <c r="E57" s="125"/>
      <c r="F57" s="138">
        <f t="shared" ref="F57:F86" si="29">F56+$G$11</f>
        <v>5.3866666666666674E-2</v>
      </c>
      <c r="G57" s="142">
        <v>-274799.39524022187</v>
      </c>
      <c r="H57" s="137">
        <v>35027.802731808421</v>
      </c>
      <c r="I57" s="125"/>
      <c r="J57" s="139">
        <f t="shared" ref="J57:J86" si="30">J56+$G$12</f>
        <v>0.69499999999999995</v>
      </c>
      <c r="K57" s="142">
        <v>-233476.6168093851</v>
      </c>
      <c r="L57" s="137">
        <v>37345.195242492642</v>
      </c>
      <c r="M57" s="125"/>
      <c r="N57" s="139">
        <f t="shared" ref="N57:N86" si="31">N56+$G$13</f>
        <v>0.63633333333333331</v>
      </c>
      <c r="O57" s="142">
        <v>-284615.89285282267</v>
      </c>
      <c r="P57" s="137">
        <v>43560.691714680506</v>
      </c>
      <c r="Q57" s="42"/>
      <c r="R57" s="139">
        <f t="shared" ref="R57:R86" si="32">R56+$G$14</f>
        <v>0.82566666666666666</v>
      </c>
      <c r="S57" s="142">
        <v>-229136.53439975574</v>
      </c>
      <c r="T57" s="137">
        <v>36428.111482877517</v>
      </c>
      <c r="V57" s="139">
        <f t="shared" ref="V57:V86" si="33">V56+$G$15</f>
        <v>4.9599999999999998E-2</v>
      </c>
      <c r="W57" s="142">
        <v>-262406.95976998471</v>
      </c>
      <c r="X57" s="137">
        <v>35762.961203654253</v>
      </c>
      <c r="Y57" s="129"/>
      <c r="Z57" s="135">
        <f t="shared" ref="Z57:Z86" si="34">Z56+$G$16</f>
        <v>20533.333333333332</v>
      </c>
      <c r="AA57" s="142">
        <v>-240790.60632569823</v>
      </c>
      <c r="AB57" s="137">
        <v>33832.360449876673</v>
      </c>
      <c r="AC57" s="129"/>
      <c r="AD57" s="140">
        <f t="shared" ref="AD57:AD86" si="35">AD56+$G$17</f>
        <v>8.9533333333333326E-2</v>
      </c>
      <c r="AE57" s="142">
        <v>-251710.56967994344</v>
      </c>
      <c r="AF57" s="137">
        <v>35942.180072508869</v>
      </c>
      <c r="AG57" s="129"/>
      <c r="AH57" s="139">
        <f t="shared" ref="AH57:AH86" si="36">AH56+$G$18</f>
        <v>4.1633333333333335E-2</v>
      </c>
      <c r="AI57" s="142">
        <v>-240985.27010453932</v>
      </c>
      <c r="AJ57" s="137">
        <v>36154.392519587316</v>
      </c>
      <c r="AL57" s="135">
        <f t="shared" ref="AL57:AL86" si="37">AL56+$G$39</f>
        <v>5704</v>
      </c>
      <c r="AM57" s="142">
        <v>-241027.33943261922</v>
      </c>
      <c r="AN57" s="137">
        <v>36189.067544361722</v>
      </c>
      <c r="AO57" s="125"/>
      <c r="AP57" s="135">
        <f t="shared" ref="AP57:AP86" si="38">AP56+$G$40</f>
        <v>94.4</v>
      </c>
      <c r="AQ57" s="142">
        <v>-240844.15507633745</v>
      </c>
      <c r="AR57" s="137">
        <v>36165.351541998563</v>
      </c>
      <c r="AS57" s="125"/>
      <c r="AT57" s="135">
        <f t="shared" ref="AT57:AT86" si="39">AT56+$G$41</f>
        <v>308.21424432432434</v>
      </c>
      <c r="AU57" s="142">
        <v>-240705.52103950703</v>
      </c>
      <c r="AV57" s="137">
        <v>36147.40325639263</v>
      </c>
      <c r="AW57" s="125"/>
      <c r="AX57" s="135">
        <f t="shared" ref="AX57:AX86" si="40">AX56+$G$42</f>
        <v>105947.60831999998</v>
      </c>
      <c r="AY57" s="142">
        <v>-97337.779513701025</v>
      </c>
      <c r="AZ57" s="137">
        <v>17586.267546765019</v>
      </c>
      <c r="BA57" s="125"/>
    </row>
    <row r="58" spans="1:53" x14ac:dyDescent="0.3">
      <c r="A58" s="110"/>
      <c r="B58" s="135">
        <f t="shared" si="28"/>
        <v>1303.3333333333335</v>
      </c>
      <c r="C58" s="142">
        <v>-248488.94177722652</v>
      </c>
      <c r="D58" s="137">
        <v>37155.08550806524</v>
      </c>
      <c r="E58" s="125"/>
      <c r="F58" s="138">
        <f t="shared" si="29"/>
        <v>5.7233333333333344E-2</v>
      </c>
      <c r="G58" s="142">
        <v>-272017.82685498655</v>
      </c>
      <c r="H58" s="137">
        <v>35108.56102535066</v>
      </c>
      <c r="I58" s="125"/>
      <c r="J58" s="139">
        <f t="shared" si="30"/>
        <v>0.7</v>
      </c>
      <c r="K58" s="142">
        <v>-234009.42858759436</v>
      </c>
      <c r="L58" s="137">
        <v>37253.904750100744</v>
      </c>
      <c r="M58" s="125"/>
      <c r="N58" s="139">
        <f t="shared" si="31"/>
        <v>0.64266666666666661</v>
      </c>
      <c r="O58" s="142">
        <v>-280985.22285929392</v>
      </c>
      <c r="P58" s="137">
        <v>42924.2972142625</v>
      </c>
      <c r="Q58" s="42"/>
      <c r="R58" s="139">
        <f t="shared" si="32"/>
        <v>0.83133333333333337</v>
      </c>
      <c r="S58" s="142">
        <v>-229984.74362020864</v>
      </c>
      <c r="T58" s="137">
        <v>36407.5519541549</v>
      </c>
      <c r="V58" s="139">
        <f t="shared" si="33"/>
        <v>5.2699999999999997E-2</v>
      </c>
      <c r="W58" s="142">
        <v>-260735.69775449738</v>
      </c>
      <c r="X58" s="137">
        <v>35791.208177778855</v>
      </c>
      <c r="Y58" s="129"/>
      <c r="Z58" s="135">
        <f t="shared" si="34"/>
        <v>21816.666666666664</v>
      </c>
      <c r="AA58" s="142">
        <v>-240790.60632569823</v>
      </c>
      <c r="AB58" s="137">
        <v>33998.507477842526</v>
      </c>
      <c r="AC58" s="129"/>
      <c r="AD58" s="140">
        <f t="shared" si="35"/>
        <v>9.3066666666666659E-2</v>
      </c>
      <c r="AE58" s="142">
        <v>-250786.05608846</v>
      </c>
      <c r="AF58" s="137">
        <v>35959.757763844995</v>
      </c>
      <c r="AG58" s="129"/>
      <c r="AH58" s="139">
        <f t="shared" si="36"/>
        <v>4.3266666666666669E-2</v>
      </c>
      <c r="AI58" s="142">
        <v>-240968.8405251627</v>
      </c>
      <c r="AJ58" s="137">
        <v>36154.732088896664</v>
      </c>
      <c r="AL58" s="135">
        <f t="shared" si="37"/>
        <v>5888</v>
      </c>
      <c r="AM58" s="142">
        <v>-241027.33943261922</v>
      </c>
      <c r="AN58" s="137">
        <v>36189.067544361722</v>
      </c>
      <c r="AO58" s="125"/>
      <c r="AP58" s="135">
        <f t="shared" si="38"/>
        <v>100.30000000000001</v>
      </c>
      <c r="AQ58" s="142">
        <v>-240840.33016557744</v>
      </c>
      <c r="AR58" s="137">
        <v>36164.856349098554</v>
      </c>
      <c r="AS58" s="125"/>
      <c r="AT58" s="135">
        <f t="shared" si="39"/>
        <v>327.47763459459463</v>
      </c>
      <c r="AU58" s="142">
        <v>-240711.59855994943</v>
      </c>
      <c r="AV58" s="137">
        <v>36148.190083893074</v>
      </c>
      <c r="AW58" s="125"/>
      <c r="AX58" s="135">
        <f t="shared" si="40"/>
        <v>112569.33383999998</v>
      </c>
      <c r="AY58" s="142">
        <v>-103723.52756020339</v>
      </c>
      <c r="AZ58" s="137">
        <v>18412.999800737824</v>
      </c>
      <c r="BA58" s="125"/>
    </row>
    <row r="59" spans="1:53" x14ac:dyDescent="0.3">
      <c r="A59" s="110"/>
      <c r="B59" s="135">
        <f t="shared" si="28"/>
        <v>1380.0000000000002</v>
      </c>
      <c r="C59" s="142">
        <v>-247896.76212710823</v>
      </c>
      <c r="D59" s="137">
        <v>37078.418841398481</v>
      </c>
      <c r="E59" s="125"/>
      <c r="F59" s="138">
        <f t="shared" si="29"/>
        <v>6.0600000000000015E-2</v>
      </c>
      <c r="G59" s="142">
        <v>-269297.64768589009</v>
      </c>
      <c r="H59" s="137">
        <v>35189.319318892783</v>
      </c>
      <c r="I59" s="125"/>
      <c r="J59" s="139">
        <f t="shared" si="30"/>
        <v>0.70499999999999996</v>
      </c>
      <c r="K59" s="142">
        <v>-234546.96523746426</v>
      </c>
      <c r="L59" s="137">
        <v>37162.614257708796</v>
      </c>
      <c r="M59" s="125"/>
      <c r="N59" s="139">
        <f t="shared" si="31"/>
        <v>0.64899999999999991</v>
      </c>
      <c r="O59" s="142">
        <v>-277329.61229253106</v>
      </c>
      <c r="P59" s="137">
        <v>42287.902713844669</v>
      </c>
      <c r="Q59" s="42"/>
      <c r="R59" s="139">
        <f t="shared" si="32"/>
        <v>0.83700000000000008</v>
      </c>
      <c r="S59" s="142">
        <v>-230839.31400421113</v>
      </c>
      <c r="T59" s="137">
        <v>36386.992425432327</v>
      </c>
      <c r="V59" s="139">
        <f t="shared" si="33"/>
        <v>5.5799999999999995E-2</v>
      </c>
      <c r="W59" s="142">
        <v>-259085.49024985236</v>
      </c>
      <c r="X59" s="137">
        <v>35819.455151903428</v>
      </c>
      <c r="Y59" s="129"/>
      <c r="Z59" s="135">
        <f t="shared" si="34"/>
        <v>23099.999999999996</v>
      </c>
      <c r="AA59" s="142">
        <v>-240790.60632569823</v>
      </c>
      <c r="AB59" s="137">
        <v>34164.654505808372</v>
      </c>
      <c r="AC59" s="129"/>
      <c r="AD59" s="140">
        <f t="shared" si="35"/>
        <v>9.6599999999999991E-2</v>
      </c>
      <c r="AE59" s="142">
        <v>-249868.3089790488</v>
      </c>
      <c r="AF59" s="137">
        <v>35977.335455181106</v>
      </c>
      <c r="AG59" s="129"/>
      <c r="AH59" s="139">
        <f t="shared" si="36"/>
        <v>4.4900000000000002E-2</v>
      </c>
      <c r="AI59" s="142">
        <v>-240952.41318585887</v>
      </c>
      <c r="AJ59" s="137">
        <v>36155.071658206078</v>
      </c>
      <c r="AL59" s="135">
        <f t="shared" si="37"/>
        <v>6072</v>
      </c>
      <c r="AM59" s="142">
        <v>-241027.33943261922</v>
      </c>
      <c r="AN59" s="137">
        <v>36189.067544361722</v>
      </c>
      <c r="AO59" s="125"/>
      <c r="AP59" s="135">
        <f t="shared" si="38"/>
        <v>106.20000000000002</v>
      </c>
      <c r="AQ59" s="142">
        <v>-240836.50525481754</v>
      </c>
      <c r="AR59" s="137">
        <v>36164.36115619856</v>
      </c>
      <c r="AS59" s="125"/>
      <c r="AT59" s="135">
        <f t="shared" si="39"/>
        <v>346.74102486486493</v>
      </c>
      <c r="AU59" s="142">
        <v>-240717.67608039136</v>
      </c>
      <c r="AV59" s="137">
        <v>36148.97691139346</v>
      </c>
      <c r="AW59" s="125"/>
      <c r="AX59" s="135">
        <f t="shared" si="40"/>
        <v>119191.05935999997</v>
      </c>
      <c r="AY59" s="142">
        <v>-110109.27560670595</v>
      </c>
      <c r="AZ59" s="137">
        <v>19239.73205471065</v>
      </c>
      <c r="BA59" s="125"/>
    </row>
    <row r="60" spans="1:53" x14ac:dyDescent="0.3">
      <c r="A60" s="110"/>
      <c r="B60" s="135">
        <f t="shared" si="28"/>
        <v>1456.666666666667</v>
      </c>
      <c r="C60" s="142">
        <v>-247304.58247699143</v>
      </c>
      <c r="D60" s="137">
        <v>37001.752174731912</v>
      </c>
      <c r="E60" s="125"/>
      <c r="F60" s="138">
        <f t="shared" si="29"/>
        <v>6.3966666666666686E-2</v>
      </c>
      <c r="G60" s="142">
        <v>-266636.84762441734</v>
      </c>
      <c r="H60" s="137">
        <v>35270.077612434899</v>
      </c>
      <c r="I60" s="125"/>
      <c r="J60" s="139">
        <f t="shared" si="30"/>
        <v>0.71</v>
      </c>
      <c r="K60" s="142">
        <v>-235089.28988776685</v>
      </c>
      <c r="L60" s="137">
        <v>37071.323765317007</v>
      </c>
      <c r="M60" s="125"/>
      <c r="N60" s="139">
        <f t="shared" si="31"/>
        <v>0.65533333333333321</v>
      </c>
      <c r="O60" s="142">
        <v>-273648.80327614804</v>
      </c>
      <c r="P60" s="137">
        <v>41651.508213426721</v>
      </c>
      <c r="Q60" s="42"/>
      <c r="R60" s="139">
        <f t="shared" si="32"/>
        <v>0.84266666666666679</v>
      </c>
      <c r="S60" s="142">
        <v>-231700.31737962933</v>
      </c>
      <c r="T60" s="137">
        <v>36366.432896709768</v>
      </c>
      <c r="V60" s="139">
        <f t="shared" si="33"/>
        <v>5.8899999999999994E-2</v>
      </c>
      <c r="W60" s="142">
        <v>-257455.94188032637</v>
      </c>
      <c r="X60" s="137">
        <v>35847.702126028031</v>
      </c>
      <c r="Y60" s="129"/>
      <c r="Z60" s="135">
        <f t="shared" si="34"/>
        <v>24383.333333333328</v>
      </c>
      <c r="AA60" s="142">
        <v>-240790.60632569823</v>
      </c>
      <c r="AB60" s="137">
        <v>34330.801533774225</v>
      </c>
      <c r="AC60" s="129"/>
      <c r="AD60" s="140">
        <f t="shared" si="35"/>
        <v>0.10013333333333332</v>
      </c>
      <c r="AE60" s="142">
        <v>-248957.25433710244</v>
      </c>
      <c r="AF60" s="137">
        <v>35994.913146517218</v>
      </c>
      <c r="AG60" s="129"/>
      <c r="AH60" s="139">
        <f t="shared" si="36"/>
        <v>4.6533333333333336E-2</v>
      </c>
      <c r="AI60" s="142">
        <v>-240935.9880861727</v>
      </c>
      <c r="AJ60" s="137">
        <v>36155.411227515498</v>
      </c>
      <c r="AL60" s="135">
        <f t="shared" si="37"/>
        <v>6256</v>
      </c>
      <c r="AM60" s="142">
        <v>-241027.33943261922</v>
      </c>
      <c r="AN60" s="137">
        <v>36189.067544361722</v>
      </c>
      <c r="AO60" s="125"/>
      <c r="AP60" s="135">
        <f t="shared" si="38"/>
        <v>112.10000000000002</v>
      </c>
      <c r="AQ60" s="142">
        <v>-240832.68034405762</v>
      </c>
      <c r="AR60" s="137">
        <v>36163.865963298565</v>
      </c>
      <c r="AS60" s="125"/>
      <c r="AT60" s="135">
        <f t="shared" si="39"/>
        <v>366.00441513513522</v>
      </c>
      <c r="AU60" s="142">
        <v>-240723.75360083362</v>
      </c>
      <c r="AV60" s="137">
        <v>36149.763738893889</v>
      </c>
      <c r="AW60" s="125"/>
      <c r="AX60" s="135">
        <f t="shared" si="40"/>
        <v>125812.78487999996</v>
      </c>
      <c r="AY60" s="142">
        <v>-116495.02365320838</v>
      </c>
      <c r="AZ60" s="137">
        <v>20066.464308683462</v>
      </c>
      <c r="BA60" s="125"/>
    </row>
    <row r="61" spans="1:53" x14ac:dyDescent="0.3">
      <c r="A61" s="110"/>
      <c r="B61" s="135">
        <f t="shared" si="28"/>
        <v>1533.3333333333337</v>
      </c>
      <c r="C61" s="142">
        <v>-246712.40282687385</v>
      </c>
      <c r="D61" s="137">
        <v>36925.08550806524</v>
      </c>
      <c r="E61" s="125"/>
      <c r="F61" s="138">
        <f t="shared" si="29"/>
        <v>6.7333333333333356E-2</v>
      </c>
      <c r="G61" s="142">
        <v>-264033.50337234978</v>
      </c>
      <c r="H61" s="137">
        <v>35350.835905977074</v>
      </c>
      <c r="I61" s="125"/>
      <c r="J61" s="139">
        <f t="shared" si="30"/>
        <v>0.71499999999999997</v>
      </c>
      <c r="K61" s="142">
        <v>-235636.46679692858</v>
      </c>
      <c r="L61" s="137">
        <v>36980.033272925197</v>
      </c>
      <c r="M61" s="125"/>
      <c r="N61" s="139">
        <f t="shared" si="31"/>
        <v>0.66166666666666651</v>
      </c>
      <c r="O61" s="142">
        <v>-269942.53436631826</v>
      </c>
      <c r="P61" s="137">
        <v>41015.113713008832</v>
      </c>
      <c r="Q61" s="42"/>
      <c r="R61" s="139">
        <f t="shared" si="32"/>
        <v>0.84833333333333349</v>
      </c>
      <c r="S61" s="142">
        <v>-232567.82665981379</v>
      </c>
      <c r="T61" s="137">
        <v>36345.873367987129</v>
      </c>
      <c r="V61" s="139">
        <f t="shared" si="33"/>
        <v>6.1999999999999993E-2</v>
      </c>
      <c r="W61" s="142">
        <v>-255846.66710813175</v>
      </c>
      <c r="X61" s="137">
        <v>35875.949100152618</v>
      </c>
      <c r="Y61" s="129"/>
      <c r="Z61" s="135">
        <f t="shared" si="34"/>
        <v>25666.666666666661</v>
      </c>
      <c r="AA61" s="142">
        <v>-240790.60632569823</v>
      </c>
      <c r="AB61" s="137">
        <v>34496.948561740071</v>
      </c>
      <c r="AC61" s="129"/>
      <c r="AD61" s="140">
        <f t="shared" si="35"/>
        <v>0.10366666666666666</v>
      </c>
      <c r="AE61" s="142">
        <v>-248052.81922356156</v>
      </c>
      <c r="AF61" s="137">
        <v>36012.490837853351</v>
      </c>
      <c r="AG61" s="129"/>
      <c r="AH61" s="139">
        <f t="shared" si="36"/>
        <v>4.816666666666667E-2</v>
      </c>
      <c r="AI61" s="142">
        <v>-240919.5652256507</v>
      </c>
      <c r="AJ61" s="137">
        <v>36155.750796824839</v>
      </c>
      <c r="AL61" s="135">
        <f t="shared" si="37"/>
        <v>6440</v>
      </c>
      <c r="AM61" s="142">
        <v>-241027.33943261922</v>
      </c>
      <c r="AN61" s="137">
        <v>36189.067544361722</v>
      </c>
      <c r="AO61" s="125"/>
      <c r="AP61" s="135">
        <f t="shared" si="38"/>
        <v>118.00000000000003</v>
      </c>
      <c r="AQ61" s="142">
        <v>-240828.85543329749</v>
      </c>
      <c r="AR61" s="137">
        <v>36163.370770398542</v>
      </c>
      <c r="AS61" s="125"/>
      <c r="AT61" s="135">
        <f t="shared" si="39"/>
        <v>385.26780540540551</v>
      </c>
      <c r="AU61" s="142">
        <v>-240729.83112127669</v>
      </c>
      <c r="AV61" s="137">
        <v>36150.55056639442</v>
      </c>
      <c r="AW61" s="125"/>
      <c r="AX61" s="135">
        <f t="shared" si="40"/>
        <v>132434.51039999997</v>
      </c>
      <c r="AY61" s="142">
        <v>-122880.77169971037</v>
      </c>
      <c r="AZ61" s="137">
        <v>20893.196562656216</v>
      </c>
      <c r="BA61" s="125"/>
    </row>
    <row r="62" spans="1:53" x14ac:dyDescent="0.3">
      <c r="A62" s="110"/>
      <c r="B62" s="135">
        <f t="shared" si="28"/>
        <v>1610.0000000000005</v>
      </c>
      <c r="C62" s="142">
        <v>-246120.22317675603</v>
      </c>
      <c r="D62" s="137">
        <v>36848.418841398539</v>
      </c>
      <c r="E62" s="125"/>
      <c r="F62" s="138">
        <f t="shared" si="29"/>
        <v>7.0700000000000027E-2</v>
      </c>
      <c r="G62" s="142">
        <v>-261485.77380546945</v>
      </c>
      <c r="H62" s="137">
        <v>35431.594199519139</v>
      </c>
      <c r="I62" s="125"/>
      <c r="J62" s="139">
        <f t="shared" si="30"/>
        <v>0.72</v>
      </c>
      <c r="K62" s="142">
        <v>-236188.5613783946</v>
      </c>
      <c r="L62" s="137">
        <v>36888.742780533415</v>
      </c>
      <c r="M62" s="125"/>
      <c r="N62" s="139">
        <f t="shared" si="31"/>
        <v>0.66799999999999982</v>
      </c>
      <c r="O62" s="142">
        <v>-266210.54048990237</v>
      </c>
      <c r="P62" s="137">
        <v>40378.719212590913</v>
      </c>
      <c r="Q62" s="42"/>
      <c r="R62" s="139">
        <f t="shared" si="32"/>
        <v>0.8540000000000002</v>
      </c>
      <c r="S62" s="142">
        <v>-233441.91586419634</v>
      </c>
      <c r="T62" s="137">
        <v>36325.313839264498</v>
      </c>
      <c r="V62" s="139">
        <f t="shared" si="33"/>
        <v>6.5099999999999991E-2</v>
      </c>
      <c r="W62" s="142">
        <v>-254257.28992930011</v>
      </c>
      <c r="X62" s="137">
        <v>35904.196074277323</v>
      </c>
      <c r="Y62" s="129"/>
      <c r="Z62" s="135">
        <f t="shared" si="34"/>
        <v>26949.999999999993</v>
      </c>
      <c r="AA62" s="142">
        <v>-240790.60632569823</v>
      </c>
      <c r="AB62" s="137">
        <v>34663.095589705925</v>
      </c>
      <c r="AC62" s="129"/>
      <c r="AD62" s="140">
        <f t="shared" si="35"/>
        <v>0.10719999999999999</v>
      </c>
      <c r="AE62" s="142">
        <v>-247154.9317554491</v>
      </c>
      <c r="AF62" s="137">
        <v>36030.068529189521</v>
      </c>
      <c r="AG62" s="129"/>
      <c r="AH62" s="139">
        <f t="shared" si="36"/>
        <v>4.9800000000000004E-2</v>
      </c>
      <c r="AI62" s="142">
        <v>-240903.1446038264</v>
      </c>
      <c r="AJ62" s="137">
        <v>36156.090366134267</v>
      </c>
      <c r="AL62" s="135">
        <f t="shared" si="37"/>
        <v>6624</v>
      </c>
      <c r="AM62" s="142">
        <v>-241027.33943261922</v>
      </c>
      <c r="AN62" s="137">
        <v>36189.067544361722</v>
      </c>
      <c r="AO62" s="125"/>
      <c r="AP62" s="135">
        <f t="shared" si="38"/>
        <v>123.90000000000003</v>
      </c>
      <c r="AQ62" s="142">
        <v>-240825.03052253748</v>
      </c>
      <c r="AR62" s="137">
        <v>36162.875577498533</v>
      </c>
      <c r="AS62" s="125"/>
      <c r="AT62" s="135">
        <f t="shared" si="39"/>
        <v>404.5311956756758</v>
      </c>
      <c r="AU62" s="142">
        <v>-240735.90864171792</v>
      </c>
      <c r="AV62" s="137">
        <v>36151.337393894719</v>
      </c>
      <c r="AW62" s="125"/>
      <c r="AX62" s="135">
        <f t="shared" si="40"/>
        <v>139056.23591999998</v>
      </c>
      <c r="AY62" s="142">
        <v>-129266.51974621348</v>
      </c>
      <c r="AZ62" s="137">
        <v>21719.928816629115</v>
      </c>
      <c r="BA62" s="125"/>
    </row>
    <row r="63" spans="1:53" x14ac:dyDescent="0.3">
      <c r="A63" s="110"/>
      <c r="B63" s="135">
        <f t="shared" si="28"/>
        <v>1686.6666666666672</v>
      </c>
      <c r="C63" s="142">
        <v>-245528.04352663876</v>
      </c>
      <c r="D63" s="137">
        <v>36771.752174731912</v>
      </c>
      <c r="E63" s="125"/>
      <c r="F63" s="138">
        <f t="shared" si="29"/>
        <v>7.4066666666666697E-2</v>
      </c>
      <c r="G63" s="142">
        <v>-258991.89563130343</v>
      </c>
      <c r="H63" s="137">
        <v>35512.3524930614</v>
      </c>
      <c r="I63" s="125"/>
      <c r="J63" s="139">
        <f t="shared" si="30"/>
        <v>0.72499999999999998</v>
      </c>
      <c r="K63" s="142">
        <v>-236745.64022670826</v>
      </c>
      <c r="L63" s="137">
        <v>36797.452288141401</v>
      </c>
      <c r="M63" s="125"/>
      <c r="N63" s="139">
        <f t="shared" si="31"/>
        <v>0.67433333333333312</v>
      </c>
      <c r="O63" s="142">
        <v>-262452.5528812249</v>
      </c>
      <c r="P63" s="137">
        <v>39742.324712173016</v>
      </c>
      <c r="Q63" s="42"/>
      <c r="R63" s="139">
        <f t="shared" si="32"/>
        <v>0.85966666666666691</v>
      </c>
      <c r="S63" s="142">
        <v>-234322.66013932912</v>
      </c>
      <c r="T63" s="137">
        <v>36304.754310541866</v>
      </c>
      <c r="V63" s="139">
        <f t="shared" si="33"/>
        <v>6.8199999999999997E-2</v>
      </c>
      <c r="W63" s="142">
        <v>-252687.44358081662</v>
      </c>
      <c r="X63" s="137">
        <v>35932.443048401779</v>
      </c>
      <c r="Y63" s="129"/>
      <c r="Z63" s="135">
        <f t="shared" si="34"/>
        <v>28233.333333333325</v>
      </c>
      <c r="AA63" s="142">
        <v>-240790.60632569823</v>
      </c>
      <c r="AB63" s="137">
        <v>34829.242617671771</v>
      </c>
      <c r="AC63" s="129"/>
      <c r="AD63" s="140">
        <f t="shared" si="35"/>
        <v>0.11073333333333332</v>
      </c>
      <c r="AE63" s="142">
        <v>-246263.52108683184</v>
      </c>
      <c r="AF63" s="137">
        <v>36047.646220525639</v>
      </c>
      <c r="AG63" s="129"/>
      <c r="AH63" s="139">
        <f t="shared" si="36"/>
        <v>5.1433333333333338E-2</v>
      </c>
      <c r="AI63" s="142">
        <v>-240886.72622025068</v>
      </c>
      <c r="AJ63" s="137">
        <v>36156.429935443615</v>
      </c>
      <c r="AL63" s="135">
        <f t="shared" si="37"/>
        <v>6808</v>
      </c>
      <c r="AM63" s="142">
        <v>-241027.33943261922</v>
      </c>
      <c r="AN63" s="137">
        <v>36189.067544361722</v>
      </c>
      <c r="AO63" s="125"/>
      <c r="AP63" s="135">
        <f t="shared" si="38"/>
        <v>129.80000000000004</v>
      </c>
      <c r="AQ63" s="142">
        <v>-240821.20561177781</v>
      </c>
      <c r="AR63" s="137">
        <v>36162.380384598568</v>
      </c>
      <c r="AS63" s="125"/>
      <c r="AT63" s="135">
        <f t="shared" si="39"/>
        <v>423.7945859459461</v>
      </c>
      <c r="AU63" s="142">
        <v>-240741.98616216064</v>
      </c>
      <c r="AV63" s="137">
        <v>36152.124221395206</v>
      </c>
      <c r="AW63" s="125"/>
      <c r="AX63" s="135">
        <f t="shared" si="40"/>
        <v>145677.96143999998</v>
      </c>
      <c r="AY63" s="142">
        <v>-135652.26779271575</v>
      </c>
      <c r="AZ63" s="137">
        <v>22546.661070601906</v>
      </c>
      <c r="BA63" s="125"/>
    </row>
    <row r="64" spans="1:53" x14ac:dyDescent="0.3">
      <c r="A64" s="110"/>
      <c r="B64" s="135">
        <f t="shared" si="28"/>
        <v>1763.3333333333339</v>
      </c>
      <c r="C64" s="142">
        <v>-244935.8638765215</v>
      </c>
      <c r="D64" s="137">
        <v>36695.085508065284</v>
      </c>
      <c r="E64" s="125"/>
      <c r="F64" s="138">
        <f t="shared" si="29"/>
        <v>7.7433333333333368E-2</v>
      </c>
      <c r="G64" s="142">
        <v>-256550.17931929303</v>
      </c>
      <c r="H64" s="137">
        <v>35593.110786603553</v>
      </c>
      <c r="I64" s="125"/>
      <c r="J64" s="139">
        <f t="shared" si="30"/>
        <v>0.73</v>
      </c>
      <c r="K64" s="142">
        <v>-237307.77114429197</v>
      </c>
      <c r="L64" s="137">
        <v>36706.161795749656</v>
      </c>
      <c r="M64" s="125"/>
      <c r="N64" s="139">
        <f t="shared" si="31"/>
        <v>0.68066666666666642</v>
      </c>
      <c r="O64" s="142">
        <v>-258668.2990175671</v>
      </c>
      <c r="P64" s="137">
        <v>39105.930211755105</v>
      </c>
      <c r="Q64" s="42"/>
      <c r="R64" s="139">
        <f t="shared" si="32"/>
        <v>0.86533333333333362</v>
      </c>
      <c r="S64" s="142">
        <v>-235210.13578042775</v>
      </c>
      <c r="T64" s="137">
        <v>36284.194781819308</v>
      </c>
      <c r="V64" s="139">
        <f t="shared" si="33"/>
        <v>7.1300000000000002E-2</v>
      </c>
      <c r="W64" s="142">
        <v>-251136.77025842894</v>
      </c>
      <c r="X64" s="137">
        <v>35960.690022526418</v>
      </c>
      <c r="Y64" s="129"/>
      <c r="Z64" s="135">
        <f t="shared" si="34"/>
        <v>29516.666666666657</v>
      </c>
      <c r="AA64" s="142">
        <v>-240790.60632569823</v>
      </c>
      <c r="AB64" s="137">
        <v>34995.389645637624</v>
      </c>
      <c r="AC64" s="129"/>
      <c r="AD64" s="140">
        <f t="shared" si="35"/>
        <v>0.11426666666666666</v>
      </c>
      <c r="AE64" s="142">
        <v>-245378.51739017278</v>
      </c>
      <c r="AF64" s="137">
        <v>36065.223911861765</v>
      </c>
      <c r="AG64" s="129"/>
      <c r="AH64" s="139">
        <f t="shared" si="36"/>
        <v>5.3066666666666672E-2</v>
      </c>
      <c r="AI64" s="142">
        <v>-240870.31007445979</v>
      </c>
      <c r="AJ64" s="137">
        <v>36156.769504753007</v>
      </c>
      <c r="AL64" s="135">
        <f t="shared" si="37"/>
        <v>6992</v>
      </c>
      <c r="AM64" s="142">
        <v>-241027.33943261922</v>
      </c>
      <c r="AN64" s="137">
        <v>36189.067544361722</v>
      </c>
      <c r="AO64" s="125"/>
      <c r="AP64" s="135">
        <f t="shared" si="38"/>
        <v>135.70000000000005</v>
      </c>
      <c r="AQ64" s="142">
        <v>-240817.38070101768</v>
      </c>
      <c r="AR64" s="137">
        <v>36161.885191698544</v>
      </c>
      <c r="AS64" s="125"/>
      <c r="AT64" s="135">
        <f t="shared" si="39"/>
        <v>443.05797621621639</v>
      </c>
      <c r="AU64" s="142">
        <v>-240748.06368260269</v>
      </c>
      <c r="AV64" s="137">
        <v>36152.911048895607</v>
      </c>
      <c r="AW64" s="125"/>
      <c r="AX64" s="135">
        <f t="shared" si="40"/>
        <v>152299.68695999999</v>
      </c>
      <c r="AY64" s="142">
        <v>-142038.01583921773</v>
      </c>
      <c r="AZ64" s="137">
        <v>23373.393324574659</v>
      </c>
      <c r="BA64" s="125"/>
    </row>
    <row r="65" spans="1:53" x14ac:dyDescent="0.3">
      <c r="A65" s="110"/>
      <c r="B65" s="135">
        <f t="shared" si="28"/>
        <v>1840.0000000000007</v>
      </c>
      <c r="C65" s="142">
        <v>-244343.6842264029</v>
      </c>
      <c r="D65" s="137">
        <v>36618.418841398481</v>
      </c>
      <c r="E65" s="125"/>
      <c r="F65" s="138">
        <f t="shared" si="29"/>
        <v>8.0800000000000038E-2</v>
      </c>
      <c r="G65" s="142">
        <v>-254159.00528371154</v>
      </c>
      <c r="H65" s="137">
        <v>35673.869080145683</v>
      </c>
      <c r="I65" s="125"/>
      <c r="J65" s="139">
        <f t="shared" si="30"/>
        <v>0.73499999999999999</v>
      </c>
      <c r="K65" s="142">
        <v>-237875.02316893323</v>
      </c>
      <c r="L65" s="137">
        <v>36614.871303357671</v>
      </c>
      <c r="M65" s="125"/>
      <c r="N65" s="139">
        <f t="shared" si="31"/>
        <v>0.68699999999999972</v>
      </c>
      <c r="O65" s="142">
        <v>-254857.50255328772</v>
      </c>
      <c r="P65" s="137">
        <v>38469.53571133723</v>
      </c>
      <c r="Q65" s="42"/>
      <c r="R65" s="139">
        <f t="shared" si="32"/>
        <v>0.87100000000000033</v>
      </c>
      <c r="S65" s="142">
        <v>-236104.42025340538</v>
      </c>
      <c r="T65" s="137">
        <v>36263.635253096661</v>
      </c>
      <c r="V65" s="139">
        <f t="shared" si="33"/>
        <v>7.4400000000000008E-2</v>
      </c>
      <c r="W65" s="142">
        <v>-249604.92084480583</v>
      </c>
      <c r="X65" s="137">
        <v>35988.936996651013</v>
      </c>
      <c r="Y65" s="129"/>
      <c r="Z65" s="135">
        <f t="shared" si="34"/>
        <v>30799.999999999989</v>
      </c>
      <c r="AA65" s="142">
        <v>-240790.60632569823</v>
      </c>
      <c r="AB65" s="137">
        <v>35161.53667360347</v>
      </c>
      <c r="AC65" s="129"/>
      <c r="AD65" s="140">
        <f t="shared" si="35"/>
        <v>0.11779999999999999</v>
      </c>
      <c r="AE65" s="142">
        <v>-244499.85183810661</v>
      </c>
      <c r="AF65" s="137">
        <v>36082.801603197906</v>
      </c>
      <c r="AG65" s="129"/>
      <c r="AH65" s="139">
        <f t="shared" si="36"/>
        <v>5.4700000000000006E-2</v>
      </c>
      <c r="AI65" s="142">
        <v>-240853.89616599749</v>
      </c>
      <c r="AJ65" s="137">
        <v>36157.109074062406</v>
      </c>
      <c r="AL65" s="135">
        <f t="shared" si="37"/>
        <v>7176</v>
      </c>
      <c r="AM65" s="142">
        <v>-241027.33943261922</v>
      </c>
      <c r="AN65" s="137">
        <v>36189.067544361722</v>
      </c>
      <c r="AO65" s="125"/>
      <c r="AP65" s="135">
        <f t="shared" si="38"/>
        <v>141.60000000000005</v>
      </c>
      <c r="AQ65" s="142">
        <v>-240813.55579025811</v>
      </c>
      <c r="AR65" s="137">
        <v>36161.389998798593</v>
      </c>
      <c r="AS65" s="125"/>
      <c r="AT65" s="135">
        <f t="shared" si="39"/>
        <v>462.32136648648668</v>
      </c>
      <c r="AU65" s="142">
        <v>-240754.14120304552</v>
      </c>
      <c r="AV65" s="137">
        <v>36153.697876396109</v>
      </c>
      <c r="AW65" s="125"/>
      <c r="AX65" s="135">
        <f t="shared" si="40"/>
        <v>158921.41248</v>
      </c>
      <c r="AY65" s="142">
        <v>-148423.76388572017</v>
      </c>
      <c r="AZ65" s="137">
        <v>24200.125578547471</v>
      </c>
      <c r="BA65" s="125"/>
    </row>
    <row r="66" spans="1:53" x14ac:dyDescent="0.3">
      <c r="A66" s="110"/>
      <c r="B66" s="135">
        <f t="shared" si="28"/>
        <v>1916.6666666666674</v>
      </c>
      <c r="C66" s="142">
        <v>-243751.50457628531</v>
      </c>
      <c r="D66" s="137">
        <v>36541.75217473181</v>
      </c>
      <c r="E66" s="125"/>
      <c r="F66" s="138">
        <f t="shared" si="29"/>
        <v>8.4166666666666709E-2</v>
      </c>
      <c r="G66" s="142">
        <v>-251816.82030118693</v>
      </c>
      <c r="H66" s="137">
        <v>35754.627373687865</v>
      </c>
      <c r="I66" s="125"/>
      <c r="J66" s="139">
        <f t="shared" si="30"/>
        <v>0.74</v>
      </c>
      <c r="K66" s="142">
        <v>-238447.46660208894</v>
      </c>
      <c r="L66" s="137">
        <v>36523.580810965948</v>
      </c>
      <c r="M66" s="125"/>
      <c r="N66" s="139">
        <f t="shared" si="31"/>
        <v>0.69333333333333302</v>
      </c>
      <c r="O66" s="142">
        <v>-251019.88325254005</v>
      </c>
      <c r="P66" s="137">
        <v>37833.14121091937</v>
      </c>
      <c r="Q66" s="42"/>
      <c r="R66" s="139">
        <f t="shared" si="32"/>
        <v>0.87666666666666704</v>
      </c>
      <c r="S66" s="142">
        <v>-237005.59221740501</v>
      </c>
      <c r="T66" s="137">
        <v>36243.075724374052</v>
      </c>
      <c r="V66" s="139">
        <f t="shared" si="33"/>
        <v>7.7500000000000013E-2</v>
      </c>
      <c r="W66" s="142">
        <v>-248091.5546474751</v>
      </c>
      <c r="X66" s="137">
        <v>36017.183970775579</v>
      </c>
      <c r="Y66" s="129"/>
      <c r="Z66" s="135">
        <f t="shared" si="34"/>
        <v>32083.333333333321</v>
      </c>
      <c r="AA66" s="142">
        <v>-240790.60632569823</v>
      </c>
      <c r="AB66" s="137">
        <v>35327.683701569316</v>
      </c>
      <c r="AC66" s="129"/>
      <c r="AD66" s="140">
        <f t="shared" si="35"/>
        <v>0.12133333333333332</v>
      </c>
      <c r="AE66" s="142">
        <v>-243627.45658559777</v>
      </c>
      <c r="AF66" s="137">
        <v>36100.37929453401</v>
      </c>
      <c r="AG66" s="129"/>
      <c r="AH66" s="139">
        <f t="shared" si="36"/>
        <v>5.6333333333333339E-2</v>
      </c>
      <c r="AI66" s="142">
        <v>-240837.48449440932</v>
      </c>
      <c r="AJ66" s="137">
        <v>36157.448643371768</v>
      </c>
      <c r="AL66" s="135">
        <f t="shared" si="37"/>
        <v>7360</v>
      </c>
      <c r="AM66" s="142">
        <v>-241027.33943261922</v>
      </c>
      <c r="AN66" s="137">
        <v>36189.067544361722</v>
      </c>
      <c r="AO66" s="125"/>
      <c r="AP66" s="135">
        <f t="shared" si="38"/>
        <v>147.50000000000006</v>
      </c>
      <c r="AQ66" s="142">
        <v>-240809.73087949809</v>
      </c>
      <c r="AR66" s="137">
        <v>36160.894805898584</v>
      </c>
      <c r="AS66" s="125"/>
      <c r="AT66" s="135">
        <f t="shared" si="39"/>
        <v>481.58475675675697</v>
      </c>
      <c r="AU66" s="142">
        <v>-240760.21872348699</v>
      </c>
      <c r="AV66" s="137">
        <v>36154.484703896436</v>
      </c>
      <c r="AW66" s="125"/>
      <c r="AX66" s="135">
        <f t="shared" si="40"/>
        <v>165543.13800000001</v>
      </c>
      <c r="AY66" s="142">
        <v>-154809.51193222226</v>
      </c>
      <c r="AZ66" s="137">
        <v>25026.85783252024</v>
      </c>
      <c r="BA66" s="125"/>
    </row>
    <row r="67" spans="1:53" x14ac:dyDescent="0.3">
      <c r="A67" s="110"/>
      <c r="B67" s="135">
        <f t="shared" si="28"/>
        <v>1993.3333333333342</v>
      </c>
      <c r="C67" s="142">
        <v>-243159.32492616805</v>
      </c>
      <c r="D67" s="137">
        <v>36465.085508065182</v>
      </c>
      <c r="E67" s="125"/>
      <c r="F67" s="138">
        <f t="shared" si="29"/>
        <v>8.753333333333338E-2</v>
      </c>
      <c r="G67" s="142">
        <v>-249522.13414619328</v>
      </c>
      <c r="H67" s="137">
        <v>35835.385667229966</v>
      </c>
      <c r="I67" s="125"/>
      <c r="J67" s="139">
        <f t="shared" si="30"/>
        <v>0.745</v>
      </c>
      <c r="K67" s="142">
        <v>-239025.17303789791</v>
      </c>
      <c r="L67" s="137">
        <v>36432.290318573992</v>
      </c>
      <c r="M67" s="125"/>
      <c r="N67" s="139">
        <f t="shared" si="31"/>
        <v>0.69966666666666633</v>
      </c>
      <c r="O67" s="142">
        <v>-247155.15692059317</v>
      </c>
      <c r="P67" s="137">
        <v>37196.746710501429</v>
      </c>
      <c r="Q67" s="42"/>
      <c r="R67" s="139">
        <f t="shared" si="32"/>
        <v>0.88233333333333375</v>
      </c>
      <c r="S67" s="142">
        <v>-237913.73154787029</v>
      </c>
      <c r="T67" s="137">
        <v>36222.516195651464</v>
      </c>
      <c r="V67" s="139">
        <f t="shared" si="33"/>
        <v>8.0600000000000019E-2</v>
      </c>
      <c r="W67" s="142">
        <v>-246596.33914621407</v>
      </c>
      <c r="X67" s="137">
        <v>36045.43094490021</v>
      </c>
      <c r="Y67" s="129"/>
      <c r="Z67" s="135">
        <f t="shared" si="34"/>
        <v>33366.666666666657</v>
      </c>
      <c r="AA67" s="142">
        <v>-240790.60632569823</v>
      </c>
      <c r="AB67" s="137">
        <v>35493.83072953517</v>
      </c>
      <c r="AC67" s="129"/>
      <c r="AD67" s="140">
        <f t="shared" si="35"/>
        <v>0.12486666666666665</v>
      </c>
      <c r="AE67" s="142">
        <v>-242761.26475246798</v>
      </c>
      <c r="AF67" s="137">
        <v>36117.956985870151</v>
      </c>
      <c r="AG67" s="129"/>
      <c r="AH67" s="139">
        <f t="shared" si="36"/>
        <v>5.7966666666666673E-2</v>
      </c>
      <c r="AI67" s="142">
        <v>-240821.07505923227</v>
      </c>
      <c r="AJ67" s="137">
        <v>36157.788212681211</v>
      </c>
      <c r="AL67" s="135">
        <f t="shared" si="37"/>
        <v>7544</v>
      </c>
      <c r="AM67" s="142">
        <v>-241027.33943261922</v>
      </c>
      <c r="AN67" s="137">
        <v>36189.067544361722</v>
      </c>
      <c r="AO67" s="125"/>
      <c r="AP67" s="135">
        <f t="shared" si="38"/>
        <v>153.40000000000006</v>
      </c>
      <c r="AQ67" s="142">
        <v>-240805.90596873773</v>
      </c>
      <c r="AR67" s="137">
        <v>36160.399612998532</v>
      </c>
      <c r="AS67" s="125"/>
      <c r="AT67" s="135">
        <f t="shared" si="39"/>
        <v>500.84814702702727</v>
      </c>
      <c r="AU67" s="142">
        <v>-240766.29624392904</v>
      </c>
      <c r="AV67" s="137">
        <v>36155.271531396837</v>
      </c>
      <c r="AW67" s="125"/>
      <c r="AX67" s="135">
        <f t="shared" si="40"/>
        <v>172164.86352000001</v>
      </c>
      <c r="AY67" s="142">
        <v>-161195.25997872488</v>
      </c>
      <c r="AZ67" s="137">
        <v>25853.590086493074</v>
      </c>
      <c r="BA67" s="125"/>
    </row>
    <row r="68" spans="1:53" x14ac:dyDescent="0.3">
      <c r="A68" s="110"/>
      <c r="B68" s="135">
        <f t="shared" si="28"/>
        <v>2070.0000000000009</v>
      </c>
      <c r="C68" s="142">
        <v>-242567.14527605101</v>
      </c>
      <c r="D68" s="137">
        <v>36388.418841398583</v>
      </c>
      <c r="E68" s="125"/>
      <c r="F68" s="138">
        <f t="shared" si="29"/>
        <v>9.090000000000005E-2</v>
      </c>
      <c r="G68" s="142">
        <v>-247273.51642912935</v>
      </c>
      <c r="H68" s="137">
        <v>35916.143960772082</v>
      </c>
      <c r="I68" s="125"/>
      <c r="J68" s="139">
        <f t="shared" si="30"/>
        <v>0.75</v>
      </c>
      <c r="K68" s="142">
        <v>-239608.21539303783</v>
      </c>
      <c r="L68" s="137">
        <v>36340.99982618224</v>
      </c>
      <c r="M68" s="125"/>
      <c r="N68" s="139">
        <f t="shared" si="31"/>
        <v>0.70599999999999963</v>
      </c>
      <c r="O68" s="142">
        <v>-243263.0353336657</v>
      </c>
      <c r="P68" s="137">
        <v>36560.352210083627</v>
      </c>
      <c r="Q68" s="42"/>
      <c r="R68" s="139">
        <f t="shared" si="32"/>
        <v>0.88800000000000046</v>
      </c>
      <c r="S68" s="142">
        <v>-238828.91936014962</v>
      </c>
      <c r="T68" s="137">
        <v>36201.956666928811</v>
      </c>
      <c r="V68" s="139">
        <f t="shared" si="33"/>
        <v>8.3700000000000024E-2</v>
      </c>
      <c r="W68" s="142">
        <v>-245118.94974948189</v>
      </c>
      <c r="X68" s="137">
        <v>36073.677919024776</v>
      </c>
      <c r="Y68" s="129"/>
      <c r="Z68" s="135">
        <f t="shared" si="34"/>
        <v>34649.999999999993</v>
      </c>
      <c r="AA68" s="142">
        <v>-240790.60632569823</v>
      </c>
      <c r="AB68" s="137">
        <v>35659.977757501016</v>
      </c>
      <c r="AC68" s="129"/>
      <c r="AD68" s="140">
        <f t="shared" si="35"/>
        <v>0.12839999999999999</v>
      </c>
      <c r="AE68" s="142">
        <v>-241901.21040631738</v>
      </c>
      <c r="AF68" s="137">
        <v>36135.534677206291</v>
      </c>
      <c r="AG68" s="129"/>
      <c r="AH68" s="139">
        <f t="shared" si="36"/>
        <v>5.9600000000000007E-2</v>
      </c>
      <c r="AI68" s="142">
        <v>-240804.66786001789</v>
      </c>
      <c r="AJ68" s="137">
        <v>36158.127781990552</v>
      </c>
      <c r="AL68" s="135">
        <f t="shared" si="37"/>
        <v>7728</v>
      </c>
      <c r="AM68" s="142">
        <v>-241027.33943261922</v>
      </c>
      <c r="AN68" s="137">
        <v>36189.067544361722</v>
      </c>
      <c r="AO68" s="125"/>
      <c r="AP68" s="135">
        <f t="shared" si="38"/>
        <v>159.30000000000007</v>
      </c>
      <c r="AQ68" s="142">
        <v>-240802.08105797795</v>
      </c>
      <c r="AR68" s="137">
        <v>36159.904420098552</v>
      </c>
      <c r="AS68" s="125"/>
      <c r="AT68" s="135">
        <f t="shared" si="39"/>
        <v>520.11153729729756</v>
      </c>
      <c r="AU68" s="142">
        <v>-240772.3737643713</v>
      </c>
      <c r="AV68" s="137">
        <v>36156.058358897266</v>
      </c>
      <c r="AW68" s="125"/>
      <c r="AX68" s="135">
        <f t="shared" si="40"/>
        <v>178786.58904000002</v>
      </c>
      <c r="AY68" s="142">
        <v>-167581.00802522726</v>
      </c>
      <c r="AZ68" s="137">
        <v>26680.322340465878</v>
      </c>
      <c r="BA68" s="125"/>
    </row>
    <row r="69" spans="1:53" x14ac:dyDescent="0.3">
      <c r="A69" s="110"/>
      <c r="B69" s="135">
        <f t="shared" si="28"/>
        <v>2146.6666666666674</v>
      </c>
      <c r="C69" s="142">
        <v>-241974.96562593308</v>
      </c>
      <c r="D69" s="137">
        <v>36311.752174731868</v>
      </c>
      <c r="E69" s="125"/>
      <c r="F69" s="138">
        <f t="shared" si="29"/>
        <v>9.4266666666666721E-2</v>
      </c>
      <c r="G69" s="142">
        <v>-245069.5936230284</v>
      </c>
      <c r="H69" s="137">
        <v>35996.902254314213</v>
      </c>
      <c r="I69" s="125"/>
      <c r="J69" s="139">
        <f t="shared" si="30"/>
        <v>0.755</v>
      </c>
      <c r="K69" s="142">
        <v>-240196.66793741615</v>
      </c>
      <c r="L69" s="137">
        <v>36249.709333790401</v>
      </c>
      <c r="M69" s="125"/>
      <c r="N69" s="139">
        <f t="shared" si="31"/>
        <v>0.71233333333333293</v>
      </c>
      <c r="O69" s="142">
        <v>-239343.22616726498</v>
      </c>
      <c r="P69" s="137">
        <v>35923.95770966565</v>
      </c>
      <c r="Q69" s="42"/>
      <c r="R69" s="139">
        <f t="shared" si="32"/>
        <v>0.89366666666666716</v>
      </c>
      <c r="S69" s="142">
        <v>-239751.23803363266</v>
      </c>
      <c r="T69" s="137">
        <v>36181.397138206252</v>
      </c>
      <c r="V69" s="139">
        <f t="shared" si="33"/>
        <v>8.680000000000003E-2</v>
      </c>
      <c r="W69" s="142">
        <v>-243659.06955949074</v>
      </c>
      <c r="X69" s="137">
        <v>36101.924893149349</v>
      </c>
      <c r="Y69" s="129"/>
      <c r="Z69" s="135">
        <f t="shared" si="34"/>
        <v>35933.333333333328</v>
      </c>
      <c r="AA69" s="142">
        <v>-240790.60632569823</v>
      </c>
      <c r="AB69" s="137">
        <v>35826.124785466869</v>
      </c>
      <c r="AC69" s="129"/>
      <c r="AD69" s="140">
        <f t="shared" si="35"/>
        <v>0.13193333333333332</v>
      </c>
      <c r="AE69" s="142">
        <v>-241047.228545786</v>
      </c>
      <c r="AF69" s="137">
        <v>36153.112368542425</v>
      </c>
      <c r="AG69" s="129"/>
      <c r="AH69" s="139">
        <f t="shared" si="36"/>
        <v>6.1233333333333341E-2</v>
      </c>
      <c r="AI69" s="142">
        <v>-240788.26289630178</v>
      </c>
      <c r="AJ69" s="137">
        <v>36158.467351299936</v>
      </c>
      <c r="AL69" s="135">
        <f t="shared" si="37"/>
        <v>7912</v>
      </c>
      <c r="AM69" s="142">
        <v>-241027.33943261922</v>
      </c>
      <c r="AN69" s="137">
        <v>36189.067544361722</v>
      </c>
      <c r="AO69" s="125"/>
      <c r="AP69" s="135">
        <f t="shared" si="38"/>
        <v>165.20000000000007</v>
      </c>
      <c r="AQ69" s="142">
        <v>-240798.25614721791</v>
      </c>
      <c r="AR69" s="137">
        <v>36159.409227198543</v>
      </c>
      <c r="AS69" s="125"/>
      <c r="AT69" s="135">
        <f t="shared" si="39"/>
        <v>539.37492756756785</v>
      </c>
      <c r="AU69" s="142">
        <v>-240778.45128481335</v>
      </c>
      <c r="AV69" s="137">
        <v>36156.845186397666</v>
      </c>
      <c r="AW69" s="125"/>
      <c r="AX69" s="135">
        <f t="shared" si="40"/>
        <v>185408.31456000003</v>
      </c>
      <c r="AY69" s="142">
        <v>-173966.75607172976</v>
      </c>
      <c r="AZ69" s="137">
        <v>27507.054594438698</v>
      </c>
      <c r="BA69" s="125"/>
    </row>
    <row r="70" spans="1:53" x14ac:dyDescent="0.3">
      <c r="A70" s="110"/>
      <c r="B70" s="135">
        <f t="shared" si="28"/>
        <v>2223.3333333333339</v>
      </c>
      <c r="C70" s="142">
        <v>-241382.78597581593</v>
      </c>
      <c r="D70" s="137">
        <v>36235.085508065255</v>
      </c>
      <c r="E70" s="125"/>
      <c r="F70" s="138">
        <f t="shared" si="29"/>
        <v>9.7633333333333391E-2</v>
      </c>
      <c r="G70" s="142">
        <v>-242909.04626572921</v>
      </c>
      <c r="H70" s="137">
        <v>36077.66054785646</v>
      </c>
      <c r="I70" s="125"/>
      <c r="J70" s="139">
        <f t="shared" si="30"/>
        <v>0.76</v>
      </c>
      <c r="K70" s="142">
        <v>-240790.60632569823</v>
      </c>
      <c r="L70" s="137">
        <v>36158.418841398568</v>
      </c>
      <c r="M70" s="125"/>
      <c r="N70" s="139">
        <f t="shared" si="31"/>
        <v>0.71866666666666623</v>
      </c>
      <c r="O70" s="142">
        <v>-235395.43292301163</v>
      </c>
      <c r="P70" s="137">
        <v>35287.563209247739</v>
      </c>
      <c r="Q70" s="42"/>
      <c r="R70" s="139">
        <f t="shared" si="32"/>
        <v>0.89933333333333387</v>
      </c>
      <c r="S70" s="142">
        <v>-240680.77123648708</v>
      </c>
      <c r="T70" s="137">
        <v>36160.837609483635</v>
      </c>
      <c r="V70" s="139">
        <f t="shared" si="33"/>
        <v>8.9900000000000035E-2</v>
      </c>
      <c r="W70" s="142">
        <v>-242216.38914560765</v>
      </c>
      <c r="X70" s="137">
        <v>36130.171867273908</v>
      </c>
      <c r="Y70" s="129"/>
      <c r="Z70" s="135">
        <f t="shared" si="34"/>
        <v>37216.666666666664</v>
      </c>
      <c r="AA70" s="142">
        <v>-240790.60632569823</v>
      </c>
      <c r="AB70" s="137">
        <v>35992.271813432715</v>
      </c>
      <c r="AC70" s="129"/>
      <c r="AD70" s="140">
        <f t="shared" si="35"/>
        <v>0.13546666666666665</v>
      </c>
      <c r="AE70" s="142">
        <v>-240199.25508417914</v>
      </c>
      <c r="AF70" s="137">
        <v>36170.690059878558</v>
      </c>
      <c r="AG70" s="129"/>
      <c r="AH70" s="139">
        <f t="shared" si="36"/>
        <v>6.2866666666666668E-2</v>
      </c>
      <c r="AI70" s="142">
        <v>-240771.86016762751</v>
      </c>
      <c r="AJ70" s="137">
        <v>36158.806920609371</v>
      </c>
      <c r="AL70" s="135">
        <f t="shared" si="37"/>
        <v>8096</v>
      </c>
      <c r="AM70" s="142">
        <v>-241027.33943261922</v>
      </c>
      <c r="AN70" s="137">
        <v>36189.067544361722</v>
      </c>
      <c r="AO70" s="125"/>
      <c r="AP70" s="135">
        <f t="shared" si="38"/>
        <v>171.10000000000008</v>
      </c>
      <c r="AQ70" s="142">
        <v>-240794.43123645789</v>
      </c>
      <c r="AR70" s="137">
        <v>36158.914034298534</v>
      </c>
      <c r="AS70" s="125"/>
      <c r="AT70" s="135">
        <f t="shared" si="39"/>
        <v>558.63831783783814</v>
      </c>
      <c r="AU70" s="142">
        <v>-240784.52880525583</v>
      </c>
      <c r="AV70" s="137">
        <v>36157.632013898125</v>
      </c>
      <c r="AW70" s="125"/>
      <c r="AX70" s="135">
        <f t="shared" si="40"/>
        <v>192030.04008000004</v>
      </c>
      <c r="AY70" s="142">
        <v>-180352.50411823113</v>
      </c>
      <c r="AZ70" s="137">
        <v>28333.786848411371</v>
      </c>
      <c r="BA70" s="125"/>
    </row>
    <row r="71" spans="1:53" x14ac:dyDescent="0.3">
      <c r="A71" s="110"/>
      <c r="B71" s="135">
        <f t="shared" si="28"/>
        <v>2300.0000000000005</v>
      </c>
      <c r="C71" s="142">
        <v>-240790.60632569823</v>
      </c>
      <c r="D71" s="137">
        <v>36158.418841398568</v>
      </c>
      <c r="E71" s="125"/>
      <c r="F71" s="138">
        <f t="shared" si="29"/>
        <v>0.10100000000000006</v>
      </c>
      <c r="G71" s="142">
        <v>-240790.60632569823</v>
      </c>
      <c r="H71" s="137">
        <v>36158.418841398568</v>
      </c>
      <c r="I71" s="125"/>
      <c r="J71" s="139">
        <f t="shared" si="30"/>
        <v>0.76500000000000001</v>
      </c>
      <c r="K71" s="142">
        <v>-241390.10762973459</v>
      </c>
      <c r="L71" s="137">
        <v>36067.128349006627</v>
      </c>
      <c r="M71" s="125"/>
      <c r="N71" s="139">
        <f t="shared" si="31"/>
        <v>0.72499999999999953</v>
      </c>
      <c r="O71" s="142">
        <v>-231419.35485387329</v>
      </c>
      <c r="P71" s="137">
        <v>34651.168708829908</v>
      </c>
      <c r="Q71" s="42"/>
      <c r="R71" s="139">
        <f t="shared" si="32"/>
        <v>0.90500000000000058</v>
      </c>
      <c r="S71" s="142">
        <v>-241617.60395095183</v>
      </c>
      <c r="T71" s="137">
        <v>36140.278080760858</v>
      </c>
      <c r="V71" s="139">
        <f t="shared" si="33"/>
        <v>9.3000000000000041E-2</v>
      </c>
      <c r="W71" s="142">
        <v>-240790.60632569823</v>
      </c>
      <c r="X71" s="137">
        <v>36158.418841398568</v>
      </c>
      <c r="Y71" s="129"/>
      <c r="Z71" s="135">
        <f t="shared" si="34"/>
        <v>38500</v>
      </c>
      <c r="AA71" s="142">
        <v>-240790.60632569823</v>
      </c>
      <c r="AB71" s="137">
        <v>36158.418841398568</v>
      </c>
      <c r="AC71" s="129"/>
      <c r="AD71" s="140">
        <f t="shared" si="35"/>
        <v>0.13899999999999998</v>
      </c>
      <c r="AE71" s="142">
        <v>-239357.22683343734</v>
      </c>
      <c r="AF71" s="137">
        <v>36188.267751214698</v>
      </c>
      <c r="AG71" s="129"/>
      <c r="AH71" s="139">
        <f t="shared" si="36"/>
        <v>6.4500000000000002E-2</v>
      </c>
      <c r="AI71" s="142">
        <v>-240755.45967354369</v>
      </c>
      <c r="AJ71" s="137">
        <v>36159.146489918734</v>
      </c>
      <c r="AL71" s="135">
        <f t="shared" si="37"/>
        <v>8280</v>
      </c>
      <c r="AM71" s="142">
        <v>-241027.33943261922</v>
      </c>
      <c r="AN71" s="137">
        <v>36189.067544361722</v>
      </c>
      <c r="AO71" s="125"/>
      <c r="AP71" s="135">
        <f t="shared" si="38"/>
        <v>177.00000000000009</v>
      </c>
      <c r="AQ71" s="142">
        <v>-240790.60632569823</v>
      </c>
      <c r="AR71" s="137">
        <v>36158.418841398568</v>
      </c>
      <c r="AS71" s="125"/>
      <c r="AT71" s="135">
        <f t="shared" si="39"/>
        <v>577.90170810810844</v>
      </c>
      <c r="AU71" s="142">
        <v>-240790.60632569823</v>
      </c>
      <c r="AV71" s="137">
        <v>36158.418841398568</v>
      </c>
      <c r="AW71" s="125"/>
      <c r="AX71" s="135">
        <f t="shared" si="40"/>
        <v>198651.76560000004</v>
      </c>
      <c r="AY71" s="142">
        <v>-186738.25216473371</v>
      </c>
      <c r="AZ71" s="137">
        <v>29160.519102384205</v>
      </c>
      <c r="BA71" s="125"/>
    </row>
    <row r="72" spans="1:53" x14ac:dyDescent="0.3">
      <c r="A72" s="110"/>
      <c r="B72" s="135">
        <f t="shared" si="28"/>
        <v>2376.666666666667</v>
      </c>
      <c r="C72" s="142">
        <v>-240198.4266755805</v>
      </c>
      <c r="D72" s="137">
        <v>36081.752174731882</v>
      </c>
      <c r="E72" s="125"/>
      <c r="F72" s="138">
        <f t="shared" si="29"/>
        <v>0.10436666666666673</v>
      </c>
      <c r="G72" s="142">
        <v>-238713.05472034495</v>
      </c>
      <c r="H72" s="137">
        <v>36239.177134940692</v>
      </c>
      <c r="I72" s="125"/>
      <c r="J72" s="139">
        <f t="shared" si="30"/>
        <v>0.77</v>
      </c>
      <c r="K72" s="142">
        <v>-241995.25037190079</v>
      </c>
      <c r="L72" s="137">
        <v>35975.837856614846</v>
      </c>
      <c r="M72" s="125"/>
      <c r="N72" s="139">
        <f t="shared" si="31"/>
        <v>0.73133333333333284</v>
      </c>
      <c r="O72" s="142">
        <v>-227414.68688778396</v>
      </c>
      <c r="P72" s="137">
        <v>34014.774208411975</v>
      </c>
      <c r="Q72" s="42"/>
      <c r="R72" s="139">
        <f t="shared" si="32"/>
        <v>0.91066666666666729</v>
      </c>
      <c r="S72" s="142">
        <v>-242561.82249923269</v>
      </c>
      <c r="T72" s="137">
        <v>36119.718552038277</v>
      </c>
      <c r="V72" s="139">
        <f t="shared" si="33"/>
        <v>9.6100000000000046E-2</v>
      </c>
      <c r="W72" s="142">
        <v>-239381.42595511128</v>
      </c>
      <c r="X72" s="137">
        <v>36186.665815523258</v>
      </c>
      <c r="Y72" s="129"/>
      <c r="Z72" s="135">
        <f t="shared" si="34"/>
        <v>39783.333333333336</v>
      </c>
      <c r="AA72" s="142">
        <v>-240790.60632569823</v>
      </c>
      <c r="AB72" s="137">
        <v>36324.565869364415</v>
      </c>
      <c r="AC72" s="129"/>
      <c r="AD72" s="140">
        <f t="shared" si="35"/>
        <v>0.14253333333333332</v>
      </c>
      <c r="AE72" s="142">
        <v>-238521.08148843917</v>
      </c>
      <c r="AF72" s="137">
        <v>36205.845442550824</v>
      </c>
      <c r="AG72" s="129"/>
      <c r="AH72" s="139">
        <f t="shared" si="36"/>
        <v>6.6133333333333336E-2</v>
      </c>
      <c r="AI72" s="142">
        <v>-240739.06141359088</v>
      </c>
      <c r="AJ72" s="137">
        <v>36159.486059228089</v>
      </c>
      <c r="AL72" s="135">
        <f t="shared" si="37"/>
        <v>8464</v>
      </c>
      <c r="AM72" s="142">
        <v>-241027.33943261922</v>
      </c>
      <c r="AN72" s="137">
        <v>36189.067544361722</v>
      </c>
      <c r="AO72" s="125"/>
      <c r="AP72" s="135">
        <f t="shared" si="38"/>
        <v>182.90000000000009</v>
      </c>
      <c r="AQ72" s="142">
        <v>-240786.78141493819</v>
      </c>
      <c r="AR72" s="137">
        <v>36157.923648498559</v>
      </c>
      <c r="AS72" s="125"/>
      <c r="AT72" s="135">
        <f t="shared" si="39"/>
        <v>597.16509837837873</v>
      </c>
      <c r="AU72" s="142">
        <v>-240796.68384614048</v>
      </c>
      <c r="AV72" s="137">
        <v>36159.205668898998</v>
      </c>
      <c r="AW72" s="125"/>
      <c r="AX72" s="135">
        <f t="shared" si="40"/>
        <v>205273.49112000005</v>
      </c>
      <c r="AY72" s="142">
        <v>-193124.00021123601</v>
      </c>
      <c r="AZ72" s="137">
        <v>29987.251356356996</v>
      </c>
      <c r="BA72" s="125"/>
    </row>
    <row r="73" spans="1:53" x14ac:dyDescent="0.3">
      <c r="A73" s="110"/>
      <c r="B73" s="135">
        <f t="shared" si="28"/>
        <v>2453.3333333333335</v>
      </c>
      <c r="C73" s="142">
        <v>-239606.2470254628</v>
      </c>
      <c r="D73" s="137">
        <v>36005.085508065196</v>
      </c>
      <c r="E73" s="125"/>
      <c r="F73" s="138">
        <f t="shared" si="29"/>
        <v>0.1077333333333334</v>
      </c>
      <c r="G73" s="142">
        <v>-236675.21897666427</v>
      </c>
      <c r="H73" s="137">
        <v>36319.93542848283</v>
      </c>
      <c r="I73" s="125"/>
      <c r="J73" s="139">
        <f t="shared" si="30"/>
        <v>0.77500000000000002</v>
      </c>
      <c r="K73" s="142">
        <v>-242606.11455939448</v>
      </c>
      <c r="L73" s="137">
        <v>35884.547364223028</v>
      </c>
      <c r="M73" s="125"/>
      <c r="N73" s="139">
        <f t="shared" si="31"/>
        <v>0.73766666666666614</v>
      </c>
      <c r="O73" s="142">
        <v>-223381.11954962267</v>
      </c>
      <c r="P73" s="137">
        <v>33378.379707994027</v>
      </c>
      <c r="Q73" s="42"/>
      <c r="R73" s="139">
        <f t="shared" si="32"/>
        <v>0.916333333333334</v>
      </c>
      <c r="S73" s="142">
        <v>-243513.51457002742</v>
      </c>
      <c r="T73" s="137">
        <v>36099.159023315733</v>
      </c>
      <c r="V73" s="139">
        <f t="shared" si="33"/>
        <v>9.9200000000000052E-2</v>
      </c>
      <c r="W73" s="142">
        <v>-237988.55972299865</v>
      </c>
      <c r="X73" s="137">
        <v>36214.912789647671</v>
      </c>
      <c r="Y73" s="129"/>
      <c r="Z73" s="135">
        <f t="shared" si="34"/>
        <v>41066.666666666672</v>
      </c>
      <c r="AA73" s="142">
        <v>-240790.60632569823</v>
      </c>
      <c r="AB73" s="137">
        <v>36490.712897330268</v>
      </c>
      <c r="AC73" s="129"/>
      <c r="AD73" s="140">
        <f t="shared" si="35"/>
        <v>0.14606666666666665</v>
      </c>
      <c r="AE73" s="142">
        <v>-237690.75761163526</v>
      </c>
      <c r="AF73" s="137">
        <v>36223.423133886899</v>
      </c>
      <c r="AG73" s="129"/>
      <c r="AH73" s="139">
        <f t="shared" si="36"/>
        <v>6.7766666666666669E-2</v>
      </c>
      <c r="AI73" s="142">
        <v>-240722.66538730884</v>
      </c>
      <c r="AJ73" s="137">
        <v>36159.82562853751</v>
      </c>
      <c r="AL73" s="135">
        <f t="shared" si="37"/>
        <v>8648</v>
      </c>
      <c r="AM73" s="142">
        <v>-241027.33943261922</v>
      </c>
      <c r="AN73" s="137">
        <v>36189.067544361722</v>
      </c>
      <c r="AO73" s="125"/>
      <c r="AP73" s="135">
        <f t="shared" si="38"/>
        <v>188.8000000000001</v>
      </c>
      <c r="AQ73" s="142">
        <v>-240782.95650417829</v>
      </c>
      <c r="AR73" s="137">
        <v>36157.428455598565</v>
      </c>
      <c r="AS73" s="125"/>
      <c r="AT73" s="135">
        <f t="shared" si="39"/>
        <v>616.42848864864902</v>
      </c>
      <c r="AU73" s="142">
        <v>-240802.76136658242</v>
      </c>
      <c r="AV73" s="137">
        <v>36159.992496399384</v>
      </c>
      <c r="AW73" s="125"/>
      <c r="AX73" s="135">
        <f t="shared" si="40"/>
        <v>211895.21664000006</v>
      </c>
      <c r="AY73" s="142">
        <v>-199509.74825773848</v>
      </c>
      <c r="AZ73" s="137">
        <v>30813.983610329815</v>
      </c>
      <c r="BA73" s="125"/>
    </row>
    <row r="74" spans="1:53" x14ac:dyDescent="0.3">
      <c r="A74" s="110"/>
      <c r="B74" s="135">
        <f t="shared" si="28"/>
        <v>2530</v>
      </c>
      <c r="C74" s="142">
        <v>-239014.06737534565</v>
      </c>
      <c r="D74" s="137">
        <v>35928.418841398583</v>
      </c>
      <c r="E74" s="125"/>
      <c r="F74" s="138">
        <f t="shared" si="29"/>
        <v>0.11110000000000007</v>
      </c>
      <c r="G74" s="142">
        <v>-234675.97102479165</v>
      </c>
      <c r="H74" s="137">
        <v>36400.69372202504</v>
      </c>
      <c r="I74" s="125"/>
      <c r="J74" s="139">
        <f t="shared" si="30"/>
        <v>0.78</v>
      </c>
      <c r="K74" s="142">
        <v>-243222.78171946452</v>
      </c>
      <c r="L74" s="137">
        <v>35793.256871831079</v>
      </c>
      <c r="M74" s="125"/>
      <c r="N74" s="139">
        <f t="shared" si="31"/>
        <v>0.74399999999999944</v>
      </c>
      <c r="O74" s="142">
        <v>-219318.33888148717</v>
      </c>
      <c r="P74" s="137">
        <v>32741.985207576119</v>
      </c>
      <c r="Q74" s="42"/>
      <c r="R74" s="139">
        <f t="shared" si="32"/>
        <v>0.92200000000000071</v>
      </c>
      <c r="S74" s="142">
        <v>-244472.76924566721</v>
      </c>
      <c r="T74" s="137">
        <v>36078.59949459316</v>
      </c>
      <c r="V74" s="139">
        <f t="shared" si="33"/>
        <v>0.10230000000000006</v>
      </c>
      <c r="W74" s="142">
        <v>-236611.72595566884</v>
      </c>
      <c r="X74" s="137">
        <v>36243.159763772412</v>
      </c>
      <c r="Y74" s="129"/>
      <c r="Z74" s="135">
        <f t="shared" si="34"/>
        <v>42350.000000000007</v>
      </c>
      <c r="AA74" s="142">
        <v>-240790.60632569823</v>
      </c>
      <c r="AB74" s="137">
        <v>36656.859925296114</v>
      </c>
      <c r="AC74" s="129"/>
      <c r="AD74" s="140">
        <f t="shared" si="35"/>
        <v>0.14959999999999998</v>
      </c>
      <c r="AE74" s="142">
        <v>-236866.19461798779</v>
      </c>
      <c r="AF74" s="137">
        <v>36241.000825223069</v>
      </c>
      <c r="AG74" s="129"/>
      <c r="AH74" s="139">
        <f t="shared" si="36"/>
        <v>6.9400000000000003E-2</v>
      </c>
      <c r="AI74" s="142">
        <v>-240706.27159424618</v>
      </c>
      <c r="AJ74" s="137">
        <v>36160.165197846894</v>
      </c>
      <c r="AL74" s="135">
        <f t="shared" si="37"/>
        <v>8832</v>
      </c>
      <c r="AM74" s="142">
        <v>-241027.33943261922</v>
      </c>
      <c r="AN74" s="137">
        <v>36189.067544361722</v>
      </c>
      <c r="AO74" s="125"/>
      <c r="AP74" s="135">
        <f t="shared" si="38"/>
        <v>194.7000000000001</v>
      </c>
      <c r="AQ74" s="142">
        <v>-240779.13159341816</v>
      </c>
      <c r="AR74" s="137">
        <v>36156.933262698542</v>
      </c>
      <c r="AS74" s="125"/>
      <c r="AT74" s="135">
        <f t="shared" si="39"/>
        <v>635.69187891891931</v>
      </c>
      <c r="AU74" s="142">
        <v>-240808.8388870249</v>
      </c>
      <c r="AV74" s="137">
        <v>36160.779323899842</v>
      </c>
      <c r="AW74" s="125"/>
      <c r="AX74" s="135">
        <f t="shared" si="40"/>
        <v>218516.94216000006</v>
      </c>
      <c r="AY74" s="142">
        <v>-205895.49630424086</v>
      </c>
      <c r="AZ74" s="137">
        <v>31640.71586430262</v>
      </c>
      <c r="BA74" s="125"/>
    </row>
    <row r="75" spans="1:53" x14ac:dyDescent="0.3">
      <c r="A75" s="110"/>
      <c r="B75" s="135">
        <f t="shared" si="28"/>
        <v>2606.6666666666665</v>
      </c>
      <c r="C75" s="142">
        <v>-238421.8877252274</v>
      </c>
      <c r="D75" s="137">
        <v>35851.752174731824</v>
      </c>
      <c r="E75" s="125"/>
      <c r="F75" s="138">
        <f t="shared" si="29"/>
        <v>0.11446666666666674</v>
      </c>
      <c r="G75" s="142">
        <v>-232714.22511568968</v>
      </c>
      <c r="H75" s="137">
        <v>36481.45201556712</v>
      </c>
      <c r="I75" s="125"/>
      <c r="J75" s="139">
        <f t="shared" si="30"/>
        <v>0.78500000000000003</v>
      </c>
      <c r="K75" s="142">
        <v>-243845.33493573518</v>
      </c>
      <c r="L75" s="137">
        <v>35701.966379439305</v>
      </c>
      <c r="M75" s="125"/>
      <c r="N75" s="139">
        <f t="shared" si="31"/>
        <v>0.75033333333333274</v>
      </c>
      <c r="O75" s="142">
        <v>-215226.02636123385</v>
      </c>
      <c r="P75" s="137">
        <v>32105.590707158255</v>
      </c>
      <c r="Q75" s="42"/>
      <c r="R75" s="139">
        <f t="shared" si="32"/>
        <v>0.92766666666666742</v>
      </c>
      <c r="S75" s="142">
        <v>-245439.67702990543</v>
      </c>
      <c r="T75" s="137">
        <v>36058.039965870492</v>
      </c>
      <c r="V75" s="139">
        <f t="shared" si="33"/>
        <v>0.10540000000000006</v>
      </c>
      <c r="W75" s="142">
        <v>-235250.64942668343</v>
      </c>
      <c r="X75" s="137">
        <v>36271.406737896963</v>
      </c>
      <c r="Y75" s="129"/>
      <c r="Z75" s="135">
        <f t="shared" si="34"/>
        <v>43633.333333333343</v>
      </c>
      <c r="AA75" s="142">
        <v>-240790.60632569823</v>
      </c>
      <c r="AB75" s="137">
        <v>36823.006953261967</v>
      </c>
      <c r="AC75" s="129"/>
      <c r="AD75" s="140">
        <f t="shared" si="35"/>
        <v>0.15313333333333332</v>
      </c>
      <c r="AE75" s="142">
        <v>-236047.33276025855</v>
      </c>
      <c r="AF75" s="137">
        <v>36258.57851655921</v>
      </c>
      <c r="AG75" s="129"/>
      <c r="AH75" s="139">
        <f t="shared" si="36"/>
        <v>7.1033333333333337E-2</v>
      </c>
      <c r="AI75" s="142">
        <v>-240689.880033945</v>
      </c>
      <c r="AJ75" s="137">
        <v>36160.504767156286</v>
      </c>
      <c r="AL75" s="135">
        <f t="shared" si="37"/>
        <v>9016</v>
      </c>
      <c r="AM75" s="142">
        <v>-241027.33943261922</v>
      </c>
      <c r="AN75" s="137">
        <v>36189.067544361722</v>
      </c>
      <c r="AO75" s="125"/>
      <c r="AP75" s="135">
        <f t="shared" si="38"/>
        <v>200.60000000000011</v>
      </c>
      <c r="AQ75" s="142">
        <v>-240775.30668265838</v>
      </c>
      <c r="AR75" s="137">
        <v>36156.438069798562</v>
      </c>
      <c r="AS75" s="125"/>
      <c r="AT75" s="135">
        <f t="shared" si="39"/>
        <v>654.95526918918961</v>
      </c>
      <c r="AU75" s="142">
        <v>-240814.91640746739</v>
      </c>
      <c r="AV75" s="137">
        <v>36161.5661514003</v>
      </c>
      <c r="AW75" s="125"/>
      <c r="AX75" s="135">
        <f t="shared" si="40"/>
        <v>225138.66768000007</v>
      </c>
      <c r="AY75" s="142">
        <v>-212281.24435074325</v>
      </c>
      <c r="AZ75" s="137">
        <v>32467.448118275424</v>
      </c>
      <c r="BA75" s="125"/>
    </row>
    <row r="76" spans="1:53" x14ac:dyDescent="0.3">
      <c r="A76" s="110"/>
      <c r="B76" s="135">
        <f t="shared" si="28"/>
        <v>2683.333333333333</v>
      </c>
      <c r="C76" s="142">
        <v>-237829.70807511048</v>
      </c>
      <c r="D76" s="137">
        <v>35775.08550806524</v>
      </c>
      <c r="E76" s="125"/>
      <c r="F76" s="138">
        <f t="shared" si="29"/>
        <v>0.11783333333333341</v>
      </c>
      <c r="G76" s="142">
        <v>-230788.93585496463</v>
      </c>
      <c r="H76" s="137">
        <v>36562.210309109287</v>
      </c>
      <c r="I76" s="125"/>
      <c r="J76" s="139">
        <f t="shared" si="30"/>
        <v>0.79</v>
      </c>
      <c r="K76" s="142">
        <v>-244473.85888546982</v>
      </c>
      <c r="L76" s="137">
        <v>35610.675887047539</v>
      </c>
      <c r="M76" s="125"/>
      <c r="N76" s="139">
        <f t="shared" si="31"/>
        <v>0.75666666666666604</v>
      </c>
      <c r="O76" s="142">
        <v>-211103.85881923043</v>
      </c>
      <c r="P76" s="137">
        <v>31469.196206740344</v>
      </c>
      <c r="Q76" s="42"/>
      <c r="R76" s="139">
        <f t="shared" si="32"/>
        <v>0.93333333333333413</v>
      </c>
      <c r="S76" s="142">
        <v>-246414.32987640481</v>
      </c>
      <c r="T76" s="137">
        <v>36037.480437147889</v>
      </c>
      <c r="V76" s="139">
        <f t="shared" si="33"/>
        <v>0.10850000000000007</v>
      </c>
      <c r="W76" s="142">
        <v>-233905.06117344642</v>
      </c>
      <c r="X76" s="137">
        <v>36299.653712021485</v>
      </c>
      <c r="Y76" s="129"/>
      <c r="Z76" s="135">
        <f t="shared" si="34"/>
        <v>44916.666666666679</v>
      </c>
      <c r="AA76" s="142">
        <v>-240790.60632569823</v>
      </c>
      <c r="AB76" s="137">
        <v>36989.153981227821</v>
      </c>
      <c r="AC76" s="129"/>
      <c r="AD76" s="140">
        <f t="shared" si="35"/>
        <v>0.15666666666666665</v>
      </c>
      <c r="AE76" s="142">
        <v>-235234.11311455671</v>
      </c>
      <c r="AF76" s="137">
        <v>36276.156207895321</v>
      </c>
      <c r="AG76" s="129"/>
      <c r="AH76" s="139">
        <f t="shared" si="36"/>
        <v>7.2666666666666671E-2</v>
      </c>
      <c r="AI76" s="142">
        <v>-240673.49070594841</v>
      </c>
      <c r="AJ76" s="137">
        <v>36160.844336465692</v>
      </c>
      <c r="AL76" s="135">
        <f t="shared" si="37"/>
        <v>9200</v>
      </c>
      <c r="AM76" s="142">
        <v>-241027.33943261922</v>
      </c>
      <c r="AN76" s="137">
        <v>36189.067544361722</v>
      </c>
      <c r="AO76" s="125"/>
      <c r="AP76" s="135">
        <f t="shared" si="38"/>
        <v>206.50000000000011</v>
      </c>
      <c r="AQ76" s="142">
        <v>-240771.48177189857</v>
      </c>
      <c r="AR76" s="137">
        <v>36155.942876898582</v>
      </c>
      <c r="AS76" s="125"/>
      <c r="AT76" s="135">
        <f t="shared" si="39"/>
        <v>674.2186594594599</v>
      </c>
      <c r="AU76" s="142">
        <v>-240820.99392790932</v>
      </c>
      <c r="AV76" s="137">
        <v>36162.352978900686</v>
      </c>
      <c r="AW76" s="125"/>
      <c r="AX76" s="135">
        <f t="shared" si="40"/>
        <v>231760.39320000008</v>
      </c>
      <c r="AY76" s="142">
        <v>-218666.99239724563</v>
      </c>
      <c r="AZ76" s="137">
        <v>33294.180372248229</v>
      </c>
      <c r="BA76" s="125"/>
    </row>
    <row r="77" spans="1:53" x14ac:dyDescent="0.3">
      <c r="A77" s="110"/>
      <c r="B77" s="135">
        <f t="shared" si="28"/>
        <v>2759.9999999999995</v>
      </c>
      <c r="C77" s="142">
        <v>-237237.52842499208</v>
      </c>
      <c r="D77" s="137">
        <v>35698.418841398467</v>
      </c>
      <c r="E77" s="125"/>
      <c r="F77" s="138">
        <f t="shared" si="29"/>
        <v>0.12120000000000009</v>
      </c>
      <c r="G77" s="142">
        <v>-228899.096345264</v>
      </c>
      <c r="H77" s="137">
        <v>36642.968602651439</v>
      </c>
      <c r="I77" s="125"/>
      <c r="J77" s="139">
        <f t="shared" si="30"/>
        <v>0.79500000000000004</v>
      </c>
      <c r="K77" s="142">
        <v>-245108.43987800475</v>
      </c>
      <c r="L77" s="137">
        <v>35519.385394655576</v>
      </c>
      <c r="M77" s="125"/>
      <c r="N77" s="139">
        <f t="shared" si="31"/>
        <v>0.76299999999999935</v>
      </c>
      <c r="O77" s="142">
        <v>-206951.50835328171</v>
      </c>
      <c r="P77" s="137">
        <v>30832.8017063224</v>
      </c>
      <c r="Q77" s="42"/>
      <c r="R77" s="139">
        <f t="shared" si="32"/>
        <v>0.93900000000000083</v>
      </c>
      <c r="S77" s="142">
        <v>-247396.82121785745</v>
      </c>
      <c r="T77" s="137">
        <v>36016.92090842528</v>
      </c>
      <c r="V77" s="139">
        <f t="shared" si="33"/>
        <v>0.11160000000000007</v>
      </c>
      <c r="W77" s="142">
        <v>-232574.69832000908</v>
      </c>
      <c r="X77" s="137">
        <v>36327.900686146102</v>
      </c>
      <c r="Y77" s="129"/>
      <c r="Z77" s="135">
        <f t="shared" si="34"/>
        <v>46200.000000000015</v>
      </c>
      <c r="AA77" s="142">
        <v>-240790.60632569823</v>
      </c>
      <c r="AB77" s="137">
        <v>37155.301009193667</v>
      </c>
      <c r="AC77" s="129"/>
      <c r="AD77" s="140">
        <f t="shared" si="35"/>
        <v>0.16019999999999998</v>
      </c>
      <c r="AE77" s="142">
        <v>-234426.47756620916</v>
      </c>
      <c r="AF77" s="137">
        <v>36293.733899231462</v>
      </c>
      <c r="AG77" s="129"/>
      <c r="AH77" s="139">
        <f t="shared" si="36"/>
        <v>7.4300000000000005E-2</v>
      </c>
      <c r="AI77" s="142">
        <v>-240657.10360980409</v>
      </c>
      <c r="AJ77" s="137">
        <v>36161.183905775033</v>
      </c>
      <c r="AL77" s="135">
        <f t="shared" si="37"/>
        <v>9384</v>
      </c>
      <c r="AM77" s="142">
        <v>-241027.33943261922</v>
      </c>
      <c r="AN77" s="137">
        <v>36189.067544361722</v>
      </c>
      <c r="AO77" s="125"/>
      <c r="AP77" s="135">
        <f t="shared" si="38"/>
        <v>212.40000000000012</v>
      </c>
      <c r="AQ77" s="142">
        <v>-240767.65686113844</v>
      </c>
      <c r="AR77" s="137">
        <v>36155.447683998558</v>
      </c>
      <c r="AS77" s="125"/>
      <c r="AT77" s="135">
        <f t="shared" si="39"/>
        <v>693.48204972973019</v>
      </c>
      <c r="AU77" s="142">
        <v>-240827.07144835094</v>
      </c>
      <c r="AV77" s="137">
        <v>36163.139806401028</v>
      </c>
      <c r="AW77" s="125"/>
      <c r="AX77" s="135">
        <f t="shared" si="40"/>
        <v>238382.11872000009</v>
      </c>
      <c r="AY77" s="142">
        <v>-225052.74044374845</v>
      </c>
      <c r="AZ77" s="137">
        <v>34120.912626221092</v>
      </c>
      <c r="BA77" s="125"/>
    </row>
    <row r="78" spans="1:53" x14ac:dyDescent="0.3">
      <c r="A78" s="110"/>
      <c r="B78" s="135">
        <f t="shared" si="28"/>
        <v>2836.6666666666661</v>
      </c>
      <c r="C78" s="142">
        <v>-236645.34877487482</v>
      </c>
      <c r="D78" s="137">
        <v>35621.752174731839</v>
      </c>
      <c r="E78" s="125"/>
      <c r="F78" s="138">
        <f t="shared" si="29"/>
        <v>0.12456666666666676</v>
      </c>
      <c r="G78" s="142">
        <v>-227043.73643035331</v>
      </c>
      <c r="H78" s="137">
        <v>36723.726896193577</v>
      </c>
      <c r="I78" s="125"/>
      <c r="J78" s="139">
        <f t="shared" si="30"/>
        <v>0.8</v>
      </c>
      <c r="K78" s="142">
        <v>-245749.16589424395</v>
      </c>
      <c r="L78" s="137">
        <v>35428.094902263867</v>
      </c>
      <c r="M78" s="125"/>
      <c r="N78" s="139">
        <f t="shared" si="31"/>
        <v>0.76933333333333265</v>
      </c>
      <c r="O78" s="142">
        <v>-202768.64224169104</v>
      </c>
      <c r="P78" s="137">
        <v>30196.407205904594</v>
      </c>
      <c r="Q78" s="42"/>
      <c r="R78" s="139">
        <f t="shared" si="32"/>
        <v>0.94466666666666754</v>
      </c>
      <c r="S78" s="142">
        <v>-248387.24599586939</v>
      </c>
      <c r="T78" s="137">
        <v>35996.361379702706</v>
      </c>
      <c r="V78" s="139">
        <f t="shared" si="33"/>
        <v>0.11470000000000008</v>
      </c>
      <c r="W78" s="142">
        <v>-231259.30390586707</v>
      </c>
      <c r="X78" s="137">
        <v>36356.147660270675</v>
      </c>
      <c r="Y78" s="129"/>
      <c r="Z78" s="135">
        <f t="shared" si="34"/>
        <v>47483.33333333335</v>
      </c>
      <c r="AA78" s="142">
        <v>-240790.60632569823</v>
      </c>
      <c r="AB78" s="137">
        <v>37321.448037159513</v>
      </c>
      <c r="AC78" s="129"/>
      <c r="AD78" s="140">
        <f t="shared" si="35"/>
        <v>0.16373333333333331</v>
      </c>
      <c r="AE78" s="142">
        <v>-233624.36879592267</v>
      </c>
      <c r="AF78" s="137">
        <v>36311.311590567588</v>
      </c>
      <c r="AG78" s="129"/>
      <c r="AH78" s="139">
        <f t="shared" si="36"/>
        <v>7.5933333333333339E-2</v>
      </c>
      <c r="AI78" s="142">
        <v>-240640.71874504961</v>
      </c>
      <c r="AJ78" s="137">
        <v>36161.523475084461</v>
      </c>
      <c r="AL78" s="135">
        <f t="shared" si="37"/>
        <v>9568</v>
      </c>
      <c r="AM78" s="142">
        <v>-241027.33943261922</v>
      </c>
      <c r="AN78" s="137">
        <v>36189.067544361722</v>
      </c>
      <c r="AO78" s="125"/>
      <c r="AP78" s="135">
        <f t="shared" si="38"/>
        <v>218.30000000000013</v>
      </c>
      <c r="AQ78" s="142">
        <v>-240763.83195037866</v>
      </c>
      <c r="AR78" s="137">
        <v>36154.952491098578</v>
      </c>
      <c r="AS78" s="125"/>
      <c r="AT78" s="135">
        <f t="shared" si="39"/>
        <v>712.74544000000049</v>
      </c>
      <c r="AU78" s="142">
        <v>-240833.14896879386</v>
      </c>
      <c r="AV78" s="137">
        <v>36163.926633901545</v>
      </c>
      <c r="AW78" s="125"/>
      <c r="AX78" s="135">
        <f t="shared" si="40"/>
        <v>245003.84424000009</v>
      </c>
      <c r="AY78" s="142">
        <v>-231438.4884902506</v>
      </c>
      <c r="AZ78" s="137">
        <v>34947.644880193868</v>
      </c>
      <c r="BA78" s="125"/>
    </row>
    <row r="79" spans="1:53" x14ac:dyDescent="0.3">
      <c r="A79" s="110"/>
      <c r="B79" s="135">
        <f t="shared" si="28"/>
        <v>2913.3333333333326</v>
      </c>
      <c r="C79" s="142">
        <v>-236053.16912475758</v>
      </c>
      <c r="D79" s="137">
        <v>35545.085508065211</v>
      </c>
      <c r="E79" s="125"/>
      <c r="F79" s="138">
        <f t="shared" si="29"/>
        <v>0.12793333333333343</v>
      </c>
      <c r="G79" s="142">
        <v>-225221.92103444849</v>
      </c>
      <c r="H79" s="137">
        <v>36804.485189735751</v>
      </c>
      <c r="I79" s="125"/>
      <c r="J79" s="139">
        <f t="shared" si="30"/>
        <v>0.80500000000000005</v>
      </c>
      <c r="K79" s="142">
        <v>-246396.1266273183</v>
      </c>
      <c r="L79" s="137">
        <v>35336.804409871896</v>
      </c>
      <c r="M79" s="125"/>
      <c r="N79" s="139">
        <f t="shared" si="31"/>
        <v>0.77566666666666595</v>
      </c>
      <c r="O79" s="142">
        <v>-198554.92285436872</v>
      </c>
      <c r="P79" s="137">
        <v>29560.012705486708</v>
      </c>
      <c r="Q79" s="42"/>
      <c r="R79" s="139">
        <f t="shared" si="32"/>
        <v>0.95033333333333425</v>
      </c>
      <c r="S79" s="142">
        <v>-249385.70069153426</v>
      </c>
      <c r="T79" s="137">
        <v>35975.801850980068</v>
      </c>
      <c r="V79" s="139">
        <f t="shared" si="33"/>
        <v>0.11780000000000009</v>
      </c>
      <c r="W79" s="142">
        <v>-229958.62672049861</v>
      </c>
      <c r="X79" s="137">
        <v>36384.394634395263</v>
      </c>
      <c r="Y79" s="129"/>
      <c r="Z79" s="135">
        <f t="shared" si="34"/>
        <v>48766.666666666686</v>
      </c>
      <c r="AA79" s="142">
        <v>-240790.60632569823</v>
      </c>
      <c r="AB79" s="137">
        <v>37487.595065125366</v>
      </c>
      <c r="AC79" s="129"/>
      <c r="AD79" s="140">
        <f t="shared" si="35"/>
        <v>0.16726666666666665</v>
      </c>
      <c r="AE79" s="142">
        <v>-232827.73026621813</v>
      </c>
      <c r="AF79" s="137">
        <v>36328.889281903692</v>
      </c>
      <c r="AG79" s="129"/>
      <c r="AH79" s="139">
        <f t="shared" si="36"/>
        <v>7.7566666666666673E-2</v>
      </c>
      <c r="AI79" s="142">
        <v>-240624.33611123747</v>
      </c>
      <c r="AJ79" s="137">
        <v>36161.863044393787</v>
      </c>
      <c r="AL79" s="135">
        <f t="shared" si="37"/>
        <v>9752</v>
      </c>
      <c r="AM79" s="142">
        <v>-241027.33943261922</v>
      </c>
      <c r="AN79" s="137">
        <v>36189.067544361722</v>
      </c>
      <c r="AO79" s="125"/>
      <c r="AP79" s="135">
        <f t="shared" si="38"/>
        <v>224.20000000000013</v>
      </c>
      <c r="AQ79" s="142">
        <v>-240760.00703961877</v>
      </c>
      <c r="AR79" s="137">
        <v>36154.457298198584</v>
      </c>
      <c r="AS79" s="125"/>
      <c r="AT79" s="135">
        <f t="shared" si="39"/>
        <v>732.00883027027078</v>
      </c>
      <c r="AU79" s="142">
        <v>-240839.22648923646</v>
      </c>
      <c r="AV79" s="137">
        <v>36164.713461402018</v>
      </c>
      <c r="AW79" s="125"/>
      <c r="AX79" s="135">
        <f t="shared" si="40"/>
        <v>251625.5697600001</v>
      </c>
      <c r="AY79" s="142">
        <v>-237824.23653675267</v>
      </c>
      <c r="AZ79" s="137">
        <v>35774.377134166629</v>
      </c>
      <c r="BA79" s="125"/>
    </row>
    <row r="80" spans="1:53" x14ac:dyDescent="0.3">
      <c r="A80" s="110"/>
      <c r="B80" s="135">
        <f t="shared" si="28"/>
        <v>2989.9999999999991</v>
      </c>
      <c r="C80" s="142">
        <v>-235460.98947464043</v>
      </c>
      <c r="D80" s="137">
        <v>35468.418841398598</v>
      </c>
      <c r="E80" s="125"/>
      <c r="F80" s="138">
        <f t="shared" si="29"/>
        <v>0.13130000000000008</v>
      </c>
      <c r="G80" s="142">
        <v>-223432.74859078793</v>
      </c>
      <c r="H80" s="137">
        <v>36885.243483277874</v>
      </c>
      <c r="I80" s="125"/>
      <c r="J80" s="139">
        <f t="shared" si="30"/>
        <v>0.81</v>
      </c>
      <c r="K80" s="142">
        <v>-247049.41352444878</v>
      </c>
      <c r="L80" s="137">
        <v>35245.513917480072</v>
      </c>
      <c r="M80" s="125"/>
      <c r="N80" s="139">
        <f t="shared" si="31"/>
        <v>0.78199999999999925</v>
      </c>
      <c r="O80" s="142">
        <v>-194310.00756199606</v>
      </c>
      <c r="P80" s="137">
        <v>28923.618205068778</v>
      </c>
      <c r="Q80" s="42"/>
      <c r="R80" s="139">
        <f t="shared" si="32"/>
        <v>0.95600000000000096</v>
      </c>
      <c r="S80" s="142">
        <v>-250392.28335675801</v>
      </c>
      <c r="T80" s="137">
        <v>35955.242322257451</v>
      </c>
      <c r="V80" s="139">
        <f t="shared" si="33"/>
        <v>0.12090000000000009</v>
      </c>
      <c r="W80" s="142">
        <v>-228672.42114342347</v>
      </c>
      <c r="X80" s="137">
        <v>36412.641608519989</v>
      </c>
      <c r="Y80" s="129"/>
      <c r="Z80" s="135">
        <f t="shared" si="34"/>
        <v>50050.000000000022</v>
      </c>
      <c r="AA80" s="142">
        <v>-240790.60632569823</v>
      </c>
      <c r="AB80" s="137">
        <v>37653.742093091219</v>
      </c>
      <c r="AC80" s="129"/>
      <c r="AD80" s="140">
        <f t="shared" si="35"/>
        <v>0.17079999999999998</v>
      </c>
      <c r="AE80" s="142">
        <v>-232036.50620814212</v>
      </c>
      <c r="AF80" s="137">
        <v>36346.466973239869</v>
      </c>
      <c r="AG80" s="129"/>
      <c r="AH80" s="139">
        <f t="shared" si="36"/>
        <v>7.9200000000000007E-2</v>
      </c>
      <c r="AI80" s="142">
        <v>-240607.95570790343</v>
      </c>
      <c r="AJ80" s="137">
        <v>36162.202613703201</v>
      </c>
      <c r="AL80" s="135">
        <f t="shared" si="37"/>
        <v>9936</v>
      </c>
      <c r="AM80" s="142">
        <v>-241027.33943261922</v>
      </c>
      <c r="AN80" s="137">
        <v>36189.067544361722</v>
      </c>
      <c r="AO80" s="125"/>
      <c r="AP80" s="135">
        <f t="shared" si="38"/>
        <v>230.10000000000014</v>
      </c>
      <c r="AQ80" s="142">
        <v>-240756.18212885864</v>
      </c>
      <c r="AR80" s="137">
        <v>36153.96210529856</v>
      </c>
      <c r="AS80" s="125"/>
      <c r="AT80" s="135">
        <f t="shared" si="39"/>
        <v>751.27222054054107</v>
      </c>
      <c r="AU80" s="142">
        <v>-240845.30400967828</v>
      </c>
      <c r="AV80" s="137">
        <v>36165.500288902389</v>
      </c>
      <c r="AW80" s="125"/>
      <c r="AX80" s="135">
        <f t="shared" si="40"/>
        <v>258247.29528000011</v>
      </c>
      <c r="AY80" s="142">
        <v>-244209.98458325537</v>
      </c>
      <c r="AZ80" s="137">
        <v>36601.109388139477</v>
      </c>
      <c r="BA80" s="125"/>
    </row>
    <row r="81" spans="1:53" x14ac:dyDescent="0.3">
      <c r="A81" s="110"/>
      <c r="B81" s="135">
        <f t="shared" si="28"/>
        <v>3066.6666666666656</v>
      </c>
      <c r="C81" s="142">
        <v>-234868.80982452261</v>
      </c>
      <c r="D81" s="137">
        <v>35391.752174731897</v>
      </c>
      <c r="E81" s="125"/>
      <c r="F81" s="138">
        <f t="shared" si="29"/>
        <v>0.13466666666666674</v>
      </c>
      <c r="G81" s="142">
        <v>-221675.34955395744</v>
      </c>
      <c r="H81" s="137">
        <v>36966.001776820078</v>
      </c>
      <c r="I81" s="125"/>
      <c r="J81" s="139">
        <f t="shared" si="30"/>
        <v>0.81500000000000006</v>
      </c>
      <c r="K81" s="142">
        <v>-247709.11983003892</v>
      </c>
      <c r="L81" s="137">
        <v>35154.223425088298</v>
      </c>
      <c r="M81" s="125"/>
      <c r="N81" s="139">
        <f t="shared" si="31"/>
        <v>0.78833333333333255</v>
      </c>
      <c r="O81" s="142">
        <v>-190033.54864316105</v>
      </c>
      <c r="P81" s="137">
        <v>28287.223704650911</v>
      </c>
      <c r="Q81" s="42"/>
      <c r="R81" s="139">
        <f t="shared" si="32"/>
        <v>0.96166666666666767</v>
      </c>
      <c r="S81" s="142">
        <v>-251407.09364637095</v>
      </c>
      <c r="T81" s="137">
        <v>35934.682793534812</v>
      </c>
      <c r="V81" s="139">
        <f t="shared" si="33"/>
        <v>0.1240000000000001</v>
      </c>
      <c r="W81" s="142">
        <v>-227400.44698957814</v>
      </c>
      <c r="X81" s="137">
        <v>36440.888582644475</v>
      </c>
      <c r="Y81" s="129"/>
      <c r="Z81" s="135">
        <f t="shared" si="34"/>
        <v>51333.333333333358</v>
      </c>
      <c r="AA81" s="142">
        <v>-240790.60632569823</v>
      </c>
      <c r="AB81" s="137">
        <v>37819.889121057065</v>
      </c>
      <c r="AC81" s="129"/>
      <c r="AD81" s="140">
        <f t="shared" si="35"/>
        <v>0.17433333333333331</v>
      </c>
      <c r="AE81" s="142">
        <v>-231250.6416082661</v>
      </c>
      <c r="AF81" s="137">
        <v>36364.044664576017</v>
      </c>
      <c r="AG81" s="129"/>
      <c r="AH81" s="139">
        <f t="shared" si="36"/>
        <v>8.083333333333334E-2</v>
      </c>
      <c r="AI81" s="142">
        <v>-240591.57753459734</v>
      </c>
      <c r="AJ81" s="137">
        <v>36162.542183012592</v>
      </c>
      <c r="AL81" s="135">
        <f t="shared" si="37"/>
        <v>10120</v>
      </c>
      <c r="AM81" s="142">
        <v>-241027.33943261922</v>
      </c>
      <c r="AN81" s="137">
        <v>36189.067544361722</v>
      </c>
      <c r="AO81" s="125"/>
      <c r="AP81" s="135">
        <f t="shared" si="38"/>
        <v>236.00000000000014</v>
      </c>
      <c r="AQ81" s="142">
        <v>-240752.35721809851</v>
      </c>
      <c r="AR81" s="137">
        <v>36153.466912398537</v>
      </c>
      <c r="AS81" s="125"/>
      <c r="AT81" s="135">
        <f t="shared" si="39"/>
        <v>770.53561081081136</v>
      </c>
      <c r="AU81" s="142">
        <v>-240851.381530121</v>
      </c>
      <c r="AV81" s="137">
        <v>36166.287116402877</v>
      </c>
      <c r="AW81" s="125"/>
      <c r="AX81" s="135">
        <f t="shared" si="40"/>
        <v>264869.02080000011</v>
      </c>
      <c r="AY81" s="142">
        <v>-250595.73262975732</v>
      </c>
      <c r="AZ81" s="137">
        <v>37427.841642112224</v>
      </c>
      <c r="BA81" s="125"/>
    </row>
    <row r="82" spans="1:53" x14ac:dyDescent="0.3">
      <c r="A82" s="110"/>
      <c r="B82" s="135">
        <f t="shared" si="28"/>
        <v>3143.3333333333321</v>
      </c>
      <c r="C82" s="142">
        <v>-234276.630174405</v>
      </c>
      <c r="D82" s="137">
        <v>35315.085508065225</v>
      </c>
      <c r="E82" s="125"/>
      <c r="F82" s="138">
        <f t="shared" si="29"/>
        <v>0.1380333333333334</v>
      </c>
      <c r="G82" s="142">
        <v>-219948.884990739</v>
      </c>
      <c r="H82" s="137">
        <v>37046.760070362187</v>
      </c>
      <c r="I82" s="125"/>
      <c r="J82" s="139">
        <f t="shared" si="30"/>
        <v>0.82000000000000006</v>
      </c>
      <c r="K82" s="142">
        <v>-248375.3406300401</v>
      </c>
      <c r="L82" s="137">
        <v>35062.932932696407</v>
      </c>
      <c r="M82" s="125"/>
      <c r="N82" s="139">
        <f t="shared" si="31"/>
        <v>0.79466666666666586</v>
      </c>
      <c r="O82" s="142">
        <v>-185725.19318939152</v>
      </c>
      <c r="P82" s="137">
        <v>27650.82920423297</v>
      </c>
      <c r="Q82" s="42"/>
      <c r="R82" s="139">
        <f t="shared" si="32"/>
        <v>0.96733333333333438</v>
      </c>
      <c r="S82" s="142">
        <v>-252430.23285100309</v>
      </c>
      <c r="T82" s="137">
        <v>35914.123264812239</v>
      </c>
      <c r="V82" s="139">
        <f t="shared" si="33"/>
        <v>0.1271000000000001</v>
      </c>
      <c r="W82" s="142">
        <v>-226142.46935977528</v>
      </c>
      <c r="X82" s="137">
        <v>36469.135556769121</v>
      </c>
      <c r="Y82" s="129"/>
      <c r="Z82" s="135">
        <f t="shared" si="34"/>
        <v>52616.666666666693</v>
      </c>
      <c r="AA82" s="142">
        <v>-240790.60632569823</v>
      </c>
      <c r="AB82" s="137">
        <v>37986.036149022912</v>
      </c>
      <c r="AC82" s="129"/>
      <c r="AD82" s="140">
        <f t="shared" si="35"/>
        <v>0.17786666666666665</v>
      </c>
      <c r="AE82" s="142">
        <v>-230470.0821959243</v>
      </c>
      <c r="AF82" s="137">
        <v>36381.622355912099</v>
      </c>
      <c r="AG82" s="129"/>
      <c r="AH82" s="139">
        <f t="shared" si="36"/>
        <v>8.2466666666666674E-2</v>
      </c>
      <c r="AI82" s="142">
        <v>-240575.20159086381</v>
      </c>
      <c r="AJ82" s="137">
        <v>36162.881752321955</v>
      </c>
      <c r="AL82" s="135">
        <f t="shared" si="37"/>
        <v>10304</v>
      </c>
      <c r="AM82" s="142">
        <v>-241027.33943261922</v>
      </c>
      <c r="AN82" s="137">
        <v>36189.067544361722</v>
      </c>
      <c r="AO82" s="125"/>
      <c r="AP82" s="135">
        <f t="shared" si="38"/>
        <v>241.90000000000015</v>
      </c>
      <c r="AQ82" s="142">
        <v>-240748.5323073387</v>
      </c>
      <c r="AR82" s="137">
        <v>36152.971719498557</v>
      </c>
      <c r="AS82" s="125"/>
      <c r="AT82" s="135">
        <f t="shared" si="39"/>
        <v>789.79900108108166</v>
      </c>
      <c r="AU82" s="142">
        <v>-240857.45905056226</v>
      </c>
      <c r="AV82" s="137">
        <v>36167.073943903175</v>
      </c>
      <c r="AW82" s="125"/>
      <c r="AX82" s="135">
        <f t="shared" si="40"/>
        <v>271490.74632000009</v>
      </c>
      <c r="AY82" s="142">
        <v>-256981.48067625923</v>
      </c>
      <c r="AZ82" s="137">
        <v>38254.57389608497</v>
      </c>
      <c r="BA82" s="125"/>
    </row>
    <row r="83" spans="1:53" x14ac:dyDescent="0.3">
      <c r="A83" s="110"/>
      <c r="B83" s="135">
        <f t="shared" si="28"/>
        <v>3219.9999999999986</v>
      </c>
      <c r="C83" s="142">
        <v>-233684.45052428707</v>
      </c>
      <c r="D83" s="137">
        <v>35238.41884139851</v>
      </c>
      <c r="E83" s="125"/>
      <c r="F83" s="138">
        <f t="shared" si="29"/>
        <v>0.14140000000000005</v>
      </c>
      <c r="G83" s="142">
        <v>-218252.5452447568</v>
      </c>
      <c r="H83" s="137">
        <v>37127.518363904404</v>
      </c>
      <c r="I83" s="125"/>
      <c r="J83" s="139">
        <f t="shared" si="30"/>
        <v>0.82500000000000007</v>
      </c>
      <c r="K83" s="142">
        <v>-249048.17289763788</v>
      </c>
      <c r="L83" s="137">
        <v>34971.642440304582</v>
      </c>
      <c r="M83" s="125"/>
      <c r="N83" s="139">
        <f t="shared" si="31"/>
        <v>0.80099999999999916</v>
      </c>
      <c r="O83" s="142">
        <v>-181384.58300808186</v>
      </c>
      <c r="P83" s="137">
        <v>27014.434703815066</v>
      </c>
      <c r="Q83" s="42"/>
      <c r="R83" s="139">
        <f t="shared" si="32"/>
        <v>0.97300000000000109</v>
      </c>
      <c r="S83" s="142">
        <v>-253461.80393079552</v>
      </c>
      <c r="T83" s="137">
        <v>35893.563736089665</v>
      </c>
      <c r="V83" s="139">
        <f t="shared" si="33"/>
        <v>0.13020000000000009</v>
      </c>
      <c r="W83" s="142">
        <v>-224898.25849610873</v>
      </c>
      <c r="X83" s="137">
        <v>36497.382530893665</v>
      </c>
      <c r="Y83" s="129"/>
      <c r="Z83" s="135">
        <f t="shared" si="34"/>
        <v>53900.000000000029</v>
      </c>
      <c r="AA83" s="142">
        <v>-240790.60632569823</v>
      </c>
      <c r="AB83" s="137">
        <v>38152.183176988765</v>
      </c>
      <c r="AC83" s="129"/>
      <c r="AD83" s="140">
        <f t="shared" si="35"/>
        <v>0.18139999999999998</v>
      </c>
      <c r="AE83" s="142">
        <v>-229694.77443071696</v>
      </c>
      <c r="AF83" s="137">
        <v>36399.200047248232</v>
      </c>
      <c r="AG83" s="129"/>
      <c r="AH83" s="139">
        <f t="shared" si="36"/>
        <v>8.4100000000000008E-2</v>
      </c>
      <c r="AI83" s="142">
        <v>-240558.8278762452</v>
      </c>
      <c r="AJ83" s="137">
        <v>36163.221321631339</v>
      </c>
      <c r="AL83" s="135">
        <f t="shared" si="37"/>
        <v>10488</v>
      </c>
      <c r="AM83" s="142">
        <v>-241027.33943261922</v>
      </c>
      <c r="AN83" s="137">
        <v>36189.067544361722</v>
      </c>
      <c r="AO83" s="125"/>
      <c r="AP83" s="135">
        <f t="shared" si="38"/>
        <v>247.80000000000015</v>
      </c>
      <c r="AQ83" s="142">
        <v>-240744.70739657868</v>
      </c>
      <c r="AR83" s="137">
        <v>36152.476526598548</v>
      </c>
      <c r="AS83" s="125"/>
      <c r="AT83" s="135">
        <f t="shared" si="39"/>
        <v>809.06239135135195</v>
      </c>
      <c r="AU83" s="142">
        <v>-240863.5365710051</v>
      </c>
      <c r="AV83" s="137">
        <v>36167.860771403677</v>
      </c>
      <c r="AW83" s="125"/>
      <c r="AX83" s="135">
        <f t="shared" si="40"/>
        <v>278112.47184000007</v>
      </c>
      <c r="AY83" s="142">
        <v>-263367.22872276249</v>
      </c>
      <c r="AZ83" s="137">
        <v>39081.306150057892</v>
      </c>
      <c r="BA83" s="125"/>
    </row>
    <row r="84" spans="1:53" x14ac:dyDescent="0.3">
      <c r="A84" s="110"/>
      <c r="B84" s="135">
        <f t="shared" si="28"/>
        <v>3296.6666666666652</v>
      </c>
      <c r="C84" s="142">
        <v>-233092.27087416925</v>
      </c>
      <c r="D84" s="137">
        <v>35161.75217473181</v>
      </c>
      <c r="E84" s="125"/>
      <c r="F84" s="138">
        <f t="shared" si="29"/>
        <v>0.14476666666666671</v>
      </c>
      <c r="G84" s="142">
        <v>-216585.54867039408</v>
      </c>
      <c r="H84" s="137">
        <v>37208.276657446579</v>
      </c>
      <c r="I84" s="125"/>
      <c r="J84" s="139">
        <f t="shared" si="30"/>
        <v>0.83000000000000007</v>
      </c>
      <c r="K84" s="142">
        <v>-249727.71554030271</v>
      </c>
      <c r="L84" s="137">
        <v>34880.351947912714</v>
      </c>
      <c r="M84" s="125"/>
      <c r="N84" s="139">
        <f t="shared" si="31"/>
        <v>0.80733333333333246</v>
      </c>
      <c r="O84" s="142">
        <v>-177011.35452321533</v>
      </c>
      <c r="P84" s="137">
        <v>26378.040203397242</v>
      </c>
      <c r="Q84" s="42"/>
      <c r="R84" s="139">
        <f t="shared" si="32"/>
        <v>0.97866666666666779</v>
      </c>
      <c r="S84" s="142">
        <v>-254501.9115499435</v>
      </c>
      <c r="T84" s="137">
        <v>35873.00420736699</v>
      </c>
      <c r="V84" s="139">
        <f t="shared" si="33"/>
        <v>0.13330000000000009</v>
      </c>
      <c r="W84" s="142">
        <v>-223667.58964204491</v>
      </c>
      <c r="X84" s="137">
        <v>36525.629505018253</v>
      </c>
      <c r="Y84" s="129"/>
      <c r="Z84" s="135">
        <f t="shared" si="34"/>
        <v>55183.333333333365</v>
      </c>
      <c r="AA84" s="142">
        <v>-240790.60632569823</v>
      </c>
      <c r="AB84" s="137">
        <v>38318.330204954618</v>
      </c>
      <c r="AC84" s="129"/>
      <c r="AD84" s="140">
        <f t="shared" si="35"/>
        <v>0.18493333333333331</v>
      </c>
      <c r="AE84" s="142">
        <v>-228924.66549028023</v>
      </c>
      <c r="AF84" s="137">
        <v>36416.77773858438</v>
      </c>
      <c r="AG84" s="129"/>
      <c r="AH84" s="139">
        <f t="shared" si="36"/>
        <v>8.5733333333333342E-2</v>
      </c>
      <c r="AI84" s="142">
        <v>-240542.45639028592</v>
      </c>
      <c r="AJ84" s="137">
        <v>36163.56089094076</v>
      </c>
      <c r="AL84" s="135">
        <f t="shared" si="37"/>
        <v>10672</v>
      </c>
      <c r="AM84" s="142">
        <v>-241027.33943261922</v>
      </c>
      <c r="AN84" s="137">
        <v>36189.067544361722</v>
      </c>
      <c r="AO84" s="125"/>
      <c r="AP84" s="135">
        <f t="shared" si="38"/>
        <v>253.70000000000016</v>
      </c>
      <c r="AQ84" s="142">
        <v>-240740.88248581911</v>
      </c>
      <c r="AR84" s="137">
        <v>36151.981333698597</v>
      </c>
      <c r="AS84" s="125"/>
      <c r="AT84" s="135">
        <f t="shared" si="39"/>
        <v>828.32578162162224</v>
      </c>
      <c r="AU84" s="142">
        <v>-240869.61409144747</v>
      </c>
      <c r="AV84" s="137">
        <v>36168.647598904121</v>
      </c>
      <c r="AW84" s="125"/>
      <c r="AX84" s="135">
        <f t="shared" si="40"/>
        <v>284734.19736000005</v>
      </c>
      <c r="AY84" s="142">
        <v>-269752.97676926479</v>
      </c>
      <c r="AZ84" s="137">
        <v>39908.038404030682</v>
      </c>
      <c r="BA84" s="125"/>
    </row>
    <row r="85" spans="1:53" x14ac:dyDescent="0.3">
      <c r="A85" s="110"/>
      <c r="B85" s="135">
        <f t="shared" si="28"/>
        <v>3373.3333333333317</v>
      </c>
      <c r="C85" s="142">
        <v>-232500.09122405222</v>
      </c>
      <c r="D85" s="137">
        <v>35085.085508065211</v>
      </c>
      <c r="E85" s="125"/>
      <c r="F85" s="138">
        <f t="shared" si="29"/>
        <v>0.14813333333333337</v>
      </c>
      <c r="G85" s="142">
        <v>-214947.14043186931</v>
      </c>
      <c r="H85" s="137">
        <v>37289.0349509886</v>
      </c>
      <c r="I85" s="125"/>
      <c r="J85" s="139">
        <f t="shared" si="30"/>
        <v>0.83500000000000008</v>
      </c>
      <c r="K85" s="142">
        <v>-250414.06944827695</v>
      </c>
      <c r="L85" s="137">
        <v>34789.061455520845</v>
      </c>
      <c r="M85" s="125"/>
      <c r="N85" s="139">
        <f t="shared" si="31"/>
        <v>0.81366666666666576</v>
      </c>
      <c r="O85" s="142">
        <v>-172605.13867385988</v>
      </c>
      <c r="P85" s="137">
        <v>25741.645702979367</v>
      </c>
      <c r="Q85" s="42"/>
      <c r="R85" s="139">
        <f t="shared" si="32"/>
        <v>0.9843333333333345</v>
      </c>
      <c r="S85" s="142">
        <v>-255550.66211207933</v>
      </c>
      <c r="T85" s="137">
        <v>35852.444678644439</v>
      </c>
      <c r="V85" s="139">
        <f t="shared" si="33"/>
        <v>0.13640000000000008</v>
      </c>
      <c r="W85" s="142">
        <v>-222450.24290708321</v>
      </c>
      <c r="X85" s="137">
        <v>36553.87647914284</v>
      </c>
      <c r="Y85" s="129"/>
      <c r="Z85" s="135">
        <f t="shared" si="34"/>
        <v>56466.666666666701</v>
      </c>
      <c r="AA85" s="142">
        <v>-240790.60632569823</v>
      </c>
      <c r="AB85" s="137">
        <v>38484.477232920464</v>
      </c>
      <c r="AC85" s="129"/>
      <c r="AD85" s="140">
        <f t="shared" si="35"/>
        <v>0.18846666666666664</v>
      </c>
      <c r="AE85" s="142">
        <v>-228159.7032582853</v>
      </c>
      <c r="AF85" s="137">
        <v>36434.35542992047</v>
      </c>
      <c r="AG85" s="129"/>
      <c r="AH85" s="139">
        <f t="shared" si="36"/>
        <v>8.7366666666666676E-2</v>
      </c>
      <c r="AI85" s="142">
        <v>-240526.08713253637</v>
      </c>
      <c r="AJ85" s="137">
        <v>36163.900460250108</v>
      </c>
      <c r="AL85" s="135">
        <f t="shared" si="37"/>
        <v>10856</v>
      </c>
      <c r="AM85" s="142">
        <v>-241027.33943261922</v>
      </c>
      <c r="AN85" s="137">
        <v>36189.067544361722</v>
      </c>
      <c r="AO85" s="125"/>
      <c r="AP85" s="135">
        <f t="shared" si="38"/>
        <v>259.60000000000014</v>
      </c>
      <c r="AQ85" s="142">
        <v>-240737.05757505898</v>
      </c>
      <c r="AR85" s="137">
        <v>36151.486140798574</v>
      </c>
      <c r="AS85" s="125"/>
      <c r="AT85" s="135">
        <f t="shared" si="39"/>
        <v>847.58917189189253</v>
      </c>
      <c r="AU85" s="142">
        <v>-240875.69161188928</v>
      </c>
      <c r="AV85" s="137">
        <v>36169.434426404492</v>
      </c>
      <c r="AW85" s="125"/>
      <c r="AX85" s="135">
        <f t="shared" si="40"/>
        <v>291355.92288000003</v>
      </c>
      <c r="AY85" s="142">
        <v>-276138.72481576662</v>
      </c>
      <c r="AZ85" s="137">
        <v>40734.770658003414</v>
      </c>
      <c r="BA85" s="125"/>
    </row>
    <row r="86" spans="1:53" ht="15" thickBot="1" x14ac:dyDescent="0.35">
      <c r="A86" s="110"/>
      <c r="B86" s="135">
        <f t="shared" si="28"/>
        <v>3449.9999999999982</v>
      </c>
      <c r="C86" s="143">
        <v>-231907.91157393428</v>
      </c>
      <c r="D86" s="144">
        <v>35008.418841398496</v>
      </c>
      <c r="E86" s="125"/>
      <c r="F86" s="138">
        <f t="shared" si="29"/>
        <v>0.15150000000000002</v>
      </c>
      <c r="G86" s="143">
        <v>-213336.59136355156</v>
      </c>
      <c r="H86" s="144">
        <v>37369.793244530723</v>
      </c>
      <c r="I86" s="125"/>
      <c r="J86" s="139">
        <f t="shared" si="30"/>
        <v>0.84000000000000008</v>
      </c>
      <c r="K86" s="143">
        <v>-251107.33754449198</v>
      </c>
      <c r="L86" s="144">
        <v>34697.770963128998</v>
      </c>
      <c r="M86" s="125"/>
      <c r="N86" s="139">
        <f t="shared" si="31"/>
        <v>0.81999999999999906</v>
      </c>
      <c r="O86" s="143">
        <v>-168165.56081032936</v>
      </c>
      <c r="P86" s="144">
        <v>25105.251202561441</v>
      </c>
      <c r="Q86" s="42"/>
      <c r="R86" s="139">
        <f t="shared" si="32"/>
        <v>0.99000000000000121</v>
      </c>
      <c r="S86" s="143">
        <v>-256608.16379657597</v>
      </c>
      <c r="T86" s="144">
        <v>35831.885149921705</v>
      </c>
      <c r="V86" s="139">
        <f t="shared" si="33"/>
        <v>0.13950000000000007</v>
      </c>
      <c r="W86" s="143">
        <v>-221246.0031357602</v>
      </c>
      <c r="X86" s="144">
        <v>36582.123453267435</v>
      </c>
      <c r="Y86" s="129"/>
      <c r="Z86" s="135">
        <f t="shared" si="34"/>
        <v>57750.000000000036</v>
      </c>
      <c r="AA86" s="143">
        <v>-240790.60632569823</v>
      </c>
      <c r="AB86" s="144">
        <v>38650.62426088631</v>
      </c>
      <c r="AC86" s="129"/>
      <c r="AD86" s="140">
        <f t="shared" si="35"/>
        <v>0.19199999999999998</v>
      </c>
      <c r="AE86" s="143">
        <v>-227399.83631267253</v>
      </c>
      <c r="AF86" s="144">
        <v>36451.933121256618</v>
      </c>
      <c r="AG86" s="129"/>
      <c r="AH86" s="139">
        <f t="shared" si="36"/>
        <v>8.900000000000001E-2</v>
      </c>
      <c r="AI86" s="143">
        <v>-240509.72010253381</v>
      </c>
      <c r="AJ86" s="144">
        <v>36164.240029559543</v>
      </c>
      <c r="AL86" s="135">
        <f t="shared" si="37"/>
        <v>11040</v>
      </c>
      <c r="AM86" s="143">
        <v>-241027.33943261922</v>
      </c>
      <c r="AN86" s="144">
        <v>36189.067544361722</v>
      </c>
      <c r="AO86" s="125"/>
      <c r="AP86" s="135">
        <f t="shared" si="38"/>
        <v>265.50000000000011</v>
      </c>
      <c r="AQ86" s="143">
        <v>-240733.23266429885</v>
      </c>
      <c r="AR86" s="144">
        <v>36150.99094789855</v>
      </c>
      <c r="AS86" s="125"/>
      <c r="AT86" s="135">
        <f t="shared" si="39"/>
        <v>866.85256216216283</v>
      </c>
      <c r="AU86" s="143">
        <v>-240881.76913233154</v>
      </c>
      <c r="AV86" s="144">
        <v>36170.221253904921</v>
      </c>
      <c r="AW86" s="125"/>
      <c r="AX86" s="135">
        <f t="shared" si="40"/>
        <v>297977.64840000001</v>
      </c>
      <c r="AY86" s="143">
        <v>-282524.47286226851</v>
      </c>
      <c r="AZ86" s="144">
        <v>41561.50291197616</v>
      </c>
      <c r="BA86" s="125"/>
    </row>
    <row r="87" spans="1:53" ht="15" thickBot="1" x14ac:dyDescent="0.35">
      <c r="A87" s="110"/>
      <c r="B87" s="110"/>
      <c r="C87" s="110"/>
      <c r="D87" s="110"/>
      <c r="E87" s="110"/>
      <c r="F87" s="110"/>
      <c r="G87" s="110"/>
      <c r="H87" s="110"/>
      <c r="I87" s="110"/>
      <c r="J87" s="110"/>
      <c r="K87" s="110"/>
      <c r="L87" s="110"/>
      <c r="M87" s="110"/>
      <c r="N87" s="110"/>
      <c r="O87" s="110"/>
      <c r="P87" s="110"/>
    </row>
    <row r="88" spans="1:53" ht="15" thickBot="1" x14ac:dyDescent="0.35">
      <c r="A88" s="110"/>
      <c r="B88" s="125"/>
      <c r="C88" s="130" t="s">
        <v>62</v>
      </c>
      <c r="D88" s="131" t="s">
        <v>272</v>
      </c>
      <c r="E88" s="125"/>
      <c r="F88" s="125"/>
      <c r="G88" s="130" t="s">
        <v>62</v>
      </c>
      <c r="H88" s="131" t="s">
        <v>272</v>
      </c>
      <c r="I88" s="125"/>
      <c r="J88" s="125"/>
      <c r="K88" s="130" t="s">
        <v>62</v>
      </c>
      <c r="L88" s="131" t="s">
        <v>769</v>
      </c>
      <c r="M88" s="125"/>
      <c r="N88" s="125"/>
      <c r="O88" s="130" t="s">
        <v>62</v>
      </c>
      <c r="P88" s="131" t="s">
        <v>769</v>
      </c>
      <c r="Q88" s="125"/>
      <c r="R88" s="125"/>
      <c r="S88" s="130" t="s">
        <v>62</v>
      </c>
      <c r="T88" s="131" t="s">
        <v>769</v>
      </c>
      <c r="U88" s="125"/>
      <c r="V88" s="125"/>
      <c r="W88" s="130" t="s">
        <v>62</v>
      </c>
      <c r="X88" s="131" t="s">
        <v>769</v>
      </c>
      <c r="Y88" s="125"/>
      <c r="Z88" s="125"/>
      <c r="AA88" s="130" t="s">
        <v>62</v>
      </c>
      <c r="AB88" s="131" t="s">
        <v>769</v>
      </c>
      <c r="AC88" s="125"/>
      <c r="AD88" s="125"/>
      <c r="AE88" s="130" t="s">
        <v>62</v>
      </c>
      <c r="AF88" s="131" t="s">
        <v>769</v>
      </c>
      <c r="AG88" s="125"/>
      <c r="AH88" s="125"/>
      <c r="AI88" s="130" t="s">
        <v>62</v>
      </c>
      <c r="AJ88" s="131" t="s">
        <v>769</v>
      </c>
      <c r="AK88" s="125"/>
      <c r="AL88" s="125"/>
      <c r="AM88" s="130" t="s">
        <v>62</v>
      </c>
      <c r="AN88" s="131" t="s">
        <v>272</v>
      </c>
      <c r="AO88" s="125"/>
      <c r="AP88" s="125"/>
      <c r="AQ88" s="130" t="s">
        <v>62</v>
      </c>
      <c r="AR88" s="131" t="s">
        <v>272</v>
      </c>
      <c r="AS88" s="125"/>
      <c r="AT88" s="125"/>
      <c r="AU88" s="130" t="s">
        <v>62</v>
      </c>
      <c r="AV88" s="131" t="s">
        <v>272</v>
      </c>
      <c r="AW88" s="125"/>
      <c r="AX88" s="125"/>
      <c r="AY88" s="130" t="s">
        <v>62</v>
      </c>
      <c r="AZ88" s="131" t="s">
        <v>272</v>
      </c>
    </row>
    <row r="89" spans="1:53" ht="15" thickBot="1" x14ac:dyDescent="0.35">
      <c r="A89" s="110"/>
      <c r="B89" s="132" t="s">
        <v>202</v>
      </c>
      <c r="C89" s="133">
        <f>$C$5</f>
        <v>-240790.60632569823</v>
      </c>
      <c r="D89" s="134">
        <f>$C$6</f>
        <v>36158.418841398568</v>
      </c>
      <c r="E89" s="125"/>
      <c r="F89" s="132" t="str">
        <f>B20</f>
        <v>Live birth with ANC</v>
      </c>
      <c r="G89" s="133">
        <f>$C$5</f>
        <v>-240790.60632569823</v>
      </c>
      <c r="H89" s="134">
        <f>$C$6</f>
        <v>36158.418841398568</v>
      </c>
      <c r="I89" s="125"/>
      <c r="J89" s="132" t="str">
        <f>B21</f>
        <v>Live birth no ANC</v>
      </c>
      <c r="K89" s="133">
        <f>$C$5</f>
        <v>-240790.60632569823</v>
      </c>
      <c r="L89" s="134">
        <f>$C$6</f>
        <v>36158.418841398568</v>
      </c>
      <c r="M89" s="125"/>
      <c r="N89" s="132" t="str">
        <f>B22</f>
        <v>Term with ANC</v>
      </c>
      <c r="O89" s="133">
        <f>$C$5</f>
        <v>-240790.60632569823</v>
      </c>
      <c r="P89" s="134">
        <f>$C$6</f>
        <v>36158.418841398568</v>
      </c>
      <c r="Q89" s="125"/>
      <c r="R89" s="132" t="str">
        <f>B23</f>
        <v>Term no ANC</v>
      </c>
      <c r="S89" s="133">
        <f>$C$5</f>
        <v>-240790.60632569823</v>
      </c>
      <c r="T89" s="134">
        <f>$C$6</f>
        <v>36158.418841398568</v>
      </c>
      <c r="U89" s="125"/>
      <c r="V89" s="132" t="str">
        <f>B24</f>
        <v>LBW prem</v>
      </c>
      <c r="W89" s="133">
        <f>$C$5</f>
        <v>-240790.60632569823</v>
      </c>
      <c r="X89" s="134">
        <f>$C$6</f>
        <v>36158.418841398568</v>
      </c>
      <c r="Y89" s="125"/>
      <c r="Z89" s="132" t="str">
        <f>B25</f>
        <v>LBW term</v>
      </c>
      <c r="AA89" s="133">
        <f>$C$5</f>
        <v>-240790.60632569823</v>
      </c>
      <c r="AB89" s="134">
        <f>$C$6</f>
        <v>36158.418841398568</v>
      </c>
      <c r="AC89" s="125"/>
      <c r="AD89" s="132" t="str">
        <f>B26</f>
        <v>SGA preterm lbw</v>
      </c>
      <c r="AE89" s="133">
        <f>$C$5</f>
        <v>-240790.60632569823</v>
      </c>
      <c r="AF89" s="134">
        <f>$C$6</f>
        <v>36158.418841398568</v>
      </c>
      <c r="AG89" s="125"/>
      <c r="AH89" s="132" t="str">
        <f>B27</f>
        <v>AGA term nbw</v>
      </c>
      <c r="AI89" s="133">
        <f>$C$5</f>
        <v>-240790.60632569823</v>
      </c>
      <c r="AJ89" s="134">
        <f>$C$6</f>
        <v>36158.418841398568</v>
      </c>
      <c r="AK89" s="125"/>
      <c r="AL89" s="132" t="str">
        <f>B43</f>
        <v>c_NICU_NBW</v>
      </c>
      <c r="AM89" s="133">
        <f>$C$5</f>
        <v>-240790.60632569823</v>
      </c>
      <c r="AN89" s="134">
        <f>$C$6</f>
        <v>36158.418841398568</v>
      </c>
      <c r="AO89" s="125"/>
      <c r="AP89" s="132" t="str">
        <f>B44</f>
        <v>c_SB</v>
      </c>
      <c r="AQ89" s="133">
        <f>$C$5</f>
        <v>-240790.60632569823</v>
      </c>
      <c r="AR89" s="134">
        <f>$C$6</f>
        <v>36158.418841398568</v>
      </c>
      <c r="AS89" s="125"/>
      <c r="AT89" s="132" t="str">
        <f>B45</f>
        <v>c_RDS</v>
      </c>
      <c r="AU89" s="133">
        <f>$C$5</f>
        <v>-240790.60632569823</v>
      </c>
      <c r="AV89" s="134">
        <f>$C$6</f>
        <v>36158.418841398568</v>
      </c>
      <c r="AW89" s="125"/>
      <c r="AX89" s="132" t="str">
        <f>B46</f>
        <v>c_hypo</v>
      </c>
      <c r="AY89" s="133">
        <f>$C$5</f>
        <v>-240790.60632569823</v>
      </c>
      <c r="AZ89" s="134">
        <f>$C$6</f>
        <v>36158.418841398568</v>
      </c>
    </row>
    <row r="90" spans="1:53" x14ac:dyDescent="0.3">
      <c r="A90" s="110"/>
      <c r="B90" s="135">
        <f>E19</f>
        <v>0.69</v>
      </c>
      <c r="C90" s="136">
        <f t="dataTable" ref="C90:D120" dt2D="0" dtr="0" r1="C19" ca="1"/>
        <v>-252739.5522758443</v>
      </c>
      <c r="D90" s="137">
        <v>35593.250904565706</v>
      </c>
      <c r="E90" s="125"/>
      <c r="F90" s="135">
        <f>E20</f>
        <v>0.96715400000000007</v>
      </c>
      <c r="G90" s="136">
        <f t="dataTable" ref="G90:H120" dt2D="0" dtr="0" r1="C20" ca="1"/>
        <v>-299722.23099884705</v>
      </c>
      <c r="H90" s="137">
        <v>34802.806837220167</v>
      </c>
      <c r="I90" s="125"/>
      <c r="J90" s="135">
        <f>E21</f>
        <v>0.93687405159332315</v>
      </c>
      <c r="K90" s="136">
        <f t="dataTable" ref="K90:L120" dt2D="0" dtr="0" r1="C21" ca="1"/>
        <v>-243364.41675441913</v>
      </c>
      <c r="L90" s="137">
        <v>35595.647099350776</v>
      </c>
      <c r="M90" s="125"/>
      <c r="N90" s="135">
        <f>E22</f>
        <v>0.65036452004860257</v>
      </c>
      <c r="O90" s="136">
        <f t="dataTable" ref="O90:P120" dt2D="0" dtr="0" r1="C22" ca="1"/>
        <v>-954339.96335247904</v>
      </c>
      <c r="P90" s="137">
        <v>16936.215747896669</v>
      </c>
      <c r="Q90" s="125"/>
      <c r="R90" s="135">
        <f>E23</f>
        <v>0.6532399299474605</v>
      </c>
      <c r="S90" s="136">
        <f t="dataTable" ref="S90:T120" dt2D="0" dtr="0" r1="C23" ca="1"/>
        <v>-273435.20446759457</v>
      </c>
      <c r="T90" s="137">
        <v>31729.185797515307</v>
      </c>
      <c r="U90" s="125"/>
      <c r="V90" s="135">
        <f>E24</f>
        <v>0.36271186440677972</v>
      </c>
      <c r="W90" s="136">
        <f t="dataTable" ref="W90:X120" dt2D="0" dtr="0" r1="C24" ca="1"/>
        <v>-212292.74108781663</v>
      </c>
      <c r="X90" s="137">
        <v>29347.239643069483</v>
      </c>
      <c r="Y90" s="125"/>
      <c r="Z90" s="135">
        <f>E25</f>
        <v>0.17384615384615384</v>
      </c>
      <c r="AA90" s="136">
        <f t="dataTable" ref="AA90:AB120" dt2D="0" dtr="0" r1="C25" ca="1"/>
        <v>-183280.65168475496</v>
      </c>
      <c r="AB90" s="137">
        <v>26768.608161897049</v>
      </c>
      <c r="AC90" s="125"/>
      <c r="AD90" s="135">
        <f>E26</f>
        <v>0.22204773869346733</v>
      </c>
      <c r="AE90" s="136">
        <f t="dataTable" ref="AE90:AF120" dt2D="0" dtr="0" r1="C26" ca="1"/>
        <v>-268572.28695228393</v>
      </c>
      <c r="AF90" s="137">
        <v>35668.650974605262</v>
      </c>
      <c r="AG90" s="125"/>
      <c r="AH90" s="135">
        <f>E27</f>
        <v>0.62008720309784437</v>
      </c>
      <c r="AI90" s="136">
        <f t="dataTable" ref="AI90:AJ120" dt2D="0" dtr="0" r1="C27" ca="1"/>
        <v>-241975.79400770727</v>
      </c>
      <c r="AJ90" s="137">
        <v>36124.6168431271</v>
      </c>
      <c r="AK90" s="125"/>
      <c r="AL90" s="135">
        <f>E43</f>
        <v>1549.44</v>
      </c>
      <c r="AM90" s="136">
        <f t="dataTable" ref="AM90:AN120" dt2D="0" dtr="0" r1="C43" ca="1"/>
        <v>-240503.96412092989</v>
      </c>
      <c r="AN90" s="137">
        <v>36121.30864627246</v>
      </c>
      <c r="AO90" s="125"/>
      <c r="AP90" s="135">
        <f>E44</f>
        <v>896</v>
      </c>
      <c r="AQ90" s="136">
        <f t="dataTable" ref="AQ90:AR120" dt2D="0" dtr="0" r1="C44" ca="1"/>
        <v>-240752.1800822556</v>
      </c>
      <c r="AR90" s="137">
        <v>36153.443979468269</v>
      </c>
      <c r="AS90" s="125"/>
      <c r="AT90" s="135">
        <f>E45</f>
        <v>15297.805074102818</v>
      </c>
      <c r="AU90" s="136">
        <f t="dataTable" ref="AU90:AV120" dt2D="0" dtr="0" r1="C45" ca="1"/>
        <v>-238793.07291064164</v>
      </c>
      <c r="AV90" s="137">
        <v>35899.807745158992</v>
      </c>
      <c r="AW90" s="125"/>
      <c r="AX90" s="135">
        <f>E46</f>
        <v>1468.1302000000001</v>
      </c>
      <c r="AY90" s="136">
        <f t="dataTable" ref="AY90:AZ120" dt2D="0" dtr="0" r1="C46" ca="1"/>
        <v>-240468.54258140089</v>
      </c>
      <c r="AZ90" s="137">
        <v>36116.722788985149</v>
      </c>
    </row>
    <row r="91" spans="1:53" x14ac:dyDescent="0.3">
      <c r="A91" s="110"/>
      <c r="B91" s="135">
        <f t="shared" ref="B91:B120" si="41">B90+$G$19</f>
        <v>0.70033333333333325</v>
      </c>
      <c r="C91" s="142">
        <v>-251815.91356110282</v>
      </c>
      <c r="D91" s="137">
        <v>35634.669831378589</v>
      </c>
      <c r="E91" s="125"/>
      <c r="F91" s="135">
        <f t="shared" ref="F91:F120" si="42">F90+$G$20</f>
        <v>0.96824886666666676</v>
      </c>
      <c r="G91" s="142">
        <v>-294862.78445005085</v>
      </c>
      <c r="H91" s="137">
        <v>34893.180970832094</v>
      </c>
      <c r="I91" s="125"/>
      <c r="J91" s="135">
        <f t="shared" ref="J91:J120" si="43">J90+$G$21</f>
        <v>0.93897824987354572</v>
      </c>
      <c r="K91" s="142">
        <v>-243188.80499850647</v>
      </c>
      <c r="L91" s="137">
        <v>35633.16521548717</v>
      </c>
      <c r="M91" s="125"/>
      <c r="N91" s="135">
        <f t="shared" ref="N91:N120" si="44">N90+$G$22</f>
        <v>0.66201903604698253</v>
      </c>
      <c r="O91" s="142">
        <v>-703500.1772592928</v>
      </c>
      <c r="P91" s="137">
        <v>18217.695954130151</v>
      </c>
      <c r="Q91" s="125"/>
      <c r="R91" s="135">
        <f t="shared" ref="R91:R120" si="45">R90+$G$23</f>
        <v>0.66479859894921178</v>
      </c>
      <c r="S91" s="142">
        <v>-270714.68798653153</v>
      </c>
      <c r="T91" s="137">
        <v>32024.468000440851</v>
      </c>
      <c r="U91" s="125"/>
      <c r="V91" s="135">
        <f t="shared" ref="V91:V120" si="46">V90+$G$24</f>
        <v>0.38395480225988704</v>
      </c>
      <c r="W91" s="142">
        <v>-214379.88783988738</v>
      </c>
      <c r="X91" s="137">
        <v>29801.318256291397</v>
      </c>
      <c r="Y91" s="125"/>
      <c r="Z91" s="135">
        <f t="shared" ref="Z91:Z120" si="47">Z90+$G$25</f>
        <v>0.18543589743589745</v>
      </c>
      <c r="AA91" s="142">
        <v>-187373.30427501138</v>
      </c>
      <c r="AB91" s="137">
        <v>27394.595540530452</v>
      </c>
      <c r="AC91" s="125"/>
      <c r="AD91" s="135">
        <f t="shared" ref="AD91:AD120" si="48">AD90+$G$26</f>
        <v>0.23685092127303181</v>
      </c>
      <c r="AE91" s="142">
        <v>-266523.62745031004</v>
      </c>
      <c r="AF91" s="137">
        <v>35701.302165724759</v>
      </c>
      <c r="AG91" s="125"/>
      <c r="AH91" s="135">
        <f t="shared" ref="AH91:AH120" si="49">AH90+$G$27</f>
        <v>0.63275096299458289</v>
      </c>
      <c r="AI91" s="142">
        <v>-241896.39938947838</v>
      </c>
      <c r="AJ91" s="137">
        <v>36126.870309678481</v>
      </c>
      <c r="AK91" s="125"/>
      <c r="AL91" s="135">
        <f t="shared" ref="AL91:AL120" si="50">AL90+$G$43</f>
        <v>1652.7360000000001</v>
      </c>
      <c r="AM91" s="142">
        <v>-240403.33540565032</v>
      </c>
      <c r="AN91" s="137">
        <v>36108.280727852936</v>
      </c>
      <c r="AO91" s="125"/>
      <c r="AP91" s="135">
        <f t="shared" ref="AP91:AP120" si="51">AP90+$G$44</f>
        <v>955.73333333333335</v>
      </c>
      <c r="AQ91" s="142">
        <v>-240754.74183181894</v>
      </c>
      <c r="AR91" s="137">
        <v>36153.775636930353</v>
      </c>
      <c r="AS91" s="125"/>
      <c r="AT91" s="135">
        <f t="shared" ref="AT91:AT120" si="52">AT90+$G$45</f>
        <v>16317.658745709672</v>
      </c>
      <c r="AU91" s="142">
        <v>-238926.24180497901</v>
      </c>
      <c r="AV91" s="137">
        <v>35917.04848490833</v>
      </c>
      <c r="AW91" s="125"/>
      <c r="AX91" s="135">
        <f t="shared" ref="AX91:AX120" si="53">AX90+$G$46</f>
        <v>1566.0055466666668</v>
      </c>
      <c r="AY91" s="142">
        <v>-240490.01349768808</v>
      </c>
      <c r="AZ91" s="137">
        <v>36119.502525812801</v>
      </c>
    </row>
    <row r="92" spans="1:53" x14ac:dyDescent="0.3">
      <c r="A92" s="110"/>
      <c r="B92" s="135">
        <f t="shared" si="41"/>
        <v>0.71066666666666656</v>
      </c>
      <c r="C92" s="142">
        <v>-250900.23914642254</v>
      </c>
      <c r="D92" s="137">
        <v>35676.08875819137</v>
      </c>
      <c r="E92" s="125"/>
      <c r="F92" s="135">
        <f t="shared" si="42"/>
        <v>0.96934373333333346</v>
      </c>
      <c r="G92" s="142">
        <v>-290165.04947060993</v>
      </c>
      <c r="H92" s="137">
        <v>34983.555104444014</v>
      </c>
      <c r="I92" s="125"/>
      <c r="J92" s="135">
        <f t="shared" si="43"/>
        <v>0.94108244815376829</v>
      </c>
      <c r="K92" s="142">
        <v>-243013.78065590505</v>
      </c>
      <c r="L92" s="137">
        <v>35670.683331623659</v>
      </c>
      <c r="M92" s="125"/>
      <c r="N92" s="135">
        <f t="shared" si="44"/>
        <v>0.6736735520453625</v>
      </c>
      <c r="O92" s="142">
        <v>-569975.79099111061</v>
      </c>
      <c r="P92" s="137">
        <v>19499.176160363597</v>
      </c>
      <c r="Q92" s="125"/>
      <c r="R92" s="135">
        <f t="shared" si="45"/>
        <v>0.67635726795096307</v>
      </c>
      <c r="S92" s="142">
        <v>-268089.65120125678</v>
      </c>
      <c r="T92" s="137">
        <v>32319.750203366457</v>
      </c>
      <c r="U92" s="125"/>
      <c r="V92" s="135">
        <f t="shared" si="46"/>
        <v>0.40519774011299436</v>
      </c>
      <c r="W92" s="142">
        <v>-216437.8469537794</v>
      </c>
      <c r="X92" s="137">
        <v>30255.396869513312</v>
      </c>
      <c r="Y92" s="125"/>
      <c r="Z92" s="135">
        <f t="shared" si="47"/>
        <v>0.19702564102564105</v>
      </c>
      <c r="AA92" s="142">
        <v>-191426.70238636958</v>
      </c>
      <c r="AB92" s="137">
        <v>28020.582919163913</v>
      </c>
      <c r="AC92" s="125"/>
      <c r="AD92" s="135">
        <f t="shared" si="48"/>
        <v>0.25165410385259629</v>
      </c>
      <c r="AE92" s="142">
        <v>-264505.79218728543</v>
      </c>
      <c r="AF92" s="137">
        <v>35733.953356844308</v>
      </c>
      <c r="AG92" s="125"/>
      <c r="AH92" s="135">
        <f t="shared" si="49"/>
        <v>0.6454147228913214</v>
      </c>
      <c r="AI92" s="142">
        <v>-241817.05960287657</v>
      </c>
      <c r="AJ92" s="137">
        <v>36129.12377622995</v>
      </c>
      <c r="AK92" s="125"/>
      <c r="AL92" s="135">
        <f t="shared" si="50"/>
        <v>1756.0320000000002</v>
      </c>
      <c r="AM92" s="142">
        <v>-240302.70669037095</v>
      </c>
      <c r="AN92" s="137">
        <v>36095.252809433441</v>
      </c>
      <c r="AO92" s="125"/>
      <c r="AP92" s="135">
        <f t="shared" si="51"/>
        <v>1015.4666666666667</v>
      </c>
      <c r="AQ92" s="142">
        <v>-240757.30358138136</v>
      </c>
      <c r="AR92" s="137">
        <v>36154.107294392321</v>
      </c>
      <c r="AS92" s="125"/>
      <c r="AT92" s="135">
        <f t="shared" si="52"/>
        <v>17337.512417316528</v>
      </c>
      <c r="AU92" s="142">
        <v>-239059.41069931581</v>
      </c>
      <c r="AV92" s="137">
        <v>35934.289224657594</v>
      </c>
      <c r="AW92" s="125"/>
      <c r="AX92" s="135">
        <f t="shared" si="53"/>
        <v>1663.8808933333335</v>
      </c>
      <c r="AY92" s="142">
        <v>-240511.48441397437</v>
      </c>
      <c r="AZ92" s="137">
        <v>36122.282262640336</v>
      </c>
    </row>
    <row r="93" spans="1:53" x14ac:dyDescent="0.3">
      <c r="A93" s="110"/>
      <c r="B93" s="135">
        <f t="shared" si="41"/>
        <v>0.72099999999999986</v>
      </c>
      <c r="C93" s="142">
        <v>-249992.42646283406</v>
      </c>
      <c r="D93" s="137">
        <v>35717.507685004181</v>
      </c>
      <c r="E93" s="125"/>
      <c r="F93" s="135">
        <f t="shared" si="42"/>
        <v>0.97043860000000015</v>
      </c>
      <c r="G93" s="142">
        <v>-285621.08607126155</v>
      </c>
      <c r="H93" s="137">
        <v>35073.929238055833</v>
      </c>
      <c r="I93" s="125"/>
      <c r="J93" s="135">
        <f t="shared" si="43"/>
        <v>0.94318664643399086</v>
      </c>
      <c r="K93" s="142">
        <v>-242839.34078423472</v>
      </c>
      <c r="L93" s="137">
        <v>35708.201447760301</v>
      </c>
      <c r="M93" s="125"/>
      <c r="N93" s="135">
        <f t="shared" si="44"/>
        <v>0.68532806804374247</v>
      </c>
      <c r="O93" s="142">
        <v>-487063.98630994279</v>
      </c>
      <c r="P93" s="137">
        <v>20780.656366597064</v>
      </c>
      <c r="Q93" s="125"/>
      <c r="R93" s="135">
        <f t="shared" si="45"/>
        <v>0.68791593695271436</v>
      </c>
      <c r="S93" s="142">
        <v>-265555.15433855791</v>
      </c>
      <c r="T93" s="137">
        <v>32615.032406291957</v>
      </c>
      <c r="U93" s="125"/>
      <c r="V93" s="135">
        <f t="shared" si="46"/>
        <v>0.42644067796610169</v>
      </c>
      <c r="W93" s="142">
        <v>-218467.22643856303</v>
      </c>
      <c r="X93" s="137">
        <v>30709.475482735339</v>
      </c>
      <c r="Y93" s="125"/>
      <c r="Z93" s="135">
        <f t="shared" si="47"/>
        <v>0.20861538461538465</v>
      </c>
      <c r="AA93" s="142">
        <v>-195441.4080844644</v>
      </c>
      <c r="AB93" s="137">
        <v>28646.570297797363</v>
      </c>
      <c r="AC93" s="125"/>
      <c r="AD93" s="135">
        <f t="shared" si="48"/>
        <v>0.26645728643216077</v>
      </c>
      <c r="AE93" s="142">
        <v>-262518.09068302927</v>
      </c>
      <c r="AF93" s="137">
        <v>35766.604547963827</v>
      </c>
      <c r="AG93" s="125"/>
      <c r="AH93" s="135">
        <f t="shared" si="49"/>
        <v>0.65807848278805992</v>
      </c>
      <c r="AI93" s="142">
        <v>-241737.77459111661</v>
      </c>
      <c r="AJ93" s="137">
        <v>36131.377242781382</v>
      </c>
      <c r="AK93" s="125"/>
      <c r="AL93" s="135">
        <f t="shared" si="50"/>
        <v>1859.3280000000002</v>
      </c>
      <c r="AM93" s="142">
        <v>-240202.07797509216</v>
      </c>
      <c r="AN93" s="137">
        <v>36082.224891014019</v>
      </c>
      <c r="AO93" s="125"/>
      <c r="AP93" s="135">
        <f t="shared" si="51"/>
        <v>1075.2</v>
      </c>
      <c r="AQ93" s="142">
        <v>-240759.86533094448</v>
      </c>
      <c r="AR93" s="137">
        <v>36154.438951854376</v>
      </c>
      <c r="AS93" s="125"/>
      <c r="AT93" s="135">
        <f t="shared" si="52"/>
        <v>18357.366088923383</v>
      </c>
      <c r="AU93" s="142">
        <v>-239192.5795936528</v>
      </c>
      <c r="AV93" s="137">
        <v>35951.529964406887</v>
      </c>
      <c r="AW93" s="125"/>
      <c r="AX93" s="135">
        <f t="shared" si="53"/>
        <v>1761.7562400000002</v>
      </c>
      <c r="AY93" s="142">
        <v>-240532.95533026077</v>
      </c>
      <c r="AZ93" s="137">
        <v>36125.061999467885</v>
      </c>
    </row>
    <row r="94" spans="1:53" x14ac:dyDescent="0.3">
      <c r="A94" s="110"/>
      <c r="B94" s="135">
        <f t="shared" si="41"/>
        <v>0.73133333333333317</v>
      </c>
      <c r="C94" s="142">
        <v>-249092.37469510603</v>
      </c>
      <c r="D94" s="137">
        <v>35758.926611817122</v>
      </c>
      <c r="E94" s="125"/>
      <c r="F94" s="135">
        <f t="shared" si="42"/>
        <v>0.97153346666666685</v>
      </c>
      <c r="G94" s="142">
        <v>-281223.46569380671</v>
      </c>
      <c r="H94" s="137">
        <v>35164.303371667746</v>
      </c>
      <c r="I94" s="125"/>
      <c r="J94" s="135">
        <f t="shared" si="43"/>
        <v>0.94529084471421343</v>
      </c>
      <c r="K94" s="142">
        <v>-242665.48246072559</v>
      </c>
      <c r="L94" s="137">
        <v>35745.719563896717</v>
      </c>
      <c r="M94" s="125"/>
      <c r="N94" s="135">
        <f t="shared" si="44"/>
        <v>0.69698258404212243</v>
      </c>
      <c r="O94" s="142">
        <v>-430572.64747696428</v>
      </c>
      <c r="P94" s="137">
        <v>22062.136572830528</v>
      </c>
      <c r="Q94" s="125"/>
      <c r="R94" s="135">
        <f t="shared" si="45"/>
        <v>0.69947460595446564</v>
      </c>
      <c r="S94" s="142">
        <v>-263106.59260298003</v>
      </c>
      <c r="T94" s="137">
        <v>32910.314609217516</v>
      </c>
      <c r="U94" s="125"/>
      <c r="V94" s="135">
        <f t="shared" si="46"/>
        <v>0.44768361581920901</v>
      </c>
      <c r="W94" s="142">
        <v>-220468.61753247818</v>
      </c>
      <c r="X94" s="137">
        <v>31163.554095957166</v>
      </c>
      <c r="Y94" s="125"/>
      <c r="Z94" s="135">
        <f t="shared" si="47"/>
        <v>0.22020512820512825</v>
      </c>
      <c r="AA94" s="142">
        <v>-199417.97275531347</v>
      </c>
      <c r="AB94" s="137">
        <v>29272.557676430766</v>
      </c>
      <c r="AC94" s="125"/>
      <c r="AD94" s="135">
        <f t="shared" si="48"/>
        <v>0.28126046901172524</v>
      </c>
      <c r="AE94" s="142">
        <v>-260559.85292735801</v>
      </c>
      <c r="AF94" s="137">
        <v>35799.255739083455</v>
      </c>
      <c r="AG94" s="125"/>
      <c r="AH94" s="135">
        <f t="shared" si="49"/>
        <v>0.67074224268479843</v>
      </c>
      <c r="AI94" s="142">
        <v>-241658.54429749877</v>
      </c>
      <c r="AJ94" s="137">
        <v>36133.630709332858</v>
      </c>
      <c r="AK94" s="125"/>
      <c r="AL94" s="135">
        <f t="shared" si="50"/>
        <v>1962.6240000000003</v>
      </c>
      <c r="AM94" s="142">
        <v>-240101.44925981315</v>
      </c>
      <c r="AN94" s="137">
        <v>36069.196972594567</v>
      </c>
      <c r="AO94" s="125"/>
      <c r="AP94" s="135">
        <f t="shared" si="51"/>
        <v>1134.9333333333334</v>
      </c>
      <c r="AQ94" s="142">
        <v>-240762.42708050724</v>
      </c>
      <c r="AR94" s="137">
        <v>36154.770609316387</v>
      </c>
      <c r="AS94" s="125"/>
      <c r="AT94" s="135">
        <f t="shared" si="52"/>
        <v>19377.219760530239</v>
      </c>
      <c r="AU94" s="142">
        <v>-239325.74848798983</v>
      </c>
      <c r="AV94" s="137">
        <v>35968.770704156181</v>
      </c>
      <c r="AW94" s="125"/>
      <c r="AX94" s="135">
        <f t="shared" si="53"/>
        <v>1859.6315866666669</v>
      </c>
      <c r="AY94" s="142">
        <v>-240554.42624654717</v>
      </c>
      <c r="AZ94" s="137">
        <v>36127.841736295435</v>
      </c>
    </row>
    <row r="95" spans="1:53" x14ac:dyDescent="0.3">
      <c r="A95" s="110"/>
      <c r="B95" s="135">
        <f t="shared" si="41"/>
        <v>0.74166666666666647</v>
      </c>
      <c r="C95" s="142">
        <v>-248199.98474440744</v>
      </c>
      <c r="D95" s="137">
        <v>35800.345538629655</v>
      </c>
      <c r="E95" s="125"/>
      <c r="F95" s="135">
        <f t="shared" si="42"/>
        <v>0.97262833333333354</v>
      </c>
      <c r="G95" s="142">
        <v>-276965.23068577552</v>
      </c>
      <c r="H95" s="137">
        <v>35254.677505279644</v>
      </c>
      <c r="I95" s="125"/>
      <c r="J95" s="135">
        <f t="shared" si="43"/>
        <v>0.947395042994436</v>
      </c>
      <c r="K95" s="142">
        <v>-242492.20278206625</v>
      </c>
      <c r="L95" s="137">
        <v>35783.237680033351</v>
      </c>
      <c r="M95" s="125"/>
      <c r="N95" s="135">
        <f t="shared" si="44"/>
        <v>0.7086371000405024</v>
      </c>
      <c r="O95" s="142">
        <v>-389608.73113251047</v>
      </c>
      <c r="P95" s="137">
        <v>23343.616779064003</v>
      </c>
      <c r="Q95" s="125"/>
      <c r="R95" s="135">
        <f t="shared" si="45"/>
        <v>0.71103327495621693</v>
      </c>
      <c r="S95" s="142">
        <v>-260739.66825562966</v>
      </c>
      <c r="T95" s="137">
        <v>33205.596812143063</v>
      </c>
      <c r="U95" s="125"/>
      <c r="V95" s="135">
        <f t="shared" si="46"/>
        <v>0.46892655367231634</v>
      </c>
      <c r="W95" s="142">
        <v>-222442.59527719874</v>
      </c>
      <c r="X95" s="137">
        <v>31617.632709179175</v>
      </c>
      <c r="Y95" s="125"/>
      <c r="Z95" s="135">
        <f t="shared" si="47"/>
        <v>0.23179487179487185</v>
      </c>
      <c r="AA95" s="142">
        <v>-203356.93735776335</v>
      </c>
      <c r="AB95" s="137">
        <v>29898.545055064107</v>
      </c>
      <c r="AC95" s="125"/>
      <c r="AD95" s="135">
        <f t="shared" si="48"/>
        <v>0.29606365159128972</v>
      </c>
      <c r="AE95" s="142">
        <v>-258630.42862711666</v>
      </c>
      <c r="AF95" s="137">
        <v>35831.90693020296</v>
      </c>
      <c r="AG95" s="125"/>
      <c r="AH95" s="135">
        <f t="shared" si="49"/>
        <v>0.68340600258153694</v>
      </c>
      <c r="AI95" s="142">
        <v>-241579.36866539411</v>
      </c>
      <c r="AJ95" s="137">
        <v>36135.88417588421</v>
      </c>
      <c r="AK95" s="125"/>
      <c r="AL95" s="135">
        <f t="shared" si="50"/>
        <v>2065.92</v>
      </c>
      <c r="AM95" s="142">
        <v>-240000.82054453416</v>
      </c>
      <c r="AN95" s="137">
        <v>36056.169054175116</v>
      </c>
      <c r="AO95" s="125"/>
      <c r="AP95" s="135">
        <f t="shared" si="51"/>
        <v>1194.6666666666667</v>
      </c>
      <c r="AQ95" s="142">
        <v>-240764.98883007024</v>
      </c>
      <c r="AR95" s="137">
        <v>36155.102266778427</v>
      </c>
      <c r="AS95" s="125"/>
      <c r="AT95" s="135">
        <f t="shared" si="52"/>
        <v>20397.073432137095</v>
      </c>
      <c r="AU95" s="142">
        <v>-239458.91738232685</v>
      </c>
      <c r="AV95" s="137">
        <v>35986.011443905474</v>
      </c>
      <c r="AW95" s="125"/>
      <c r="AX95" s="135">
        <f t="shared" si="53"/>
        <v>1957.5069333333336</v>
      </c>
      <c r="AY95" s="142">
        <v>-240575.89716283357</v>
      </c>
      <c r="AZ95" s="137">
        <v>36130.621473122985</v>
      </c>
    </row>
    <row r="96" spans="1:53" x14ac:dyDescent="0.3">
      <c r="A96" s="110"/>
      <c r="B96" s="135">
        <f t="shared" si="41"/>
        <v>0.75199999999999978</v>
      </c>
      <c r="C96" s="142">
        <v>-247315.1591919433</v>
      </c>
      <c r="D96" s="137">
        <v>35841.764465442619</v>
      </c>
      <c r="E96" s="125"/>
      <c r="F96" s="135">
        <f t="shared" si="42"/>
        <v>0.97372320000000023</v>
      </c>
      <c r="G96" s="142">
        <v>-272839.85756843095</v>
      </c>
      <c r="H96" s="137">
        <v>35345.051638891564</v>
      </c>
      <c r="I96" s="125"/>
      <c r="J96" s="135">
        <f t="shared" si="43"/>
        <v>0.94949924127465857</v>
      </c>
      <c r="K96" s="142">
        <v>-242319.49886424045</v>
      </c>
      <c r="L96" s="137">
        <v>35820.755796169935</v>
      </c>
      <c r="M96" s="125"/>
      <c r="N96" s="135">
        <f t="shared" si="44"/>
        <v>0.72029161603888237</v>
      </c>
      <c r="O96" s="142">
        <v>-358543.86607041286</v>
      </c>
      <c r="P96" s="137">
        <v>24625.096985297463</v>
      </c>
      <c r="Q96" s="125"/>
      <c r="R96" s="135">
        <f t="shared" si="45"/>
        <v>0.72259194395796822</v>
      </c>
      <c r="S96" s="142">
        <v>-258450.36543994394</v>
      </c>
      <c r="T96" s="137">
        <v>33500.879015068611</v>
      </c>
      <c r="U96" s="125"/>
      <c r="V96" s="135">
        <f t="shared" si="46"/>
        <v>0.49016949152542366</v>
      </c>
      <c r="W96" s="142">
        <v>-224389.71906870019</v>
      </c>
      <c r="X96" s="137">
        <v>32071.711322401112</v>
      </c>
      <c r="Y96" s="125"/>
      <c r="Z96" s="135">
        <f t="shared" si="47"/>
        <v>0.24338461538461545</v>
      </c>
      <c r="AA96" s="142">
        <v>-207258.83266881996</v>
      </c>
      <c r="AB96" s="137">
        <v>30524.532433697623</v>
      </c>
      <c r="AC96" s="125"/>
      <c r="AD96" s="135">
        <f t="shared" si="48"/>
        <v>0.3108668341708542</v>
      </c>
      <c r="AE96" s="142">
        <v>-256729.18648617892</v>
      </c>
      <c r="AF96" s="137">
        <v>35864.558121322581</v>
      </c>
      <c r="AG96" s="125"/>
      <c r="AH96" s="135">
        <f t="shared" si="49"/>
        <v>0.69606976247827546</v>
      </c>
      <c r="AI96" s="142">
        <v>-241500.24763825801</v>
      </c>
      <c r="AJ96" s="137">
        <v>36138.13764243562</v>
      </c>
      <c r="AK96" s="125"/>
      <c r="AL96" s="135">
        <f t="shared" si="50"/>
        <v>2169.2159999999999</v>
      </c>
      <c r="AM96" s="142">
        <v>-239900.19182925514</v>
      </c>
      <c r="AN96" s="137">
        <v>36043.141135755664</v>
      </c>
      <c r="AO96" s="125"/>
      <c r="AP96" s="135">
        <f t="shared" si="51"/>
        <v>1254.4000000000001</v>
      </c>
      <c r="AQ96" s="142">
        <v>-240767.55057963281</v>
      </c>
      <c r="AR96" s="137">
        <v>36155.433924240409</v>
      </c>
      <c r="AS96" s="125"/>
      <c r="AT96" s="135">
        <f t="shared" si="52"/>
        <v>21416.92710374395</v>
      </c>
      <c r="AU96" s="142">
        <v>-239592.08627666419</v>
      </c>
      <c r="AV96" s="137">
        <v>36003.252183654811</v>
      </c>
      <c r="AW96" s="125"/>
      <c r="AX96" s="135">
        <f t="shared" si="53"/>
        <v>2055.3822800000003</v>
      </c>
      <c r="AY96" s="142">
        <v>-240597.36807911994</v>
      </c>
      <c r="AZ96" s="137">
        <v>36133.401209950534</v>
      </c>
    </row>
    <row r="97" spans="1:52" x14ac:dyDescent="0.3">
      <c r="A97" s="110"/>
      <c r="B97" s="135">
        <f t="shared" si="41"/>
        <v>0.76233333333333309</v>
      </c>
      <c r="C97" s="142">
        <v>-246437.80226350058</v>
      </c>
      <c r="D97" s="137">
        <v>35883.183392255312</v>
      </c>
      <c r="E97" s="125"/>
      <c r="F97" s="135">
        <f t="shared" si="42"/>
        <v>0.97481806666666693</v>
      </c>
      <c r="G97" s="142">
        <v>-268841.22369014856</v>
      </c>
      <c r="H97" s="137">
        <v>35435.425772503455</v>
      </c>
      <c r="I97" s="125"/>
      <c r="J97" s="135">
        <f t="shared" si="43"/>
        <v>0.95160343955488114</v>
      </c>
      <c r="K97" s="142">
        <v>-242147.36784236628</v>
      </c>
      <c r="L97" s="137">
        <v>35858.273912306402</v>
      </c>
      <c r="M97" s="125"/>
      <c r="N97" s="135">
        <f t="shared" si="44"/>
        <v>0.73194613203726233</v>
      </c>
      <c r="O97" s="142">
        <v>-334176.66249981115</v>
      </c>
      <c r="P97" s="137">
        <v>25906.577191530938</v>
      </c>
      <c r="Q97" s="125"/>
      <c r="R97" s="135">
        <f t="shared" si="45"/>
        <v>0.73415061295971951</v>
      </c>
      <c r="S97" s="142">
        <v>-256234.92744421578</v>
      </c>
      <c r="T97" s="137">
        <v>33796.161217994122</v>
      </c>
      <c r="U97" s="125"/>
      <c r="V97" s="135">
        <f t="shared" si="46"/>
        <v>0.51141242937853104</v>
      </c>
      <c r="W97" s="142">
        <v>-226310.53318575345</v>
      </c>
      <c r="X97" s="137">
        <v>32525.789935623114</v>
      </c>
      <c r="Y97" s="125"/>
      <c r="Z97" s="135">
        <f t="shared" si="47"/>
        <v>0.25497435897435905</v>
      </c>
      <c r="AA97" s="142">
        <v>-211124.17952207854</v>
      </c>
      <c r="AB97" s="137">
        <v>31150.519812331087</v>
      </c>
      <c r="AC97" s="125"/>
      <c r="AD97" s="135">
        <f t="shared" si="48"/>
        <v>0.32567001675041868</v>
      </c>
      <c r="AE97" s="142">
        <v>-254855.5135167829</v>
      </c>
      <c r="AF97" s="137">
        <v>35897.209312442152</v>
      </c>
      <c r="AG97" s="125"/>
      <c r="AH97" s="135">
        <f t="shared" si="49"/>
        <v>0.70873352237501397</v>
      </c>
      <c r="AI97" s="142">
        <v>-241421.18115961898</v>
      </c>
      <c r="AJ97" s="137">
        <v>36140.391108987162</v>
      </c>
      <c r="AK97" s="125"/>
      <c r="AL97" s="135">
        <f t="shared" si="50"/>
        <v>2272.5119999999997</v>
      </c>
      <c r="AM97" s="142">
        <v>-239799.56311397499</v>
      </c>
      <c r="AN97" s="137">
        <v>36030.113217336067</v>
      </c>
      <c r="AO97" s="125"/>
      <c r="AP97" s="135">
        <f t="shared" si="51"/>
        <v>1314.1333333333334</v>
      </c>
      <c r="AQ97" s="142">
        <v>-240770.11232919557</v>
      </c>
      <c r="AR97" s="137">
        <v>36155.765581702421</v>
      </c>
      <c r="AS97" s="125"/>
      <c r="AT97" s="135">
        <f t="shared" si="52"/>
        <v>22436.780775350806</v>
      </c>
      <c r="AU97" s="142">
        <v>-239725.25517100131</v>
      </c>
      <c r="AV97" s="137">
        <v>36020.492923404119</v>
      </c>
      <c r="AW97" s="125"/>
      <c r="AX97" s="135">
        <f t="shared" si="53"/>
        <v>2153.257626666667</v>
      </c>
      <c r="AY97" s="142">
        <v>-240618.83899540646</v>
      </c>
      <c r="AZ97" s="137">
        <v>36136.180946778099</v>
      </c>
    </row>
    <row r="98" spans="1:52" x14ac:dyDescent="0.3">
      <c r="A98" s="110"/>
      <c r="B98" s="135">
        <f t="shared" si="41"/>
        <v>0.77266666666666639</v>
      </c>
      <c r="C98" s="142">
        <v>-245567.81979489539</v>
      </c>
      <c r="D98" s="137">
        <v>35924.602319068232</v>
      </c>
      <c r="E98" s="125"/>
      <c r="F98" s="135">
        <f t="shared" si="42"/>
        <v>0.97591293333333362</v>
      </c>
      <c r="G98" s="142">
        <v>-264963.57690676796</v>
      </c>
      <c r="H98" s="137">
        <v>35525.799906115353</v>
      </c>
      <c r="I98" s="125"/>
      <c r="J98" s="135">
        <f t="shared" si="43"/>
        <v>0.95370763783510371</v>
      </c>
      <c r="K98" s="142">
        <v>-241975.80687053333</v>
      </c>
      <c r="L98" s="137">
        <v>35895.792028442804</v>
      </c>
      <c r="M98" s="125"/>
      <c r="N98" s="135">
        <f t="shared" si="44"/>
        <v>0.7436006480356423</v>
      </c>
      <c r="O98" s="142">
        <v>-314551.85224614618</v>
      </c>
      <c r="P98" s="137">
        <v>27188.05739776442</v>
      </c>
      <c r="Q98" s="125"/>
      <c r="R98" s="135">
        <f t="shared" si="45"/>
        <v>0.74570928196147079</v>
      </c>
      <c r="S98" s="142">
        <v>-254089.83613005772</v>
      </c>
      <c r="T98" s="137">
        <v>34091.44342091975</v>
      </c>
      <c r="U98" s="125"/>
      <c r="V98" s="135">
        <f t="shared" si="46"/>
        <v>0.53265536723163842</v>
      </c>
      <c r="W98" s="142">
        <v>-228205.56729717238</v>
      </c>
      <c r="X98" s="137">
        <v>32979.868548845057</v>
      </c>
      <c r="Y98" s="125"/>
      <c r="Z98" s="135">
        <f t="shared" si="47"/>
        <v>0.26656410256410262</v>
      </c>
      <c r="AA98" s="142">
        <v>-214953.48903947524</v>
      </c>
      <c r="AB98" s="137">
        <v>31776.507190964523</v>
      </c>
      <c r="AC98" s="125"/>
      <c r="AD98" s="135">
        <f t="shared" si="48"/>
        <v>0.34047319932998316</v>
      </c>
      <c r="AE98" s="142">
        <v>-253008.81438057913</v>
      </c>
      <c r="AF98" s="137">
        <v>35929.860503561707</v>
      </c>
      <c r="AG98" s="125"/>
      <c r="AH98" s="135">
        <f t="shared" si="49"/>
        <v>0.72139728227175248</v>
      </c>
      <c r="AI98" s="142">
        <v>-241342.16917308545</v>
      </c>
      <c r="AJ98" s="137">
        <v>36142.644575538521</v>
      </c>
      <c r="AK98" s="125"/>
      <c r="AL98" s="135">
        <f t="shared" si="50"/>
        <v>2375.8079999999995</v>
      </c>
      <c r="AM98" s="142">
        <v>-239698.934398696</v>
      </c>
      <c r="AN98" s="137">
        <v>36017.085298916616</v>
      </c>
      <c r="AO98" s="125"/>
      <c r="AP98" s="135">
        <f t="shared" si="51"/>
        <v>1373.8666666666668</v>
      </c>
      <c r="AQ98" s="142">
        <v>-240772.67407875857</v>
      </c>
      <c r="AR98" s="137">
        <v>36156.097239164461</v>
      </c>
      <c r="AS98" s="125"/>
      <c r="AT98" s="135">
        <f t="shared" si="52"/>
        <v>23456.634446957662</v>
      </c>
      <c r="AU98" s="142">
        <v>-239858.42406533798</v>
      </c>
      <c r="AV98" s="137">
        <v>36037.733663153369</v>
      </c>
      <c r="AW98" s="125"/>
      <c r="AX98" s="135">
        <f t="shared" si="53"/>
        <v>2251.1329733333337</v>
      </c>
      <c r="AY98" s="142">
        <v>-240640.30991169286</v>
      </c>
      <c r="AZ98" s="137">
        <v>36138.960683605648</v>
      </c>
    </row>
    <row r="99" spans="1:52" x14ac:dyDescent="0.3">
      <c r="A99" s="110"/>
      <c r="B99" s="135">
        <f t="shared" si="41"/>
        <v>0.7829999999999997</v>
      </c>
      <c r="C99" s="142">
        <v>-244705.11919827614</v>
      </c>
      <c r="D99" s="137">
        <v>35966.021245880918</v>
      </c>
      <c r="E99" s="125"/>
      <c r="F99" s="135">
        <f t="shared" si="42"/>
        <v>0.97700780000000031</v>
      </c>
      <c r="G99" s="142">
        <v>-261201.50797305247</v>
      </c>
      <c r="H99" s="137">
        <v>35616.174039727193</v>
      </c>
      <c r="I99" s="125"/>
      <c r="J99" s="135">
        <f t="shared" si="43"/>
        <v>0.95581183611532627</v>
      </c>
      <c r="K99" s="142">
        <v>-241804.81312165386</v>
      </c>
      <c r="L99" s="137">
        <v>35933.310144579358</v>
      </c>
      <c r="M99" s="125"/>
      <c r="N99" s="135">
        <f t="shared" si="44"/>
        <v>0.75525516403402226</v>
      </c>
      <c r="O99" s="142">
        <v>-298407.75019476045</v>
      </c>
      <c r="P99" s="137">
        <v>28469.537603997887</v>
      </c>
      <c r="Q99" s="125"/>
      <c r="R99" s="135">
        <f t="shared" si="45"/>
        <v>0.75726795096322208</v>
      </c>
      <c r="S99" s="142">
        <v>-252011.79328987247</v>
      </c>
      <c r="T99" s="137">
        <v>34386.725623845268</v>
      </c>
      <c r="U99" s="125"/>
      <c r="V99" s="135">
        <f t="shared" si="46"/>
        <v>0.5538983050847458</v>
      </c>
      <c r="W99" s="142">
        <v>-230075.33694875942</v>
      </c>
      <c r="X99" s="137">
        <v>33433.947162066936</v>
      </c>
      <c r="Y99" s="125"/>
      <c r="Z99" s="135">
        <f t="shared" si="47"/>
        <v>0.2781538461538462</v>
      </c>
      <c r="AA99" s="142">
        <v>-218747.26285660223</v>
      </c>
      <c r="AB99" s="137">
        <v>32402.494569597933</v>
      </c>
      <c r="AC99" s="125"/>
      <c r="AD99" s="135">
        <f t="shared" si="48"/>
        <v>0.35527638190954763</v>
      </c>
      <c r="AE99" s="142">
        <v>-251188.51075799722</v>
      </c>
      <c r="AF99" s="137">
        <v>35962.51169468122</v>
      </c>
      <c r="AG99" s="125"/>
      <c r="AH99" s="135">
        <f t="shared" si="49"/>
        <v>0.734061042168491</v>
      </c>
      <c r="AI99" s="142">
        <v>-241263.21162234488</v>
      </c>
      <c r="AJ99" s="137">
        <v>36144.898042089961</v>
      </c>
      <c r="AK99" s="125"/>
      <c r="AL99" s="135">
        <f t="shared" si="50"/>
        <v>2479.1039999999994</v>
      </c>
      <c r="AM99" s="142">
        <v>-239598.30568341675</v>
      </c>
      <c r="AN99" s="137">
        <v>36004.057380497135</v>
      </c>
      <c r="AO99" s="125"/>
      <c r="AP99" s="135">
        <f t="shared" si="51"/>
        <v>1433.6000000000001</v>
      </c>
      <c r="AQ99" s="142">
        <v>-240775.23582832134</v>
      </c>
      <c r="AR99" s="137">
        <v>36156.428896626472</v>
      </c>
      <c r="AS99" s="125"/>
      <c r="AT99" s="135">
        <f t="shared" si="52"/>
        <v>24476.488118564517</v>
      </c>
      <c r="AU99" s="142">
        <v>-239991.59295967524</v>
      </c>
      <c r="AV99" s="137">
        <v>36054.974402902692</v>
      </c>
      <c r="AW99" s="125"/>
      <c r="AX99" s="135">
        <f t="shared" si="53"/>
        <v>2349.0083200000004</v>
      </c>
      <c r="AY99" s="142">
        <v>-240661.78082797982</v>
      </c>
      <c r="AZ99" s="137">
        <v>36141.740420433271</v>
      </c>
    </row>
    <row r="100" spans="1:52" x14ac:dyDescent="0.3">
      <c r="A100" s="110"/>
      <c r="B100" s="135">
        <f t="shared" si="41"/>
        <v>0.793333333333333</v>
      </c>
      <c r="C100" s="142">
        <v>-243849.60942927291</v>
      </c>
      <c r="D100" s="137">
        <v>36007.440172693794</v>
      </c>
      <c r="E100" s="125"/>
      <c r="F100" s="135">
        <f t="shared" si="42"/>
        <v>0.97810266666666701</v>
      </c>
      <c r="G100" s="142">
        <v>-257549.92536661818</v>
      </c>
      <c r="H100" s="137">
        <v>35706.548173339143</v>
      </c>
      <c r="I100" s="125"/>
      <c r="J100" s="135">
        <f t="shared" si="43"/>
        <v>0.95791603439554884</v>
      </c>
      <c r="K100" s="142">
        <v>-241634.38378729543</v>
      </c>
      <c r="L100" s="137">
        <v>35970.828260716065</v>
      </c>
      <c r="M100" s="125"/>
      <c r="N100" s="135">
        <f t="shared" si="44"/>
        <v>0.76690968003240223</v>
      </c>
      <c r="O100" s="142">
        <v>-284893.76638143428</v>
      </c>
      <c r="P100" s="137">
        <v>29751.017810231362</v>
      </c>
      <c r="Q100" s="125"/>
      <c r="R100" s="135">
        <f t="shared" si="45"/>
        <v>0.76882661996497337</v>
      </c>
      <c r="S100" s="142">
        <v>-249997.70372552381</v>
      </c>
      <c r="T100" s="137">
        <v>34682.007826770809</v>
      </c>
      <c r="U100" s="125"/>
      <c r="V100" s="135">
        <f t="shared" si="46"/>
        <v>0.57514124293785318</v>
      </c>
      <c r="W100" s="142">
        <v>-231920.34403089501</v>
      </c>
      <c r="X100" s="137">
        <v>33888.025775288923</v>
      </c>
      <c r="Y100" s="125"/>
      <c r="Z100" s="135">
        <f t="shared" si="47"/>
        <v>0.28974358974358977</v>
      </c>
      <c r="AA100" s="142">
        <v>-222505.99334177037</v>
      </c>
      <c r="AB100" s="137">
        <v>33028.481948231383</v>
      </c>
      <c r="AC100" s="125"/>
      <c r="AD100" s="135">
        <f t="shared" si="48"/>
        <v>0.37007956448911211</v>
      </c>
      <c r="AE100" s="142">
        <v>-249394.04074438236</v>
      </c>
      <c r="AF100" s="137">
        <v>35995.16288580087</v>
      </c>
      <c r="AG100" s="125"/>
      <c r="AH100" s="135">
        <f t="shared" si="49"/>
        <v>0.74672480206522951</v>
      </c>
      <c r="AI100" s="142">
        <v>-241184.3084511589</v>
      </c>
      <c r="AJ100" s="137">
        <v>36147.151508641415</v>
      </c>
      <c r="AK100" s="125"/>
      <c r="AL100" s="135">
        <f t="shared" si="50"/>
        <v>2582.3999999999992</v>
      </c>
      <c r="AM100" s="142">
        <v>-239497.67696813785</v>
      </c>
      <c r="AN100" s="137">
        <v>35991.029462077699</v>
      </c>
      <c r="AO100" s="125"/>
      <c r="AP100" s="135">
        <f t="shared" si="51"/>
        <v>1493.3333333333335</v>
      </c>
      <c r="AQ100" s="142">
        <v>-240777.79757788414</v>
      </c>
      <c r="AR100" s="137">
        <v>36156.760554088483</v>
      </c>
      <c r="AS100" s="125"/>
      <c r="AT100" s="135">
        <f t="shared" si="52"/>
        <v>25496.341790171373</v>
      </c>
      <c r="AU100" s="142">
        <v>-240124.76185401258</v>
      </c>
      <c r="AV100" s="137">
        <v>36072.215142652029</v>
      </c>
      <c r="AW100" s="125"/>
      <c r="AX100" s="135">
        <f t="shared" si="53"/>
        <v>2446.8836666666671</v>
      </c>
      <c r="AY100" s="142">
        <v>-240683.2517442661</v>
      </c>
      <c r="AZ100" s="137">
        <v>36144.520157260806</v>
      </c>
    </row>
    <row r="101" spans="1:52" x14ac:dyDescent="0.3">
      <c r="A101" s="110"/>
      <c r="B101" s="135">
        <f t="shared" si="41"/>
        <v>0.80366666666666631</v>
      </c>
      <c r="C101" s="142">
        <v>-243001.20095498176</v>
      </c>
      <c r="D101" s="137">
        <v>36048.859099506648</v>
      </c>
      <c r="E101" s="125"/>
      <c r="F101" s="135">
        <f t="shared" si="42"/>
        <v>0.9791975333333337</v>
      </c>
      <c r="G101" s="142">
        <v>-254004.0322979152</v>
      </c>
      <c r="H101" s="137">
        <v>35796.922306951019</v>
      </c>
      <c r="I101" s="125"/>
      <c r="J101" s="135">
        <f t="shared" si="43"/>
        <v>0.96002023267577141</v>
      </c>
      <c r="K101" s="142">
        <v>-241464.51607755298</v>
      </c>
      <c r="L101" s="137">
        <v>36008.346376852409</v>
      </c>
      <c r="M101" s="125"/>
      <c r="N101" s="135">
        <f t="shared" si="44"/>
        <v>0.7785641960307822</v>
      </c>
      <c r="O101" s="142">
        <v>-273415.58342642663</v>
      </c>
      <c r="P101" s="137">
        <v>31032.498016464804</v>
      </c>
      <c r="Q101" s="125"/>
      <c r="R101" s="135">
        <f t="shared" si="45"/>
        <v>0.78038528896672466</v>
      </c>
      <c r="S101" s="142">
        <v>-248044.65986563638</v>
      </c>
      <c r="T101" s="137">
        <v>34977.290029696385</v>
      </c>
      <c r="U101" s="125"/>
      <c r="V101" s="135">
        <f t="shared" si="46"/>
        <v>0.59638418079096056</v>
      </c>
      <c r="W101" s="142">
        <v>-233741.07722770199</v>
      </c>
      <c r="X101" s="137">
        <v>34342.104388510706</v>
      </c>
      <c r="Y101" s="125"/>
      <c r="Z101" s="135">
        <f t="shared" si="47"/>
        <v>0.30133333333333334</v>
      </c>
      <c r="AA101" s="142">
        <v>-226230.16380903524</v>
      </c>
      <c r="AB101" s="137">
        <v>33654.469326864797</v>
      </c>
      <c r="AC101" s="125"/>
      <c r="AD101" s="135">
        <f t="shared" si="48"/>
        <v>0.38488274706867659</v>
      </c>
      <c r="AE101" s="142">
        <v>-247624.85827172757</v>
      </c>
      <c r="AF101" s="137">
        <v>36027.81407692044</v>
      </c>
      <c r="AG101" s="125"/>
      <c r="AH101" s="135">
        <f t="shared" si="49"/>
        <v>0.75938856196196802</v>
      </c>
      <c r="AI101" s="142">
        <v>-241105.45960336892</v>
      </c>
      <c r="AJ101" s="137">
        <v>36149.404975192818</v>
      </c>
      <c r="AK101" s="125"/>
      <c r="AL101" s="135">
        <f t="shared" si="50"/>
        <v>2685.695999999999</v>
      </c>
      <c r="AM101" s="142">
        <v>-239397.0482528584</v>
      </c>
      <c r="AN101" s="137">
        <v>35978.001543658189</v>
      </c>
      <c r="AO101" s="125"/>
      <c r="AP101" s="135">
        <f t="shared" si="51"/>
        <v>1553.0666666666668</v>
      </c>
      <c r="AQ101" s="142">
        <v>-240780.35932744702</v>
      </c>
      <c r="AR101" s="137">
        <v>36157.092211550509</v>
      </c>
      <c r="AS101" s="125"/>
      <c r="AT101" s="135">
        <f t="shared" si="52"/>
        <v>26516.195461778228</v>
      </c>
      <c r="AU101" s="142">
        <v>-240257.93074834949</v>
      </c>
      <c r="AV101" s="137">
        <v>36089.455882401307</v>
      </c>
      <c r="AW101" s="125"/>
      <c r="AX101" s="135">
        <f t="shared" si="53"/>
        <v>2544.7590133333338</v>
      </c>
      <c r="AY101" s="142">
        <v>-240704.72266055251</v>
      </c>
      <c r="AZ101" s="137">
        <v>36147.299894088355</v>
      </c>
    </row>
    <row r="102" spans="1:52" x14ac:dyDescent="0.3">
      <c r="A102" s="110"/>
      <c r="B102" s="135">
        <f t="shared" si="41"/>
        <v>0.81399999999999961</v>
      </c>
      <c r="C102" s="142">
        <v>-242159.80572270227</v>
      </c>
      <c r="D102" s="137">
        <v>36090.278026319582</v>
      </c>
      <c r="E102" s="125"/>
      <c r="F102" s="135">
        <f t="shared" si="42"/>
        <v>0.9802924000000004</v>
      </c>
      <c r="G102" s="142">
        <v>-250559.30568796632</v>
      </c>
      <c r="H102" s="137">
        <v>35887.296440562925</v>
      </c>
      <c r="I102" s="125"/>
      <c r="J102" s="135">
        <f t="shared" si="43"/>
        <v>0.96212443095599398</v>
      </c>
      <c r="K102" s="142">
        <v>-241295.20722086058</v>
      </c>
      <c r="L102" s="137">
        <v>36045.86449298892</v>
      </c>
      <c r="M102" s="125"/>
      <c r="N102" s="135">
        <f t="shared" si="44"/>
        <v>0.79021871202916216</v>
      </c>
      <c r="O102" s="142">
        <v>-263545.4021814405</v>
      </c>
      <c r="P102" s="137">
        <v>32313.978222698293</v>
      </c>
      <c r="Q102" s="125"/>
      <c r="R102" s="135">
        <f t="shared" si="45"/>
        <v>0.79194395796847594</v>
      </c>
      <c r="S102" s="142">
        <v>-246149.92776073364</v>
      </c>
      <c r="T102" s="137">
        <v>35272.572232621911</v>
      </c>
      <c r="U102" s="125"/>
      <c r="V102" s="135">
        <f t="shared" si="46"/>
        <v>0.61762711864406794</v>
      </c>
      <c r="W102" s="142">
        <v>-235538.01244855297</v>
      </c>
      <c r="X102" s="137">
        <v>34796.183001732839</v>
      </c>
      <c r="Y102" s="125"/>
      <c r="Z102" s="135">
        <f t="shared" si="47"/>
        <v>0.31292307692307691</v>
      </c>
      <c r="AA102" s="142">
        <v>-229920.24872536521</v>
      </c>
      <c r="AB102" s="137">
        <v>34280.456705498262</v>
      </c>
      <c r="AC102" s="125"/>
      <c r="AD102" s="135">
        <f t="shared" si="48"/>
        <v>0.39968592964824107</v>
      </c>
      <c r="AE102" s="142">
        <v>-245880.43255464573</v>
      </c>
      <c r="AF102" s="137">
        <v>36060.465268039967</v>
      </c>
      <c r="AG102" s="125"/>
      <c r="AH102" s="135">
        <f t="shared" si="49"/>
        <v>0.77205232185870654</v>
      </c>
      <c r="AI102" s="142">
        <v>-241026.66502289393</v>
      </c>
      <c r="AJ102" s="137">
        <v>36151.658441744308</v>
      </c>
      <c r="AK102" s="125"/>
      <c r="AL102" s="135">
        <f t="shared" si="50"/>
        <v>2788.9919999999988</v>
      </c>
      <c r="AM102" s="142">
        <v>-239296.41953757973</v>
      </c>
      <c r="AN102" s="137">
        <v>35964.973625238781</v>
      </c>
      <c r="AO102" s="125"/>
      <c r="AP102" s="135">
        <f t="shared" si="51"/>
        <v>1612.8000000000002</v>
      </c>
      <c r="AQ102" s="142">
        <v>-240782.92107700967</v>
      </c>
      <c r="AR102" s="137">
        <v>36157.423869012506</v>
      </c>
      <c r="AS102" s="125"/>
      <c r="AT102" s="135">
        <f t="shared" si="52"/>
        <v>27536.049133385084</v>
      </c>
      <c r="AU102" s="142">
        <v>-240391.09964268707</v>
      </c>
      <c r="AV102" s="137">
        <v>36106.696622150674</v>
      </c>
      <c r="AW102" s="125"/>
      <c r="AX102" s="135">
        <f t="shared" si="53"/>
        <v>2642.6343600000005</v>
      </c>
      <c r="AY102" s="142">
        <v>-240726.19357683902</v>
      </c>
      <c r="AZ102" s="137">
        <v>36150.07963091592</v>
      </c>
    </row>
    <row r="103" spans="1:52" x14ac:dyDescent="0.3">
      <c r="A103" s="110"/>
      <c r="B103" s="135">
        <f t="shared" si="41"/>
        <v>0.82433333333333292</v>
      </c>
      <c r="C103" s="142">
        <v>-241325.33712951007</v>
      </c>
      <c r="D103" s="137">
        <v>36131.696953132137</v>
      </c>
      <c r="E103" s="125"/>
      <c r="F103" s="135">
        <f t="shared" si="42"/>
        <v>0.98138726666666709</v>
      </c>
      <c r="G103" s="142">
        <v>-247211.47692013503</v>
      </c>
      <c r="H103" s="137">
        <v>35977.670574174816</v>
      </c>
      <c r="I103" s="125"/>
      <c r="J103" s="135">
        <f t="shared" si="43"/>
        <v>0.96422862923621655</v>
      </c>
      <c r="K103" s="142">
        <v>-241126.45446386634</v>
      </c>
      <c r="L103" s="137">
        <v>36083.382609125598</v>
      </c>
      <c r="M103" s="125"/>
      <c r="N103" s="135">
        <f t="shared" si="44"/>
        <v>0.80187322802754213</v>
      </c>
      <c r="O103" s="142">
        <v>-254967.43969540211</v>
      </c>
      <c r="P103" s="137">
        <v>33595.458428931728</v>
      </c>
      <c r="Q103" s="125"/>
      <c r="R103" s="135">
        <f t="shared" si="45"/>
        <v>0.80350262697022723</v>
      </c>
      <c r="S103" s="142">
        <v>-244310.93431433904</v>
      </c>
      <c r="T103" s="137">
        <v>35567.854435547502</v>
      </c>
      <c r="U103" s="125"/>
      <c r="V103" s="135">
        <f t="shared" si="46"/>
        <v>0.63887005649717532</v>
      </c>
      <c r="W103" s="142">
        <v>-237311.61324282712</v>
      </c>
      <c r="X103" s="137">
        <v>35250.261614954696</v>
      </c>
      <c r="Y103" s="125"/>
      <c r="Z103" s="135">
        <f t="shared" si="47"/>
        <v>0.32451282051282049</v>
      </c>
      <c r="AA103" s="142">
        <v>-233576.71391215798</v>
      </c>
      <c r="AB103" s="137">
        <v>34906.444084131705</v>
      </c>
      <c r="AC103" s="125"/>
      <c r="AD103" s="135">
        <f t="shared" si="48"/>
        <v>0.41448911222780555</v>
      </c>
      <c r="AE103" s="142">
        <v>-244160.24755944539</v>
      </c>
      <c r="AF103" s="137">
        <v>36093.116459159464</v>
      </c>
      <c r="AG103" s="125"/>
      <c r="AH103" s="135">
        <f t="shared" si="49"/>
        <v>0.78471608175544505</v>
      </c>
      <c r="AI103" s="142">
        <v>-240947.92465372843</v>
      </c>
      <c r="AJ103" s="137">
        <v>36153.911908295719</v>
      </c>
      <c r="AK103" s="125"/>
      <c r="AL103" s="135">
        <f t="shared" si="50"/>
        <v>2892.2879999999986</v>
      </c>
      <c r="AM103" s="142">
        <v>-239195.79082230048</v>
      </c>
      <c r="AN103" s="137">
        <v>35951.945706819301</v>
      </c>
      <c r="AO103" s="125"/>
      <c r="AP103" s="135">
        <f t="shared" si="51"/>
        <v>1672.5333333333335</v>
      </c>
      <c r="AQ103" s="142">
        <v>-240785.4828265729</v>
      </c>
      <c r="AR103" s="137">
        <v>36157.755526474575</v>
      </c>
      <c r="AS103" s="125"/>
      <c r="AT103" s="135">
        <f t="shared" si="52"/>
        <v>28555.90280499194</v>
      </c>
      <c r="AU103" s="142">
        <v>-240524.26853702351</v>
      </c>
      <c r="AV103" s="137">
        <v>36123.937361899894</v>
      </c>
      <c r="AW103" s="125"/>
      <c r="AX103" s="135">
        <f t="shared" si="53"/>
        <v>2740.5097066666672</v>
      </c>
      <c r="AY103" s="142">
        <v>-240747.66449312531</v>
      </c>
      <c r="AZ103" s="137">
        <v>36152.859367743455</v>
      </c>
    </row>
    <row r="104" spans="1:52" x14ac:dyDescent="0.3">
      <c r="A104" s="110"/>
      <c r="B104" s="135">
        <f t="shared" si="41"/>
        <v>0.83466666666666622</v>
      </c>
      <c r="C104" s="142">
        <v>-240497.70999251204</v>
      </c>
      <c r="D104" s="137">
        <v>36173.115879944969</v>
      </c>
      <c r="E104" s="125"/>
      <c r="F104" s="135">
        <f t="shared" si="42"/>
        <v>0.98248213333333378</v>
      </c>
      <c r="G104" s="142">
        <v>-243956.51419367659</v>
      </c>
      <c r="H104" s="137">
        <v>36068.044707786699</v>
      </c>
      <c r="I104" s="125"/>
      <c r="J104" s="135">
        <f t="shared" si="43"/>
        <v>0.96633282751643912</v>
      </c>
      <c r="K104" s="142">
        <v>-240958.25507127543</v>
      </c>
      <c r="L104" s="137">
        <v>36120.900725262029</v>
      </c>
      <c r="M104" s="125"/>
      <c r="N104" s="135">
        <f t="shared" si="44"/>
        <v>0.81352774402592209</v>
      </c>
      <c r="O104" s="142">
        <v>-247443.51845202723</v>
      </c>
      <c r="P104" s="137">
        <v>34876.938635165199</v>
      </c>
      <c r="Q104" s="125"/>
      <c r="R104" s="135">
        <f t="shared" si="45"/>
        <v>0.81506129597197852</v>
      </c>
      <c r="S104" s="142">
        <v>-242525.2556246538</v>
      </c>
      <c r="T104" s="137">
        <v>35863.136638472977</v>
      </c>
      <c r="U104" s="125"/>
      <c r="V104" s="135">
        <f t="shared" si="46"/>
        <v>0.6601129943502827</v>
      </c>
      <c r="W104" s="142">
        <v>-239062.3311985367</v>
      </c>
      <c r="X104" s="137">
        <v>35704.340228176588</v>
      </c>
      <c r="Y104" s="125"/>
      <c r="Z104" s="135">
        <f t="shared" si="47"/>
        <v>0.33610256410256406</v>
      </c>
      <c r="AA104" s="142">
        <v>-237200.01674126214</v>
      </c>
      <c r="AB104" s="137">
        <v>35532.43146276514</v>
      </c>
      <c r="AC104" s="125"/>
      <c r="AD104" s="135">
        <f t="shared" si="48"/>
        <v>0.42929229480737002</v>
      </c>
      <c r="AE104" s="142">
        <v>-242463.80149519281</v>
      </c>
      <c r="AF104" s="137">
        <v>36125.767650279078</v>
      </c>
      <c r="AG104" s="125"/>
      <c r="AH104" s="135">
        <f t="shared" si="49"/>
        <v>0.79737984165218356</v>
      </c>
      <c r="AI104" s="142">
        <v>-240869.2384399478</v>
      </c>
      <c r="AJ104" s="137">
        <v>36156.165374847151</v>
      </c>
      <c r="AK104" s="125"/>
      <c r="AL104" s="135">
        <f t="shared" si="50"/>
        <v>2995.5839999999985</v>
      </c>
      <c r="AM104" s="142">
        <v>-239095.16210702079</v>
      </c>
      <c r="AN104" s="137">
        <v>35938.917788399762</v>
      </c>
      <c r="AO104" s="125"/>
      <c r="AP104" s="135">
        <f t="shared" si="51"/>
        <v>1732.2666666666669</v>
      </c>
      <c r="AQ104" s="142">
        <v>-240788.04457613523</v>
      </c>
      <c r="AR104" s="137">
        <v>36158.087183936528</v>
      </c>
      <c r="AS104" s="125"/>
      <c r="AT104" s="135">
        <f t="shared" si="52"/>
        <v>29575.756476598795</v>
      </c>
      <c r="AU104" s="142">
        <v>-240657.43743136086</v>
      </c>
      <c r="AV104" s="137">
        <v>36141.178101649231</v>
      </c>
      <c r="AW104" s="125"/>
      <c r="AX104" s="135">
        <f t="shared" si="53"/>
        <v>2838.3850533333339</v>
      </c>
      <c r="AY104" s="142">
        <v>-240769.1354094116</v>
      </c>
      <c r="AZ104" s="137">
        <v>36155.63910457099</v>
      </c>
    </row>
    <row r="105" spans="1:52" x14ac:dyDescent="0.3">
      <c r="A105" s="110"/>
      <c r="B105" s="135">
        <f t="shared" si="41"/>
        <v>0.84499999999999953</v>
      </c>
      <c r="C105" s="142">
        <v>-239676.84051987561</v>
      </c>
      <c r="D105" s="137">
        <v>36214.534806757983</v>
      </c>
      <c r="E105" s="125"/>
      <c r="F105" s="135">
        <f t="shared" si="42"/>
        <v>0.98357700000000048</v>
      </c>
      <c r="G105" s="142">
        <v>-240790.60632569605</v>
      </c>
      <c r="H105" s="137">
        <v>36158.418841398598</v>
      </c>
      <c r="I105" s="125"/>
      <c r="J105" s="135">
        <f t="shared" si="43"/>
        <v>0.96843702579666169</v>
      </c>
      <c r="K105" s="142">
        <v>-240790.60632569823</v>
      </c>
      <c r="L105" s="137">
        <v>36158.418841398568</v>
      </c>
      <c r="M105" s="125"/>
      <c r="N105" s="135">
        <f t="shared" si="44"/>
        <v>0.82518226002430206</v>
      </c>
      <c r="O105" s="142">
        <v>-240790.60632569765</v>
      </c>
      <c r="P105" s="137">
        <v>36158.418841398685</v>
      </c>
      <c r="Q105" s="125"/>
      <c r="R105" s="135">
        <f t="shared" si="45"/>
        <v>0.8266199649737298</v>
      </c>
      <c r="S105" s="142">
        <v>-240790.60632569864</v>
      </c>
      <c r="T105" s="137">
        <v>36158.418841398561</v>
      </c>
      <c r="U105" s="125"/>
      <c r="V105" s="135">
        <f t="shared" si="46"/>
        <v>0.68135593220339008</v>
      </c>
      <c r="W105" s="142">
        <v>-240790.60632569791</v>
      </c>
      <c r="X105" s="137">
        <v>36158.41884139859</v>
      </c>
      <c r="Y105" s="125"/>
      <c r="Z105" s="135">
        <f t="shared" si="47"/>
        <v>0.34769230769230763</v>
      </c>
      <c r="AA105" s="142">
        <v>-240790.60632569875</v>
      </c>
      <c r="AB105" s="137">
        <v>36158.418841398576</v>
      </c>
      <c r="AC105" s="125"/>
      <c r="AD105" s="135">
        <f t="shared" si="48"/>
        <v>0.4440954773869345</v>
      </c>
      <c r="AE105" s="142">
        <v>-240790.60632569771</v>
      </c>
      <c r="AF105" s="137">
        <v>36158.418841398561</v>
      </c>
      <c r="AG105" s="125"/>
      <c r="AH105" s="135">
        <f t="shared" si="49"/>
        <v>0.81004360154892208</v>
      </c>
      <c r="AI105" s="142">
        <v>-240790.60632569779</v>
      </c>
      <c r="AJ105" s="137">
        <v>36158.418841398576</v>
      </c>
      <c r="AK105" s="125"/>
      <c r="AL105" s="135">
        <f t="shared" si="50"/>
        <v>3098.8799999999983</v>
      </c>
      <c r="AM105" s="142">
        <v>-238994.53339174189</v>
      </c>
      <c r="AN105" s="137">
        <v>35925.889869980325</v>
      </c>
      <c r="AO105" s="125"/>
      <c r="AP105" s="135">
        <f t="shared" si="51"/>
        <v>1792.0000000000002</v>
      </c>
      <c r="AQ105" s="142">
        <v>-240790.60632569823</v>
      </c>
      <c r="AR105" s="137">
        <v>36158.418841398568</v>
      </c>
      <c r="AS105" s="125"/>
      <c r="AT105" s="135">
        <f t="shared" si="52"/>
        <v>30595.610148205651</v>
      </c>
      <c r="AU105" s="142">
        <v>-240790.60632569823</v>
      </c>
      <c r="AV105" s="137">
        <v>36158.418841398568</v>
      </c>
      <c r="AW105" s="125"/>
      <c r="AX105" s="135">
        <f t="shared" si="53"/>
        <v>2936.2604000000006</v>
      </c>
      <c r="AY105" s="142">
        <v>-240790.60632569823</v>
      </c>
      <c r="AZ105" s="137">
        <v>36158.418841398568</v>
      </c>
    </row>
    <row r="106" spans="1:52" x14ac:dyDescent="0.3">
      <c r="A106" s="110"/>
      <c r="B106" s="135">
        <f t="shared" si="41"/>
        <v>0.85533333333333283</v>
      </c>
      <c r="C106" s="142">
        <v>-238862.64628253863</v>
      </c>
      <c r="D106" s="137">
        <v>36255.953733570728</v>
      </c>
      <c r="E106" s="125"/>
      <c r="F106" s="135">
        <f t="shared" si="42"/>
        <v>0.98467186666666717</v>
      </c>
      <c r="G106" s="142">
        <v>-237710.14786469628</v>
      </c>
      <c r="H106" s="137">
        <v>36248.792975010445</v>
      </c>
      <c r="I106" s="125"/>
      <c r="J106" s="135">
        <f t="shared" si="43"/>
        <v>0.97054122407688426</v>
      </c>
      <c r="K106" s="142">
        <v>-240623.50552751517</v>
      </c>
      <c r="L106" s="137">
        <v>36195.936957535087</v>
      </c>
      <c r="M106" s="125"/>
      <c r="N106" s="135">
        <f t="shared" si="44"/>
        <v>0.83683677602268203</v>
      </c>
      <c r="O106" s="142">
        <v>-234865.73002270071</v>
      </c>
      <c r="P106" s="137">
        <v>37439.899047632141</v>
      </c>
      <c r="Q106" s="125"/>
      <c r="R106" s="135">
        <f t="shared" si="45"/>
        <v>0.83817863397548109</v>
      </c>
      <c r="S106" s="142">
        <v>-239104.82982938355</v>
      </c>
      <c r="T106" s="137">
        <v>36453.701044324087</v>
      </c>
      <c r="U106" s="125"/>
      <c r="V106" s="135">
        <f t="shared" si="46"/>
        <v>0.70259887005649746</v>
      </c>
      <c r="W106" s="142">
        <v>-242496.86742500972</v>
      </c>
      <c r="X106" s="137">
        <v>36612.497454620585</v>
      </c>
      <c r="Y106" s="125"/>
      <c r="Z106" s="135">
        <f t="shared" si="47"/>
        <v>0.35928205128205121</v>
      </c>
      <c r="AA106" s="142">
        <v>-244348.92370523431</v>
      </c>
      <c r="AB106" s="137">
        <v>36784.406220032019</v>
      </c>
      <c r="AC106" s="125"/>
      <c r="AD106" s="135">
        <f t="shared" si="48"/>
        <v>0.45889865996649898</v>
      </c>
      <c r="AE106" s="142">
        <v>-239140.1873014202</v>
      </c>
      <c r="AF106" s="137">
        <v>36191.070032518197</v>
      </c>
      <c r="AG106" s="125"/>
      <c r="AH106" s="135">
        <f t="shared" si="49"/>
        <v>0.82270736144566059</v>
      </c>
      <c r="AI106" s="142">
        <v>-240712.0282552056</v>
      </c>
      <c r="AJ106" s="137">
        <v>36160.672307950001</v>
      </c>
      <c r="AK106" s="125"/>
      <c r="AL106" s="135">
        <f t="shared" si="50"/>
        <v>3202.1759999999981</v>
      </c>
      <c r="AM106" s="142">
        <v>-238893.9046764622</v>
      </c>
      <c r="AN106" s="137">
        <v>35912.861951560786</v>
      </c>
      <c r="AO106" s="125"/>
      <c r="AP106" s="135">
        <f t="shared" si="51"/>
        <v>1851.7333333333336</v>
      </c>
      <c r="AQ106" s="142">
        <v>-240793.16807526123</v>
      </c>
      <c r="AR106" s="137">
        <v>36158.750498860609</v>
      </c>
      <c r="AS106" s="125"/>
      <c r="AT106" s="135">
        <f t="shared" si="52"/>
        <v>31615.463819812507</v>
      </c>
      <c r="AU106" s="142">
        <v>-240923.77522003534</v>
      </c>
      <c r="AV106" s="137">
        <v>36175.659581147876</v>
      </c>
      <c r="AW106" s="125"/>
      <c r="AX106" s="135">
        <f t="shared" si="53"/>
        <v>3034.1357466666673</v>
      </c>
      <c r="AY106" s="142">
        <v>-240812.07724198472</v>
      </c>
      <c r="AZ106" s="137">
        <v>36161.198578226133</v>
      </c>
    </row>
    <row r="107" spans="1:52" x14ac:dyDescent="0.3">
      <c r="A107" s="110"/>
      <c r="B107" s="135">
        <f t="shared" si="41"/>
        <v>0.86566666666666614</v>
      </c>
      <c r="C107" s="142">
        <v>-238055.04618662479</v>
      </c>
      <c r="D107" s="137">
        <v>36297.372660383604</v>
      </c>
      <c r="E107" s="125"/>
      <c r="F107" s="135">
        <f t="shared" si="42"/>
        <v>0.98576673333333387</v>
      </c>
      <c r="G107" s="142">
        <v>-234711.72539343845</v>
      </c>
      <c r="H107" s="137">
        <v>36339.167108622452</v>
      </c>
      <c r="I107" s="125"/>
      <c r="J107" s="135">
        <f t="shared" si="43"/>
        <v>0.97264542235710683</v>
      </c>
      <c r="K107" s="142">
        <v>-240456.94999471883</v>
      </c>
      <c r="L107" s="137">
        <v>36233.455073671736</v>
      </c>
      <c r="M107" s="125"/>
      <c r="N107" s="135">
        <f t="shared" si="44"/>
        <v>0.84849129202106199</v>
      </c>
      <c r="O107" s="142">
        <v>-229555.58440307074</v>
      </c>
      <c r="P107" s="137">
        <v>38721.379253865613</v>
      </c>
      <c r="Q107" s="125"/>
      <c r="R107" s="135">
        <f t="shared" si="45"/>
        <v>0.84973730297723238</v>
      </c>
      <c r="S107" s="142">
        <v>-237465.88938090499</v>
      </c>
      <c r="T107" s="137">
        <v>36748.983247249656</v>
      </c>
      <c r="U107" s="125"/>
      <c r="V107" s="135">
        <f t="shared" si="46"/>
        <v>0.72384180790960484</v>
      </c>
      <c r="W107" s="142">
        <v>-244181.53244254008</v>
      </c>
      <c r="X107" s="137">
        <v>37066.576067842463</v>
      </c>
      <c r="Y107" s="125"/>
      <c r="Z107" s="135">
        <f t="shared" si="47"/>
        <v>0.37087179487179478</v>
      </c>
      <c r="AA107" s="142">
        <v>-247875.40202698493</v>
      </c>
      <c r="AB107" s="137">
        <v>37410.393598665491</v>
      </c>
      <c r="AC107" s="125"/>
      <c r="AD107" s="135">
        <f t="shared" si="48"/>
        <v>0.47370184254606346</v>
      </c>
      <c r="AE107" s="142">
        <v>-237512.08251037649</v>
      </c>
      <c r="AF107" s="137">
        <v>36223.721223637789</v>
      </c>
      <c r="AG107" s="125"/>
      <c r="AH107" s="135">
        <f t="shared" si="49"/>
        <v>0.8353711213423991</v>
      </c>
      <c r="AI107" s="142">
        <v>-240633.5041727763</v>
      </c>
      <c r="AJ107" s="137">
        <v>36162.925774501404</v>
      </c>
      <c r="AK107" s="125"/>
      <c r="AL107" s="135">
        <f t="shared" si="50"/>
        <v>3305.4719999999979</v>
      </c>
      <c r="AM107" s="142">
        <v>-238793.27596118342</v>
      </c>
      <c r="AN107" s="137">
        <v>35899.834033141364</v>
      </c>
      <c r="AO107" s="125"/>
      <c r="AP107" s="135">
        <f t="shared" si="51"/>
        <v>1911.4666666666669</v>
      </c>
      <c r="AQ107" s="142">
        <v>-240795.72982482423</v>
      </c>
      <c r="AR107" s="137">
        <v>36159.082156322649</v>
      </c>
      <c r="AS107" s="125"/>
      <c r="AT107" s="135">
        <f t="shared" si="52"/>
        <v>32635.317491419362</v>
      </c>
      <c r="AU107" s="142">
        <v>-241056.9441143719</v>
      </c>
      <c r="AV107" s="137">
        <v>36192.900320897112</v>
      </c>
      <c r="AW107" s="125"/>
      <c r="AX107" s="135">
        <f t="shared" si="53"/>
        <v>3132.011093333334</v>
      </c>
      <c r="AY107" s="142">
        <v>-240833.54815827092</v>
      </c>
      <c r="AZ107" s="137">
        <v>36163.978315053653</v>
      </c>
    </row>
    <row r="108" spans="1:52" x14ac:dyDescent="0.3">
      <c r="A108" s="110"/>
      <c r="B108" s="135">
        <f t="shared" si="41"/>
        <v>0.87599999999999945</v>
      </c>
      <c r="C108" s="142">
        <v>-237253.96044650744</v>
      </c>
      <c r="D108" s="137">
        <v>36338.791587196392</v>
      </c>
      <c r="E108" s="125"/>
      <c r="F108" s="135">
        <f t="shared" si="42"/>
        <v>0.98686160000000056</v>
      </c>
      <c r="G108" s="142">
        <v>-231792.10491174163</v>
      </c>
      <c r="H108" s="137">
        <v>36429.541242234263</v>
      </c>
      <c r="I108" s="125"/>
      <c r="J108" s="135">
        <f t="shared" si="43"/>
        <v>0.97474962063732939</v>
      </c>
      <c r="K108" s="142">
        <v>-240290.9370627827</v>
      </c>
      <c r="L108" s="137">
        <v>36270.973189808195</v>
      </c>
      <c r="M108" s="125"/>
      <c r="N108" s="135">
        <f t="shared" si="44"/>
        <v>0.86014580801944196</v>
      </c>
      <c r="O108" s="142">
        <v>-224769.21652372138</v>
      </c>
      <c r="P108" s="137">
        <v>40002.859460099047</v>
      </c>
      <c r="Q108" s="125"/>
      <c r="R108" s="135">
        <f t="shared" si="45"/>
        <v>0.86129597197898367</v>
      </c>
      <c r="S108" s="142">
        <v>-235871.85984942943</v>
      </c>
      <c r="T108" s="137">
        <v>37044.26545017524</v>
      </c>
      <c r="U108" s="125"/>
      <c r="V108" s="135">
        <f t="shared" si="46"/>
        <v>0.74508474576271222</v>
      </c>
      <c r="W108" s="142">
        <v>-245845.00881103886</v>
      </c>
      <c r="X108" s="137">
        <v>37520.654681064414</v>
      </c>
      <c r="Y108" s="125"/>
      <c r="Z108" s="135">
        <f t="shared" si="47"/>
        <v>0.38246153846153835</v>
      </c>
      <c r="AA108" s="142">
        <v>-251370.46672117157</v>
      </c>
      <c r="AB108" s="137">
        <v>38036.38097729881</v>
      </c>
      <c r="AC108" s="125"/>
      <c r="AD108" s="135">
        <f t="shared" si="48"/>
        <v>0.48850502512562793</v>
      </c>
      <c r="AE108" s="142">
        <v>-235905.84244713155</v>
      </c>
      <c r="AF108" s="137">
        <v>36256.372414757374</v>
      </c>
      <c r="AG108" s="125"/>
      <c r="AH108" s="135">
        <f t="shared" si="49"/>
        <v>0.84803488123913762</v>
      </c>
      <c r="AI108" s="142">
        <v>-240555.03402278791</v>
      </c>
      <c r="AJ108" s="137">
        <v>36165.179241052858</v>
      </c>
      <c r="AK108" s="125"/>
      <c r="AL108" s="135">
        <f t="shared" si="50"/>
        <v>3408.7679999999978</v>
      </c>
      <c r="AM108" s="142">
        <v>-238692.64724590463</v>
      </c>
      <c r="AN108" s="137">
        <v>35886.806114721941</v>
      </c>
      <c r="AO108" s="125"/>
      <c r="AP108" s="135">
        <f t="shared" si="51"/>
        <v>1971.2000000000003</v>
      </c>
      <c r="AQ108" s="142">
        <v>-240798.29157438665</v>
      </c>
      <c r="AR108" s="137">
        <v>36159.413813784617</v>
      </c>
      <c r="AS108" s="125"/>
      <c r="AT108" s="135">
        <f t="shared" si="52"/>
        <v>33655.171163026214</v>
      </c>
      <c r="AU108" s="142">
        <v>-241190.11300870928</v>
      </c>
      <c r="AV108" s="137">
        <v>36210.141060646449</v>
      </c>
      <c r="AW108" s="125"/>
      <c r="AX108" s="135">
        <f t="shared" si="53"/>
        <v>3229.8864400000007</v>
      </c>
      <c r="AY108" s="142">
        <v>-240855.01907455741</v>
      </c>
      <c r="AZ108" s="137">
        <v>36166.758051881217</v>
      </c>
    </row>
    <row r="109" spans="1:52" x14ac:dyDescent="0.3">
      <c r="A109" s="110"/>
      <c r="B109" s="135">
        <f t="shared" si="41"/>
        <v>0.88633333333333275</v>
      </c>
      <c r="C109" s="142">
        <v>-236459.31055855067</v>
      </c>
      <c r="D109" s="137">
        <v>36380.210514009232</v>
      </c>
      <c r="E109" s="125"/>
      <c r="F109" s="135">
        <f t="shared" si="42"/>
        <v>0.98795646666666725</v>
      </c>
      <c r="G109" s="142">
        <v>-228948.22020116681</v>
      </c>
      <c r="H109" s="137">
        <v>36519.915375846205</v>
      </c>
      <c r="I109" s="125"/>
      <c r="J109" s="135">
        <f t="shared" si="43"/>
        <v>0.97685381891755196</v>
      </c>
      <c r="K109" s="142">
        <v>-240125.46408450941</v>
      </c>
      <c r="L109" s="137">
        <v>36308.491305944714</v>
      </c>
      <c r="M109" s="125"/>
      <c r="N109" s="135">
        <f t="shared" si="44"/>
        <v>0.87180032401782193</v>
      </c>
      <c r="O109" s="142">
        <v>-220432.77280700899</v>
      </c>
      <c r="P109" s="137">
        <v>41284.339666332533</v>
      </c>
      <c r="Q109" s="125"/>
      <c r="R109" s="135">
        <f t="shared" si="45"/>
        <v>0.87285464098073495</v>
      </c>
      <c r="S109" s="142">
        <v>-234320.92018454985</v>
      </c>
      <c r="T109" s="137">
        <v>37339.547653100803</v>
      </c>
      <c r="U109" s="125"/>
      <c r="V109" s="135">
        <f t="shared" si="46"/>
        <v>0.7663276836158196</v>
      </c>
      <c r="W109" s="142">
        <v>-247487.69377843355</v>
      </c>
      <c r="X109" s="137">
        <v>37974.733294286401</v>
      </c>
      <c r="Y109" s="125"/>
      <c r="Z109" s="135">
        <f t="shared" si="47"/>
        <v>0.39405128205128193</v>
      </c>
      <c r="AA109" s="142">
        <v>-254834.53567221836</v>
      </c>
      <c r="AB109" s="137">
        <v>38662.368355932304</v>
      </c>
      <c r="AC109" s="125"/>
      <c r="AD109" s="135">
        <f t="shared" si="48"/>
        <v>0.50330820770519247</v>
      </c>
      <c r="AE109" s="142">
        <v>-234321.029599042</v>
      </c>
      <c r="AF109" s="137">
        <v>36289.023605876879</v>
      </c>
      <c r="AG109" s="125"/>
      <c r="AH109" s="135">
        <f t="shared" si="49"/>
        <v>0.86069864113587613</v>
      </c>
      <c r="AI109" s="142">
        <v>-240476.61774969194</v>
      </c>
      <c r="AJ109" s="137">
        <v>36167.432707604334</v>
      </c>
      <c r="AK109" s="125"/>
      <c r="AL109" s="135">
        <f t="shared" si="50"/>
        <v>3512.0639999999976</v>
      </c>
      <c r="AM109" s="142">
        <v>-238592.01853062483</v>
      </c>
      <c r="AN109" s="137">
        <v>35873.778196302388</v>
      </c>
      <c r="AO109" s="125"/>
      <c r="AP109" s="135">
        <f t="shared" si="51"/>
        <v>2030.9333333333336</v>
      </c>
      <c r="AQ109" s="142">
        <v>-240800.85332394965</v>
      </c>
      <c r="AR109" s="137">
        <v>36159.745471246657</v>
      </c>
      <c r="AS109" s="125"/>
      <c r="AT109" s="135">
        <f t="shared" si="52"/>
        <v>34675.02483463307</v>
      </c>
      <c r="AU109" s="142">
        <v>-241323.28190304639</v>
      </c>
      <c r="AV109" s="137">
        <v>36227.381800395757</v>
      </c>
      <c r="AW109" s="125"/>
      <c r="AX109" s="135">
        <f t="shared" si="53"/>
        <v>3327.7617866666674</v>
      </c>
      <c r="AY109" s="142">
        <v>-240876.48999084369</v>
      </c>
      <c r="AZ109" s="137">
        <v>36169.537788708752</v>
      </c>
    </row>
    <row r="110" spans="1:52" x14ac:dyDescent="0.3">
      <c r="A110" s="110"/>
      <c r="B110" s="135">
        <f t="shared" si="41"/>
        <v>0.89666666666666606</v>
      </c>
      <c r="C110" s="142">
        <v>-235671.0192754509</v>
      </c>
      <c r="D110" s="137">
        <v>36421.629440822056</v>
      </c>
      <c r="E110" s="125"/>
      <c r="F110" s="135">
        <f t="shared" si="42"/>
        <v>0.98905133333333395</v>
      </c>
      <c r="G110" s="142">
        <v>-226177.16208355778</v>
      </c>
      <c r="H110" s="137">
        <v>36610.289509458082</v>
      </c>
      <c r="I110" s="125"/>
      <c r="J110" s="135">
        <f t="shared" si="43"/>
        <v>0.97895801719777453</v>
      </c>
      <c r="K110" s="142">
        <v>-239960.5284298895</v>
      </c>
      <c r="L110" s="137">
        <v>36346.009422081304</v>
      </c>
      <c r="M110" s="125"/>
      <c r="N110" s="135">
        <f t="shared" si="44"/>
        <v>0.88345484001620189</v>
      </c>
      <c r="O110" s="142">
        <v>-216485.66102880007</v>
      </c>
      <c r="P110" s="137">
        <v>42565.819872565989</v>
      </c>
      <c r="Q110" s="125"/>
      <c r="R110" s="135">
        <f t="shared" si="45"/>
        <v>0.88441330998248624</v>
      </c>
      <c r="S110" s="142">
        <v>-232811.34647630714</v>
      </c>
      <c r="T110" s="137">
        <v>37634.829856026321</v>
      </c>
      <c r="U110" s="125"/>
      <c r="V110" s="135">
        <f t="shared" si="46"/>
        <v>0.78757062146892698</v>
      </c>
      <c r="W110" s="142">
        <v>-249109.97472412154</v>
      </c>
      <c r="X110" s="137">
        <v>38428.81190750833</v>
      </c>
      <c r="Y110" s="125"/>
      <c r="Z110" s="135">
        <f t="shared" si="47"/>
        <v>0.4056410256410255</v>
      </c>
      <c r="AA110" s="142">
        <v>-258268.01938530756</v>
      </c>
      <c r="AB110" s="137">
        <v>39288.355734565674</v>
      </c>
      <c r="AC110" s="125"/>
      <c r="AD110" s="135">
        <f t="shared" si="48"/>
        <v>0.51811139028475695</v>
      </c>
      <c r="AE110" s="142">
        <v>-232757.21804893998</v>
      </c>
      <c r="AF110" s="137">
        <v>36321.674796996391</v>
      </c>
      <c r="AG110" s="125"/>
      <c r="AH110" s="135">
        <f t="shared" si="49"/>
        <v>0.87336240103261464</v>
      </c>
      <c r="AI110" s="142">
        <v>-240398.25529802847</v>
      </c>
      <c r="AJ110" s="137">
        <v>36169.686174155744</v>
      </c>
      <c r="AK110" s="125"/>
      <c r="AL110" s="135">
        <f t="shared" si="50"/>
        <v>3615.3599999999974</v>
      </c>
      <c r="AM110" s="142">
        <v>-238491.38981534573</v>
      </c>
      <c r="AN110" s="137">
        <v>35860.750277882922</v>
      </c>
      <c r="AO110" s="125"/>
      <c r="AP110" s="135">
        <f t="shared" si="51"/>
        <v>2090.666666666667</v>
      </c>
      <c r="AQ110" s="142">
        <v>-240803.41507351253</v>
      </c>
      <c r="AR110" s="137">
        <v>36160.077128708683</v>
      </c>
      <c r="AS110" s="125"/>
      <c r="AT110" s="135">
        <f t="shared" si="52"/>
        <v>35694.878506239926</v>
      </c>
      <c r="AU110" s="142">
        <v>-241456.45079738341</v>
      </c>
      <c r="AV110" s="137">
        <v>36244.62254014505</v>
      </c>
      <c r="AW110" s="125"/>
      <c r="AX110" s="135">
        <f t="shared" si="53"/>
        <v>3425.6371333333341</v>
      </c>
      <c r="AY110" s="142">
        <v>-240897.96090713068</v>
      </c>
      <c r="AZ110" s="137">
        <v>36172.317525536375</v>
      </c>
    </row>
    <row r="111" spans="1:52" x14ac:dyDescent="0.3">
      <c r="A111" s="110"/>
      <c r="B111" s="135">
        <f t="shared" si="41"/>
        <v>0.90699999999999936</v>
      </c>
      <c r="C111" s="142">
        <v>-234889.01058121125</v>
      </c>
      <c r="D111" s="137">
        <v>36463.048367634845</v>
      </c>
      <c r="E111" s="125"/>
      <c r="F111" s="135">
        <f t="shared" si="42"/>
        <v>0.99014620000000064</v>
      </c>
      <c r="G111" s="142">
        <v>-223476.16849438849</v>
      </c>
      <c r="H111" s="137">
        <v>36700.663643069973</v>
      </c>
      <c r="I111" s="125"/>
      <c r="J111" s="135">
        <f t="shared" si="43"/>
        <v>0.9810622154779971</v>
      </c>
      <c r="K111" s="142">
        <v>-239796.12748597414</v>
      </c>
      <c r="L111" s="137">
        <v>36383.527538217742</v>
      </c>
      <c r="M111" s="125"/>
      <c r="N111" s="135">
        <f t="shared" si="44"/>
        <v>0.89510935601458186</v>
      </c>
      <c r="O111" s="142">
        <v>-212877.701640757</v>
      </c>
      <c r="P111" s="137">
        <v>43847.30007879949</v>
      </c>
      <c r="Q111" s="125"/>
      <c r="R111" s="135">
        <f t="shared" si="45"/>
        <v>0.89597197898423753</v>
      </c>
      <c r="S111" s="142">
        <v>-231341.5055632281</v>
      </c>
      <c r="T111" s="137">
        <v>37930.112058951912</v>
      </c>
      <c r="U111" s="125"/>
      <c r="V111" s="135">
        <f t="shared" si="46"/>
        <v>0.80881355932203436</v>
      </c>
      <c r="W111" s="142">
        <v>-250712.22946349744</v>
      </c>
      <c r="X111" s="137">
        <v>38882.890520730332</v>
      </c>
      <c r="Y111" s="125"/>
      <c r="Z111" s="135">
        <f t="shared" si="47"/>
        <v>0.41723076923076907</v>
      </c>
      <c r="AA111" s="142">
        <v>-261671.32114856114</v>
      </c>
      <c r="AB111" s="137">
        <v>39914.343113199218</v>
      </c>
      <c r="AC111" s="125"/>
      <c r="AD111" s="135">
        <f t="shared" si="48"/>
        <v>0.53291457286432142</v>
      </c>
      <c r="AE111" s="142">
        <v>-231213.99309352203</v>
      </c>
      <c r="AF111" s="137">
        <v>36354.325988116027</v>
      </c>
      <c r="AG111" s="125"/>
      <c r="AH111" s="135">
        <f t="shared" si="49"/>
        <v>0.88602616092935316</v>
      </c>
      <c r="AI111" s="142">
        <v>-240319.94661239744</v>
      </c>
      <c r="AJ111" s="137">
        <v>36171.939640707169</v>
      </c>
      <c r="AK111" s="125"/>
      <c r="AL111" s="135">
        <f t="shared" si="50"/>
        <v>3718.6559999999972</v>
      </c>
      <c r="AM111" s="142">
        <v>-238390.76110006738</v>
      </c>
      <c r="AN111" s="137">
        <v>35847.722359463558</v>
      </c>
      <c r="AO111" s="125"/>
      <c r="AP111" s="135">
        <f t="shared" si="51"/>
        <v>2150.4</v>
      </c>
      <c r="AQ111" s="142">
        <v>-240805.97682307533</v>
      </c>
      <c r="AR111" s="137">
        <v>36160.408786170694</v>
      </c>
      <c r="AS111" s="125"/>
      <c r="AT111" s="135">
        <f t="shared" si="52"/>
        <v>36714.732177846781</v>
      </c>
      <c r="AU111" s="142">
        <v>-241589.61969172032</v>
      </c>
      <c r="AV111" s="137">
        <v>36261.863279894329</v>
      </c>
      <c r="AW111" s="125"/>
      <c r="AX111" s="135">
        <f t="shared" si="53"/>
        <v>3523.5124800000008</v>
      </c>
      <c r="AY111" s="142">
        <v>-240919.43182341661</v>
      </c>
      <c r="AZ111" s="137">
        <v>36175.097262363866</v>
      </c>
    </row>
    <row r="112" spans="1:52" x14ac:dyDescent="0.3">
      <c r="A112" s="110"/>
      <c r="B112" s="135">
        <f t="shared" si="41"/>
        <v>0.91733333333333267</v>
      </c>
      <c r="C112" s="142">
        <v>-234113.20966669323</v>
      </c>
      <c r="D112" s="137">
        <v>36504.467294447633</v>
      </c>
      <c r="E112" s="125"/>
      <c r="F112" s="135">
        <f t="shared" si="42"/>
        <v>0.99124106666666734</v>
      </c>
      <c r="G112" s="142">
        <v>-220842.61529963944</v>
      </c>
      <c r="H112" s="137">
        <v>36791.037776681878</v>
      </c>
      <c r="I112" s="125"/>
      <c r="J112" s="135">
        <f t="shared" si="43"/>
        <v>0.98316641375821967</v>
      </c>
      <c r="K112" s="142">
        <v>-239632.25865672503</v>
      </c>
      <c r="L112" s="137">
        <v>36421.04565435429</v>
      </c>
      <c r="M112" s="125"/>
      <c r="N112" s="135">
        <f t="shared" si="44"/>
        <v>0.90676387201296182</v>
      </c>
      <c r="O112" s="142">
        <v>-209566.98315559878</v>
      </c>
      <c r="P112" s="137">
        <v>45128.780285032917</v>
      </c>
      <c r="Q112" s="125"/>
      <c r="R112" s="135">
        <f t="shared" si="45"/>
        <v>0.90753064798598881</v>
      </c>
      <c r="S112" s="142">
        <v>-229909.84913851187</v>
      </c>
      <c r="T112" s="137">
        <v>38225.394261877402</v>
      </c>
      <c r="U112" s="125"/>
      <c r="V112" s="135">
        <f t="shared" si="46"/>
        <v>0.83005649717514174</v>
      </c>
      <c r="W112" s="142">
        <v>-252294.82654131425</v>
      </c>
      <c r="X112" s="137">
        <v>39336.969133952203</v>
      </c>
      <c r="Y112" s="125"/>
      <c r="Z112" s="135">
        <f t="shared" si="47"/>
        <v>0.42882051282051264</v>
      </c>
      <c r="AA112" s="142">
        <v>-265044.83719092683</v>
      </c>
      <c r="AB112" s="137">
        <v>40540.330491832625</v>
      </c>
      <c r="AC112" s="125"/>
      <c r="AD112" s="135">
        <f t="shared" si="48"/>
        <v>0.5477177554438859</v>
      </c>
      <c r="AE112" s="142">
        <v>-229690.95087670721</v>
      </c>
      <c r="AF112" s="137">
        <v>36386.977179235662</v>
      </c>
      <c r="AG112" s="125"/>
      <c r="AH112" s="135">
        <f t="shared" si="49"/>
        <v>0.89868992082609167</v>
      </c>
      <c r="AI112" s="142">
        <v>-240241.69163748866</v>
      </c>
      <c r="AJ112" s="137">
        <v>36174.193107258601</v>
      </c>
      <c r="AK112" s="125"/>
      <c r="AL112" s="135">
        <f t="shared" si="50"/>
        <v>3821.951999999997</v>
      </c>
      <c r="AM112" s="142">
        <v>-238290.13238478726</v>
      </c>
      <c r="AN112" s="137">
        <v>35834.694441043961</v>
      </c>
      <c r="AO112" s="125"/>
      <c r="AP112" s="135">
        <f t="shared" si="51"/>
        <v>2210.1333333333332</v>
      </c>
      <c r="AQ112" s="142">
        <v>-240808.53857263809</v>
      </c>
      <c r="AR112" s="137">
        <v>36160.740443632705</v>
      </c>
      <c r="AS112" s="125"/>
      <c r="AT112" s="135">
        <f t="shared" si="52"/>
        <v>37734.585849453637</v>
      </c>
      <c r="AU112" s="142">
        <v>-241722.78858605732</v>
      </c>
      <c r="AV112" s="137">
        <v>36279.104019643622</v>
      </c>
      <c r="AW112" s="125"/>
      <c r="AX112" s="135">
        <f t="shared" si="53"/>
        <v>3621.3878266666675</v>
      </c>
      <c r="AY112" s="142">
        <v>-240940.90273970334</v>
      </c>
      <c r="AZ112" s="137">
        <v>36177.87699919146</v>
      </c>
    </row>
    <row r="113" spans="1:60" x14ac:dyDescent="0.3">
      <c r="A113" s="110"/>
      <c r="B113" s="135">
        <f t="shared" si="41"/>
        <v>0.92766666666666597</v>
      </c>
      <c r="C113" s="142">
        <v>-233343.54290577833</v>
      </c>
      <c r="D113" s="137">
        <v>36545.886221260553</v>
      </c>
      <c r="E113" s="125"/>
      <c r="F113" s="135">
        <f t="shared" si="42"/>
        <v>0.99233593333333403</v>
      </c>
      <c r="G113" s="142">
        <v>-218274.00779210299</v>
      </c>
      <c r="H113" s="137">
        <v>36881.411910293777</v>
      </c>
      <c r="I113" s="125"/>
      <c r="J113" s="135">
        <f t="shared" si="43"/>
        <v>0.98527061203844224</v>
      </c>
      <c r="K113" s="142">
        <v>-239468.91936288049</v>
      </c>
      <c r="L113" s="137">
        <v>36458.563770490749</v>
      </c>
      <c r="M113" s="125"/>
      <c r="N113" s="135">
        <f t="shared" si="44"/>
        <v>0.91841838801134179</v>
      </c>
      <c r="O113" s="142">
        <v>-206518.22661289229</v>
      </c>
      <c r="P113" s="137">
        <v>46410.260491266432</v>
      </c>
      <c r="Q113" s="125"/>
      <c r="R113" s="135">
        <f t="shared" si="45"/>
        <v>0.9190893169877401</v>
      </c>
      <c r="S113" s="142">
        <v>-228514.90830967159</v>
      </c>
      <c r="T113" s="137">
        <v>38520.676464803008</v>
      </c>
      <c r="U113" s="125"/>
      <c r="V113" s="135">
        <f t="shared" si="46"/>
        <v>0.85129943502824912</v>
      </c>
      <c r="W113" s="142">
        <v>-253858.12551429868</v>
      </c>
      <c r="X113" s="137">
        <v>39791.047747174001</v>
      </c>
      <c r="Y113" s="125"/>
      <c r="Z113" s="135">
        <f t="shared" si="47"/>
        <v>0.44041025641025622</v>
      </c>
      <c r="AA113" s="142">
        <v>-268388.95683598577</v>
      </c>
      <c r="AB113" s="137">
        <v>41166.31787046614</v>
      </c>
      <c r="AC113" s="125"/>
      <c r="AD113" s="135">
        <f t="shared" si="48"/>
        <v>0.56252093802345038</v>
      </c>
      <c r="AE113" s="142">
        <v>-228187.69803726874</v>
      </c>
      <c r="AF113" s="137">
        <v>36419.628370355182</v>
      </c>
      <c r="AG113" s="125"/>
      <c r="AH113" s="135">
        <f t="shared" si="49"/>
        <v>0.91135368072283018</v>
      </c>
      <c r="AI113" s="142">
        <v>-240163.49031805925</v>
      </c>
      <c r="AJ113" s="137">
        <v>36176.446573810055</v>
      </c>
      <c r="AK113" s="125"/>
      <c r="AL113" s="135">
        <f t="shared" si="50"/>
        <v>3925.2479999999969</v>
      </c>
      <c r="AM113" s="142">
        <v>-238189.50366950847</v>
      </c>
      <c r="AN113" s="137">
        <v>35821.666522624539</v>
      </c>
      <c r="AO113" s="125"/>
      <c r="AP113" s="135">
        <f t="shared" si="51"/>
        <v>2269.8666666666663</v>
      </c>
      <c r="AQ113" s="142">
        <v>-240811.10032220086</v>
      </c>
      <c r="AR113" s="137">
        <v>36161.072101094716</v>
      </c>
      <c r="AS113" s="125"/>
      <c r="AT113" s="135">
        <f t="shared" si="52"/>
        <v>38754.439521060493</v>
      </c>
      <c r="AU113" s="142">
        <v>-241855.95748039478</v>
      </c>
      <c r="AV113" s="137">
        <v>36296.344759392974</v>
      </c>
      <c r="AW113" s="125"/>
      <c r="AX113" s="135">
        <f t="shared" si="53"/>
        <v>3719.2631733333342</v>
      </c>
      <c r="AY113" s="142">
        <v>-240962.37365598997</v>
      </c>
      <c r="AZ113" s="137">
        <v>36180.656736019038</v>
      </c>
    </row>
    <row r="114" spans="1:60" x14ac:dyDescent="0.3">
      <c r="A114" s="110"/>
      <c r="B114" s="135">
        <f t="shared" si="41"/>
        <v>0.93799999999999928</v>
      </c>
      <c r="C114" s="142">
        <v>-232579.93783206627</v>
      </c>
      <c r="D114" s="137">
        <v>36587.305148073232</v>
      </c>
      <c r="E114" s="125"/>
      <c r="F114" s="135">
        <f t="shared" si="42"/>
        <v>0.99343080000000072</v>
      </c>
      <c r="G114" s="142">
        <v>-215767.97280912494</v>
      </c>
      <c r="H114" s="137">
        <v>36971.786043905639</v>
      </c>
      <c r="I114" s="125"/>
      <c r="J114" s="135">
        <f t="shared" si="43"/>
        <v>0.98737481031866481</v>
      </c>
      <c r="K114" s="142">
        <v>-239306.10704182467</v>
      </c>
      <c r="L114" s="137">
        <v>36496.081886627333</v>
      </c>
      <c r="M114" s="125"/>
      <c r="N114" s="135">
        <f t="shared" si="44"/>
        <v>0.93007290400972176</v>
      </c>
      <c r="O114" s="142">
        <v>-203701.52350660897</v>
      </c>
      <c r="P114" s="137">
        <v>47691.740697499852</v>
      </c>
      <c r="Q114" s="125"/>
      <c r="R114" s="135">
        <f t="shared" si="45"/>
        <v>0.93064798598949139</v>
      </c>
      <c r="S114" s="142">
        <v>-227155.28857144079</v>
      </c>
      <c r="T114" s="137">
        <v>38815.958667728512</v>
      </c>
      <c r="U114" s="125"/>
      <c r="V114" s="135">
        <f t="shared" si="46"/>
        <v>0.8725423728813565</v>
      </c>
      <c r="W114" s="142">
        <v>-255402.47722348291</v>
      </c>
      <c r="X114" s="137">
        <v>40245.126360396054</v>
      </c>
      <c r="Y114" s="125"/>
      <c r="Z114" s="135">
        <f t="shared" si="47"/>
        <v>0.45199999999999979</v>
      </c>
      <c r="AA114" s="142">
        <v>-271704.06265171117</v>
      </c>
      <c r="AB114" s="137">
        <v>41792.305249099576</v>
      </c>
      <c r="AC114" s="125"/>
      <c r="AD114" s="135">
        <f t="shared" si="48"/>
        <v>0.57732412060301486</v>
      </c>
      <c r="AE114" s="142">
        <v>-226703.85137014728</v>
      </c>
      <c r="AF114" s="137">
        <v>36452.279561474737</v>
      </c>
      <c r="AG114" s="125"/>
      <c r="AH114" s="135">
        <f t="shared" si="49"/>
        <v>0.9240174406195687</v>
      </c>
      <c r="AI114" s="142">
        <v>-240085.34259894624</v>
      </c>
      <c r="AJ114" s="137">
        <v>36178.700040361458</v>
      </c>
      <c r="AK114" s="125"/>
      <c r="AL114" s="135">
        <f t="shared" si="50"/>
        <v>4028.5439999999967</v>
      </c>
      <c r="AM114" s="142">
        <v>-238088.87495422969</v>
      </c>
      <c r="AN114" s="137">
        <v>35808.638604205116</v>
      </c>
      <c r="AO114" s="125"/>
      <c r="AP114" s="135">
        <f t="shared" si="51"/>
        <v>2329.5999999999995</v>
      </c>
      <c r="AQ114" s="142">
        <v>-240813.66207176374</v>
      </c>
      <c r="AR114" s="137">
        <v>36161.403758556742</v>
      </c>
      <c r="AS114" s="125"/>
      <c r="AT114" s="135">
        <f t="shared" si="52"/>
        <v>39774.293192667348</v>
      </c>
      <c r="AU114" s="142">
        <v>-241989.12637473168</v>
      </c>
      <c r="AV114" s="137">
        <v>36313.585499142253</v>
      </c>
      <c r="AW114" s="125"/>
      <c r="AX114" s="135">
        <f t="shared" si="53"/>
        <v>3817.1385200000009</v>
      </c>
      <c r="AY114" s="142">
        <v>-240983.84457227637</v>
      </c>
      <c r="AZ114" s="137">
        <v>36183.436472846588</v>
      </c>
    </row>
    <row r="115" spans="1:60" x14ac:dyDescent="0.3">
      <c r="A115" s="110"/>
      <c r="B115" s="135">
        <f t="shared" si="41"/>
        <v>0.94833333333333258</v>
      </c>
      <c r="C115" s="142">
        <v>-231822.32311613299</v>
      </c>
      <c r="D115" s="137">
        <v>36628.724074886064</v>
      </c>
      <c r="E115" s="125"/>
      <c r="F115" s="135">
        <f t="shared" si="42"/>
        <v>0.99452566666666742</v>
      </c>
      <c r="G115" s="142">
        <v>-213322.25141946782</v>
      </c>
      <c r="H115" s="137">
        <v>37062.16017751753</v>
      </c>
      <c r="I115" s="125"/>
      <c r="J115" s="135">
        <f t="shared" si="43"/>
        <v>0.98947900859888738</v>
      </c>
      <c r="K115" s="142">
        <v>-239143.81914744462</v>
      </c>
      <c r="L115" s="137">
        <v>36533.600002763858</v>
      </c>
      <c r="M115" s="125"/>
      <c r="N115" s="135">
        <f t="shared" si="44"/>
        <v>0.94172742000810172</v>
      </c>
      <c r="O115" s="142">
        <v>-201091.35133192793</v>
      </c>
      <c r="P115" s="137">
        <v>48973.220903733323</v>
      </c>
      <c r="Q115" s="125"/>
      <c r="R115" s="135">
        <f t="shared" si="45"/>
        <v>0.94220665499124268</v>
      </c>
      <c r="S115" s="142">
        <v>-225829.66515577355</v>
      </c>
      <c r="T115" s="137">
        <v>39111.240870654103</v>
      </c>
      <c r="U115" s="125"/>
      <c r="V115" s="135">
        <f t="shared" si="46"/>
        <v>0.89378531073446388</v>
      </c>
      <c r="W115" s="142">
        <v>-256928.22405669611</v>
      </c>
      <c r="X115" s="137">
        <v>40699.204973618034</v>
      </c>
      <c r="Y115" s="125"/>
      <c r="Z115" s="135">
        <f t="shared" si="47"/>
        <v>0.46358974358974336</v>
      </c>
      <c r="AA115" s="142">
        <v>-274990.53059637459</v>
      </c>
      <c r="AB115" s="137">
        <v>42418.292627732953</v>
      </c>
      <c r="AC115" s="125"/>
      <c r="AD115" s="135">
        <f t="shared" si="48"/>
        <v>0.59212730318257933</v>
      </c>
      <c r="AE115" s="142">
        <v>-225239.03750075889</v>
      </c>
      <c r="AF115" s="137">
        <v>36484.930752594271</v>
      </c>
      <c r="AG115" s="125"/>
      <c r="AH115" s="135">
        <f t="shared" si="49"/>
        <v>0.93668120051630721</v>
      </c>
      <c r="AI115" s="142">
        <v>-240007.24842506018</v>
      </c>
      <c r="AJ115" s="137">
        <v>36180.953506912912</v>
      </c>
      <c r="AK115" s="125"/>
      <c r="AL115" s="135">
        <f t="shared" si="50"/>
        <v>4131.8399999999965</v>
      </c>
      <c r="AM115" s="142">
        <v>-237988.24623895</v>
      </c>
      <c r="AN115" s="137">
        <v>35795.610685785578</v>
      </c>
      <c r="AO115" s="125"/>
      <c r="AP115" s="135">
        <f t="shared" si="51"/>
        <v>2389.3333333333326</v>
      </c>
      <c r="AQ115" s="142">
        <v>-240816.22382132642</v>
      </c>
      <c r="AR115" s="137">
        <v>36161.735416018739</v>
      </c>
      <c r="AS115" s="125"/>
      <c r="AT115" s="135">
        <f t="shared" si="52"/>
        <v>40794.146864274204</v>
      </c>
      <c r="AU115" s="142">
        <v>-242122.29526906915</v>
      </c>
      <c r="AV115" s="137">
        <v>36330.826238891605</v>
      </c>
      <c r="AW115" s="125"/>
      <c r="AX115" s="135">
        <f t="shared" si="53"/>
        <v>3915.0138666666676</v>
      </c>
      <c r="AY115" s="142">
        <v>-241005.31548856242</v>
      </c>
      <c r="AZ115" s="137">
        <v>36186.216209674094</v>
      </c>
    </row>
    <row r="116" spans="1:60" x14ac:dyDescent="0.3">
      <c r="A116" s="110"/>
      <c r="B116" s="135">
        <f t="shared" si="41"/>
        <v>0.95866666666666589</v>
      </c>
      <c r="C116" s="142">
        <v>-231070.62854330751</v>
      </c>
      <c r="D116" s="137">
        <v>36670.143001698794</v>
      </c>
      <c r="E116" s="125"/>
      <c r="F116" s="135">
        <f t="shared" si="42"/>
        <v>0.99562053333333411</v>
      </c>
      <c r="G116" s="142">
        <v>-210934.69213192913</v>
      </c>
      <c r="H116" s="137">
        <v>37152.534311129471</v>
      </c>
      <c r="I116" s="125"/>
      <c r="J116" s="135">
        <f t="shared" si="43"/>
        <v>0.99158320687910995</v>
      </c>
      <c r="K116" s="142">
        <v>-238982.05315001542</v>
      </c>
      <c r="L116" s="137">
        <v>36571.118118900391</v>
      </c>
      <c r="M116" s="125"/>
      <c r="N116" s="135">
        <f t="shared" si="44"/>
        <v>0.95338193600648169</v>
      </c>
      <c r="O116" s="142">
        <v>-198665.79802473498</v>
      </c>
      <c r="P116" s="137">
        <v>50254.701109966802</v>
      </c>
      <c r="Q116" s="125"/>
      <c r="R116" s="135">
        <f t="shared" si="45"/>
        <v>0.95376532399299396</v>
      </c>
      <c r="S116" s="142">
        <v>-224536.77872634665</v>
      </c>
      <c r="T116" s="137">
        <v>39406.523073579643</v>
      </c>
      <c r="U116" s="125"/>
      <c r="V116" s="135">
        <f t="shared" si="46"/>
        <v>0.91502824858757126</v>
      </c>
      <c r="W116" s="142">
        <v>-258435.70020165161</v>
      </c>
      <c r="X116" s="137">
        <v>41153.283586840043</v>
      </c>
      <c r="Y116" s="125"/>
      <c r="Z116" s="135">
        <f t="shared" si="47"/>
        <v>0.47517948717948694</v>
      </c>
      <c r="AA116" s="142">
        <v>-278248.73016068095</v>
      </c>
      <c r="AB116" s="137">
        <v>43044.280006366382</v>
      </c>
      <c r="AC116" s="125"/>
      <c r="AD116" s="135">
        <f t="shared" si="48"/>
        <v>0.60693048576214381</v>
      </c>
      <c r="AE116" s="142">
        <v>-223792.8925717829</v>
      </c>
      <c r="AF116" s="137">
        <v>36517.581943713863</v>
      </c>
      <c r="AG116" s="125"/>
      <c r="AH116" s="135">
        <f t="shared" si="49"/>
        <v>0.94934496041304572</v>
      </c>
      <c r="AI116" s="142">
        <v>-239929.20774138835</v>
      </c>
      <c r="AJ116" s="137">
        <v>36183.206973464308</v>
      </c>
      <c r="AK116" s="125"/>
      <c r="AL116" s="135">
        <f t="shared" si="50"/>
        <v>4235.1359999999968</v>
      </c>
      <c r="AM116" s="142">
        <v>-237887.61752367087</v>
      </c>
      <c r="AN116" s="137">
        <v>35782.582767366112</v>
      </c>
      <c r="AO116" s="125"/>
      <c r="AP116" s="135">
        <f t="shared" si="51"/>
        <v>2449.0666666666657</v>
      </c>
      <c r="AQ116" s="142">
        <v>-240818.78557088919</v>
      </c>
      <c r="AR116" s="137">
        <v>36162.06707348075</v>
      </c>
      <c r="AS116" s="125"/>
      <c r="AT116" s="135">
        <f t="shared" si="52"/>
        <v>41814.000535881059</v>
      </c>
      <c r="AU116" s="142">
        <v>-242255.46416340573</v>
      </c>
      <c r="AV116" s="137">
        <v>36348.06697864084</v>
      </c>
      <c r="AW116" s="125"/>
      <c r="AX116" s="135">
        <f t="shared" si="53"/>
        <v>4012.8892133333343</v>
      </c>
      <c r="AY116" s="142">
        <v>-241026.78640484906</v>
      </c>
      <c r="AZ116" s="137">
        <v>36188.995946501673</v>
      </c>
    </row>
    <row r="117" spans="1:60" x14ac:dyDescent="0.3">
      <c r="A117" s="110"/>
      <c r="B117" s="135">
        <f t="shared" si="41"/>
        <v>0.9689999999999992</v>
      </c>
      <c r="C117" s="142">
        <v>-230324.78499199866</v>
      </c>
      <c r="D117" s="137">
        <v>36711.561928511757</v>
      </c>
      <c r="E117" s="125"/>
      <c r="F117" s="135">
        <f t="shared" si="42"/>
        <v>0.99671540000000081</v>
      </c>
      <c r="G117" s="142">
        <v>-208603.24458276949</v>
      </c>
      <c r="H117" s="137">
        <v>37242.908444741384</v>
      </c>
      <c r="I117" s="125"/>
      <c r="J117" s="135">
        <f t="shared" si="43"/>
        <v>0.99368740515933252</v>
      </c>
      <c r="K117" s="142">
        <v>-238820.80653604178</v>
      </c>
      <c r="L117" s="137">
        <v>36608.636235036945</v>
      </c>
      <c r="M117" s="125"/>
      <c r="N117" s="135">
        <f t="shared" si="44"/>
        <v>0.96503645200486166</v>
      </c>
      <c r="O117" s="142">
        <v>-196405.94534736674</v>
      </c>
      <c r="P117" s="137">
        <v>51536.181316200244</v>
      </c>
      <c r="Q117" s="125"/>
      <c r="R117" s="135">
        <f t="shared" si="45"/>
        <v>0.96532399299474525</v>
      </c>
      <c r="S117" s="142">
        <v>-223275.43138815867</v>
      </c>
      <c r="T117" s="137">
        <v>39701.80527650522</v>
      </c>
      <c r="U117" s="125"/>
      <c r="V117" s="135">
        <f t="shared" si="46"/>
        <v>0.93627118644067864</v>
      </c>
      <c r="W117" s="142">
        <v>-259925.2318899472</v>
      </c>
      <c r="X117" s="137">
        <v>41607.362200061834</v>
      </c>
      <c r="Y117" s="125"/>
      <c r="Z117" s="135">
        <f t="shared" si="47"/>
        <v>0.48676923076923051</v>
      </c>
      <c r="AA117" s="142">
        <v>-281479.02450624178</v>
      </c>
      <c r="AB117" s="137">
        <v>43670.267384999876</v>
      </c>
      <c r="AC117" s="125"/>
      <c r="AD117" s="135">
        <f t="shared" si="48"/>
        <v>0.62173366834170829</v>
      </c>
      <c r="AE117" s="142">
        <v>-222365.06194183617</v>
      </c>
      <c r="AF117" s="137">
        <v>36550.233134833456</v>
      </c>
      <c r="AG117" s="125"/>
      <c r="AH117" s="135">
        <f t="shared" si="49"/>
        <v>0.96200872030978424</v>
      </c>
      <c r="AI117" s="142">
        <v>-239851.2204929906</v>
      </c>
      <c r="AJ117" s="137">
        <v>36185.460440015791</v>
      </c>
      <c r="AK117" s="125"/>
      <c r="AL117" s="135">
        <f t="shared" si="50"/>
        <v>4338.4319999999971</v>
      </c>
      <c r="AM117" s="142">
        <v>-237786.98880839141</v>
      </c>
      <c r="AN117" s="137">
        <v>35769.554848946602</v>
      </c>
      <c r="AO117" s="125"/>
      <c r="AP117" s="135">
        <f t="shared" si="51"/>
        <v>2508.7999999999988</v>
      </c>
      <c r="AQ117" s="142">
        <v>-240821.34732045219</v>
      </c>
      <c r="AR117" s="137">
        <v>36162.39873094279</v>
      </c>
      <c r="AS117" s="125"/>
      <c r="AT117" s="135">
        <f t="shared" si="52"/>
        <v>42833.854207487915</v>
      </c>
      <c r="AU117" s="142">
        <v>-242388.6330577425</v>
      </c>
      <c r="AV117" s="137">
        <v>36365.307718390104</v>
      </c>
      <c r="AW117" s="125"/>
      <c r="AX117" s="135">
        <f t="shared" si="53"/>
        <v>4110.7645600000005</v>
      </c>
      <c r="AY117" s="142">
        <v>-241048.25732113558</v>
      </c>
      <c r="AZ117" s="137">
        <v>36191.775683329237</v>
      </c>
    </row>
    <row r="118" spans="1:60" x14ac:dyDescent="0.3">
      <c r="A118" s="110"/>
      <c r="B118" s="135">
        <f t="shared" si="41"/>
        <v>0.9793333333333325</v>
      </c>
      <c r="C118" s="142">
        <v>-229584.72441249751</v>
      </c>
      <c r="D118" s="137">
        <v>36752.980855324451</v>
      </c>
      <c r="E118" s="125"/>
      <c r="F118" s="135">
        <f t="shared" si="42"/>
        <v>0.9978102666666675</v>
      </c>
      <c r="G118" s="142">
        <v>-206325.95366305477</v>
      </c>
      <c r="H118" s="137">
        <v>37333.282578353304</v>
      </c>
      <c r="I118" s="125"/>
      <c r="J118" s="135">
        <f t="shared" si="43"/>
        <v>0.99579160343955508</v>
      </c>
      <c r="K118" s="142">
        <v>-238660.07680814885</v>
      </c>
      <c r="L118" s="137">
        <v>36646.154351173434</v>
      </c>
      <c r="M118" s="125"/>
      <c r="N118" s="135">
        <f t="shared" si="44"/>
        <v>0.97669096800324162</v>
      </c>
      <c r="O118" s="142">
        <v>-194295.37447163966</v>
      </c>
      <c r="P118" s="137">
        <v>52817.661522433729</v>
      </c>
      <c r="Q118" s="125"/>
      <c r="R118" s="135">
        <f t="shared" si="45"/>
        <v>0.97688266199649654</v>
      </c>
      <c r="S118" s="142">
        <v>-222044.48298562595</v>
      </c>
      <c r="T118" s="137">
        <v>39997.087479430775</v>
      </c>
      <c r="U118" s="125"/>
      <c r="V118" s="135">
        <f t="shared" si="46"/>
        <v>0.95751412429378602</v>
      </c>
      <c r="W118" s="142">
        <v>-261397.13763245926</v>
      </c>
      <c r="X118" s="137">
        <v>42061.440813283778</v>
      </c>
      <c r="Y118" s="125"/>
      <c r="Z118" s="135">
        <f t="shared" si="47"/>
        <v>0.49835897435897408</v>
      </c>
      <c r="AA118" s="142">
        <v>-284681.77060051315</v>
      </c>
      <c r="AB118" s="137">
        <v>44296.254763633246</v>
      </c>
      <c r="AC118" s="125"/>
      <c r="AD118" s="135">
        <f t="shared" si="48"/>
        <v>0.63653685092127277</v>
      </c>
      <c r="AE118" s="142">
        <v>-220955.19989553146</v>
      </c>
      <c r="AF118" s="137">
        <v>36582.884325952982</v>
      </c>
      <c r="AG118" s="125"/>
      <c r="AH118" s="135">
        <f t="shared" si="49"/>
        <v>0.97467248020652275</v>
      </c>
      <c r="AI118" s="142">
        <v>-239773.28662500766</v>
      </c>
      <c r="AJ118" s="137">
        <v>36187.713906567202</v>
      </c>
      <c r="AK118" s="125"/>
      <c r="AL118" s="135">
        <f t="shared" si="50"/>
        <v>4441.7279999999973</v>
      </c>
      <c r="AM118" s="142">
        <v>-237686.36009311283</v>
      </c>
      <c r="AN118" s="137">
        <v>35756.526930527209</v>
      </c>
      <c r="AO118" s="125"/>
      <c r="AP118" s="135">
        <f t="shared" si="51"/>
        <v>2568.5333333333319</v>
      </c>
      <c r="AQ118" s="142">
        <v>-240823.9090700153</v>
      </c>
      <c r="AR118" s="137">
        <v>36162.730388404845</v>
      </c>
      <c r="AS118" s="125"/>
      <c r="AT118" s="135">
        <f t="shared" si="52"/>
        <v>43853.707879094771</v>
      </c>
      <c r="AU118" s="142">
        <v>-242521.80195208007</v>
      </c>
      <c r="AV118" s="137">
        <v>36382.54845813947</v>
      </c>
      <c r="AW118" s="125"/>
      <c r="AX118" s="135">
        <f t="shared" si="53"/>
        <v>4208.6399066666672</v>
      </c>
      <c r="AY118" s="142">
        <v>-241069.72823742207</v>
      </c>
      <c r="AZ118" s="137">
        <v>36194.555420156801</v>
      </c>
    </row>
    <row r="119" spans="1:60" x14ac:dyDescent="0.3">
      <c r="A119" s="110"/>
      <c r="B119" s="135">
        <f t="shared" si="41"/>
        <v>0.98966666666666581</v>
      </c>
      <c r="C119" s="142">
        <v>-228850.37980627714</v>
      </c>
      <c r="D119" s="137">
        <v>36794.399782137312</v>
      </c>
      <c r="E119" s="125"/>
      <c r="F119" s="135">
        <f t="shared" si="42"/>
        <v>0.99890513333333419</v>
      </c>
      <c r="G119" s="142">
        <v>-204100.95405053452</v>
      </c>
      <c r="H119" s="137">
        <v>37423.65671196513</v>
      </c>
      <c r="I119" s="125"/>
      <c r="J119" s="135">
        <f t="shared" si="43"/>
        <v>0.99789580171977765</v>
      </c>
      <c r="K119" s="142">
        <v>-238499.86148495637</v>
      </c>
      <c r="L119" s="137">
        <v>36683.672467309865</v>
      </c>
      <c r="M119" s="125"/>
      <c r="N119" s="135">
        <f t="shared" si="44"/>
        <v>0.98834548400162159</v>
      </c>
      <c r="O119" s="142">
        <v>-192319.76641001648</v>
      </c>
      <c r="P119" s="137">
        <v>54099.141728667142</v>
      </c>
      <c r="Q119" s="125"/>
      <c r="R119" s="135">
        <f t="shared" si="45"/>
        <v>0.98844133099824782</v>
      </c>
      <c r="S119" s="142">
        <v>-220842.8476651595</v>
      </c>
      <c r="T119" s="137">
        <v>40292.369682356308</v>
      </c>
      <c r="U119" s="125"/>
      <c r="V119" s="135">
        <f t="shared" si="46"/>
        <v>0.9787570621468934</v>
      </c>
      <c r="W119" s="142">
        <v>-262851.72844636597</v>
      </c>
      <c r="X119" s="137">
        <v>42515.519426505765</v>
      </c>
      <c r="Y119" s="125"/>
      <c r="Z119" s="135">
        <f t="shared" si="47"/>
        <v>0.50994871794871766</v>
      </c>
      <c r="AA119" s="142">
        <v>-287857.31934830477</v>
      </c>
      <c r="AB119" s="137">
        <v>44922.242142266608</v>
      </c>
      <c r="AC119" s="125"/>
      <c r="AD119" s="135">
        <f t="shared" si="48"/>
        <v>0.65134003350083725</v>
      </c>
      <c r="AE119" s="142">
        <v>-219562.96936440701</v>
      </c>
      <c r="AF119" s="137">
        <v>36615.535517072494</v>
      </c>
      <c r="AG119" s="125"/>
      <c r="AH119" s="135">
        <f t="shared" si="49"/>
        <v>0.98733624010326126</v>
      </c>
      <c r="AI119" s="142">
        <v>-239695.40608265018</v>
      </c>
      <c r="AJ119" s="137">
        <v>36189.967373118627</v>
      </c>
      <c r="AK119" s="125"/>
      <c r="AL119" s="135">
        <f t="shared" si="50"/>
        <v>4545.0239999999976</v>
      </c>
      <c r="AM119" s="142">
        <v>-237585.73137783349</v>
      </c>
      <c r="AN119" s="137">
        <v>35743.499012107713</v>
      </c>
      <c r="AO119" s="125"/>
      <c r="AP119" s="135">
        <f t="shared" si="51"/>
        <v>2628.2666666666651</v>
      </c>
      <c r="AQ119" s="142">
        <v>-240826.47081957807</v>
      </c>
      <c r="AR119" s="137">
        <v>36163.062045866856</v>
      </c>
      <c r="AS119" s="125"/>
      <c r="AT119" s="135">
        <f t="shared" si="52"/>
        <v>44873.561550701626</v>
      </c>
      <c r="AU119" s="142">
        <v>-242654.9708464171</v>
      </c>
      <c r="AV119" s="137">
        <v>36399.789197888764</v>
      </c>
      <c r="AW119" s="125"/>
      <c r="AX119" s="135">
        <f t="shared" si="53"/>
        <v>4306.5152533333339</v>
      </c>
      <c r="AY119" s="142">
        <v>-241091.19915370882</v>
      </c>
      <c r="AZ119" s="137">
        <v>36197.335156984394</v>
      </c>
    </row>
    <row r="120" spans="1:60" ht="15" thickBot="1" x14ac:dyDescent="0.35">
      <c r="A120" s="110"/>
      <c r="B120" s="135">
        <f t="shared" si="41"/>
        <v>0.99999999999999911</v>
      </c>
      <c r="C120" s="143">
        <v>-228121.68520577005</v>
      </c>
      <c r="D120" s="144">
        <v>36835.818708949919</v>
      </c>
      <c r="E120" s="125"/>
      <c r="F120" s="135">
        <f t="shared" si="42"/>
        <v>1.0000000000000009</v>
      </c>
      <c r="G120" s="143">
        <v>-201926.46511393256</v>
      </c>
      <c r="H120" s="144">
        <v>37514.030845577021</v>
      </c>
      <c r="I120" s="125"/>
      <c r="J120" s="135">
        <f t="shared" si="43"/>
        <v>1.0000000000000002</v>
      </c>
      <c r="K120" s="143">
        <v>-238340.15810092623</v>
      </c>
      <c r="L120" s="144">
        <v>36721.190583446609</v>
      </c>
      <c r="M120" s="125"/>
      <c r="N120" s="135">
        <f t="shared" si="44"/>
        <v>1.0000000000000016</v>
      </c>
      <c r="O120" s="143">
        <v>-190466.57672451396</v>
      </c>
      <c r="P120" s="144">
        <v>55380.621934900621</v>
      </c>
      <c r="Q120" s="125"/>
      <c r="R120" s="135">
        <f t="shared" si="45"/>
        <v>0.99999999999999911</v>
      </c>
      <c r="S120" s="143">
        <v>-219669.49068040773</v>
      </c>
      <c r="T120" s="144">
        <v>40587.651885281841</v>
      </c>
      <c r="U120" s="125"/>
      <c r="V120" s="135">
        <f t="shared" si="46"/>
        <v>1.0000000000000007</v>
      </c>
      <c r="W120" s="143">
        <v>-264289.30807428714</v>
      </c>
      <c r="X120" s="144">
        <v>42969.598039727694</v>
      </c>
      <c r="Y120" s="125"/>
      <c r="Z120" s="135">
        <f t="shared" si="47"/>
        <v>0.52153846153846128</v>
      </c>
      <c r="AA120" s="143">
        <v>-291006.01571993774</v>
      </c>
      <c r="AB120" s="144">
        <v>45548.229520900219</v>
      </c>
      <c r="AC120" s="125"/>
      <c r="AD120" s="135">
        <f t="shared" si="48"/>
        <v>0.66614321608040172</v>
      </c>
      <c r="AE120" s="143">
        <v>-218188.04165826176</v>
      </c>
      <c r="AF120" s="144">
        <v>36648.186708192159</v>
      </c>
      <c r="AG120" s="125"/>
      <c r="AH120" s="135">
        <f t="shared" si="49"/>
        <v>0.99999999999999978</v>
      </c>
      <c r="AI120" s="143">
        <v>-239617.57881120409</v>
      </c>
      <c r="AJ120" s="144">
        <v>36192.220839670081</v>
      </c>
      <c r="AK120" s="125"/>
      <c r="AL120" s="135">
        <f t="shared" si="50"/>
        <v>4648.3199999999979</v>
      </c>
      <c r="AM120" s="143">
        <v>-237485.10266255416</v>
      </c>
      <c r="AN120" s="144">
        <v>35730.471093688218</v>
      </c>
      <c r="AO120" s="125"/>
      <c r="AP120" s="135">
        <f t="shared" si="51"/>
        <v>2687.9999999999982</v>
      </c>
      <c r="AQ120" s="143">
        <v>-240829.0325691406</v>
      </c>
      <c r="AR120" s="144">
        <v>36163.393703328838</v>
      </c>
      <c r="AS120" s="125"/>
      <c r="AT120" s="135">
        <f t="shared" si="52"/>
        <v>45893.415222308482</v>
      </c>
      <c r="AU120" s="143">
        <v>-242788.13974075424</v>
      </c>
      <c r="AV120" s="144">
        <v>36417.029937638072</v>
      </c>
      <c r="AW120" s="125"/>
      <c r="AX120" s="135">
        <f t="shared" si="53"/>
        <v>4404.3906000000006</v>
      </c>
      <c r="AY120" s="143">
        <v>-241112.67006999487</v>
      </c>
      <c r="AZ120" s="144">
        <v>36200.1148938119</v>
      </c>
    </row>
    <row r="121" spans="1:60" ht="15" thickBot="1" x14ac:dyDescent="0.35">
      <c r="A121" s="110"/>
      <c r="B121" s="178"/>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row>
    <row r="122" spans="1:60" ht="15" thickBot="1" x14ac:dyDescent="0.35">
      <c r="A122" s="110"/>
      <c r="B122" s="125"/>
      <c r="C122" s="130" t="s">
        <v>62</v>
      </c>
      <c r="D122" s="131" t="s">
        <v>272</v>
      </c>
      <c r="E122" s="125"/>
      <c r="F122" s="125"/>
      <c r="G122" s="130" t="s">
        <v>62</v>
      </c>
      <c r="H122" s="131" t="s">
        <v>272</v>
      </c>
      <c r="I122" s="125"/>
      <c r="J122" s="125"/>
      <c r="K122" s="130" t="s">
        <v>62</v>
      </c>
      <c r="L122" s="131" t="s">
        <v>769</v>
      </c>
      <c r="M122" s="125"/>
      <c r="N122" s="125"/>
      <c r="O122" s="130" t="s">
        <v>62</v>
      </c>
      <c r="P122" s="131" t="s">
        <v>769</v>
      </c>
      <c r="Q122" s="125"/>
      <c r="R122" s="125"/>
      <c r="S122" s="130" t="s">
        <v>62</v>
      </c>
      <c r="T122" s="131" t="s">
        <v>769</v>
      </c>
      <c r="U122" s="125"/>
      <c r="V122" s="125"/>
      <c r="W122" s="130" t="s">
        <v>62</v>
      </c>
      <c r="X122" s="131" t="s">
        <v>769</v>
      </c>
      <c r="Y122" s="125"/>
      <c r="Z122" s="125"/>
      <c r="AA122" s="130" t="s">
        <v>62</v>
      </c>
      <c r="AB122" s="131" t="s">
        <v>769</v>
      </c>
      <c r="AC122" s="125"/>
      <c r="AD122" s="125"/>
      <c r="AE122" s="130" t="s">
        <v>62</v>
      </c>
      <c r="AF122" s="131" t="s">
        <v>769</v>
      </c>
      <c r="AG122" s="125"/>
      <c r="AH122" s="125"/>
      <c r="AI122" s="130" t="s">
        <v>62</v>
      </c>
      <c r="AJ122" s="131" t="s">
        <v>769</v>
      </c>
      <c r="AK122" s="129"/>
      <c r="AL122" s="125"/>
      <c r="AM122" s="130" t="s">
        <v>62</v>
      </c>
      <c r="AN122" s="131" t="s">
        <v>769</v>
      </c>
      <c r="AO122" s="125"/>
      <c r="AP122" s="125"/>
      <c r="AQ122" s="130" t="s">
        <v>62</v>
      </c>
      <c r="AR122" s="131" t="s">
        <v>769</v>
      </c>
      <c r="AT122" s="125"/>
      <c r="AU122" s="130" t="s">
        <v>62</v>
      </c>
      <c r="AV122" s="131" t="s">
        <v>272</v>
      </c>
      <c r="AW122" s="125"/>
      <c r="AX122" s="125"/>
      <c r="AY122" s="130" t="s">
        <v>62</v>
      </c>
      <c r="AZ122" s="131" t="s">
        <v>272</v>
      </c>
      <c r="BA122" s="125"/>
      <c r="BB122" s="125"/>
      <c r="BC122" s="130" t="s">
        <v>62</v>
      </c>
      <c r="BD122" s="131" t="s">
        <v>272</v>
      </c>
      <c r="BE122" s="125"/>
      <c r="BF122" s="125"/>
      <c r="BG122" s="130" t="s">
        <v>62</v>
      </c>
      <c r="BH122" s="131" t="s">
        <v>272</v>
      </c>
    </row>
    <row r="123" spans="1:60" ht="15" thickBot="1" x14ac:dyDescent="0.35">
      <c r="A123" s="110"/>
      <c r="B123" s="132" t="str">
        <f>B28</f>
        <v>Death and preterm sga</v>
      </c>
      <c r="C123" s="133">
        <f>$C$5</f>
        <v>-240790.60632569823</v>
      </c>
      <c r="D123" s="134">
        <f>$C$6</f>
        <v>36158.418841398568</v>
      </c>
      <c r="E123" s="125"/>
      <c r="F123" s="132" t="str">
        <f>B29</f>
        <v>Death and term sga</v>
      </c>
      <c r="G123" s="133">
        <f>$C$5</f>
        <v>-240790.60632569823</v>
      </c>
      <c r="H123" s="134">
        <f>$C$6</f>
        <v>36158.418841398568</v>
      </c>
      <c r="I123" s="125"/>
      <c r="J123" s="132" t="str">
        <f>B30</f>
        <v>Death and prem aga</v>
      </c>
      <c r="K123" s="133">
        <f>$C$5</f>
        <v>-240790.60632569823</v>
      </c>
      <c r="L123" s="134">
        <f>$C$6</f>
        <v>36158.418841398568</v>
      </c>
      <c r="M123" s="125"/>
      <c r="N123" s="132" t="str">
        <f>B31</f>
        <v>Death and term aga</v>
      </c>
      <c r="O123" s="133">
        <f>$C$5</f>
        <v>-240790.60632569823</v>
      </c>
      <c r="P123" s="134">
        <f>$C$6</f>
        <v>36158.418841398568</v>
      </c>
      <c r="Q123" s="125"/>
      <c r="R123" s="132" t="str">
        <f>B32</f>
        <v>RDS prem</v>
      </c>
      <c r="S123" s="133">
        <f>$C$5</f>
        <v>-240790.60632569823</v>
      </c>
      <c r="T123" s="134">
        <f>$C$6</f>
        <v>36158.418841398568</v>
      </c>
      <c r="U123" s="125"/>
      <c r="V123" s="132" t="str">
        <f>B33</f>
        <v>Hypoglycaemia prem sga</v>
      </c>
      <c r="W123" s="133">
        <f>$C$5</f>
        <v>-240790.60632569823</v>
      </c>
      <c r="X123" s="134">
        <f>$C$6</f>
        <v>36158.418841398568</v>
      </c>
      <c r="Y123" s="125"/>
      <c r="Z123" s="132" t="str">
        <f>B34</f>
        <v>Hypoglycaemia term sga</v>
      </c>
      <c r="AA123" s="133">
        <f>$C$5</f>
        <v>-240790.60632569823</v>
      </c>
      <c r="AB123" s="134">
        <f>$C$6</f>
        <v>36158.418841398568</v>
      </c>
      <c r="AC123" s="125"/>
      <c r="AD123" s="132" t="str">
        <f>B35</f>
        <v>Hypoglycaemia prem aga</v>
      </c>
      <c r="AE123" s="133">
        <f>$C$5</f>
        <v>-240790.60632569823</v>
      </c>
      <c r="AF123" s="134">
        <f>$C$6</f>
        <v>36158.418841398568</v>
      </c>
      <c r="AG123" s="125"/>
      <c r="AH123" s="132" t="str">
        <f>B36</f>
        <v>CLD rds</v>
      </c>
      <c r="AI123" s="133">
        <f>$C$5</f>
        <v>-240790.60632569823</v>
      </c>
      <c r="AJ123" s="134">
        <f>$C$6</f>
        <v>36158.418841398568</v>
      </c>
      <c r="AK123" s="129"/>
      <c r="AL123" s="132" t="str">
        <f>B37</f>
        <v>Impairment hypo</v>
      </c>
      <c r="AM123" s="133">
        <f>$C$5</f>
        <v>-240790.60632569823</v>
      </c>
      <c r="AN123" s="134">
        <f>$C$6</f>
        <v>36158.418841398568</v>
      </c>
      <c r="AO123" s="125"/>
      <c r="AP123" s="132" t="str">
        <f>B38</f>
        <v>Impairment no hypo</v>
      </c>
      <c r="AQ123" s="133">
        <f>$C$5</f>
        <v>-240790.60632569823</v>
      </c>
      <c r="AR123" s="134">
        <f>$C$6</f>
        <v>36158.418841398568</v>
      </c>
      <c r="AT123" s="132" t="str">
        <f>B47</f>
        <v xml:space="preserve">c_lung </v>
      </c>
      <c r="AU123" s="133">
        <f>$C$5</f>
        <v>-240790.60632569823</v>
      </c>
      <c r="AV123" s="134">
        <f>$C$6</f>
        <v>36158.418841398568</v>
      </c>
      <c r="AW123" s="125"/>
      <c r="AX123" s="132" t="str">
        <f>B48</f>
        <v>c_cog</v>
      </c>
      <c r="AY123" s="133">
        <f>$C$5</f>
        <v>-240790.60632569823</v>
      </c>
      <c r="AZ123" s="134">
        <f>$C$6</f>
        <v>36158.418841398568</v>
      </c>
      <c r="BA123" s="125"/>
      <c r="BB123" s="132" t="str">
        <f>B49</f>
        <v>c_hosp fu</v>
      </c>
      <c r="BC123" s="133">
        <f>$C$5</f>
        <v>-240790.60632569823</v>
      </c>
      <c r="BD123" s="134">
        <f>$C$6</f>
        <v>36158.418841398568</v>
      </c>
      <c r="BE123" s="125"/>
      <c r="BF123" s="132" t="str">
        <f>B50</f>
        <v>c_clinic fu</v>
      </c>
      <c r="BG123" s="133">
        <f>$C$5</f>
        <v>-240790.60632569823</v>
      </c>
      <c r="BH123" s="134">
        <f>$C$6</f>
        <v>36158.418841398568</v>
      </c>
    </row>
    <row r="124" spans="1:60" x14ac:dyDescent="0.3">
      <c r="A124" s="110"/>
      <c r="B124" s="135">
        <f>E28</f>
        <v>4.2033333333333332E-2</v>
      </c>
      <c r="C124" s="136">
        <f t="dataTable" ref="C124:D154" dt2D="0" dtr="0" r1="C28" ca="1"/>
        <v>-291648.53425633977</v>
      </c>
      <c r="D124" s="137">
        <v>35338.050940328787</v>
      </c>
      <c r="E124" s="125"/>
      <c r="F124" s="135">
        <f>E29</f>
        <v>6.6000000000000008E-3</v>
      </c>
      <c r="G124" s="136">
        <f t="dataTable" ref="G124:H154" dt2D="0" dtr="0" r1="C29" ca="1"/>
        <v>-268915.29229630233</v>
      </c>
      <c r="H124" s="137">
        <v>35652.833422457421</v>
      </c>
      <c r="I124" s="125"/>
      <c r="J124" s="135">
        <f>E30</f>
        <v>1.7587499999999999E-2</v>
      </c>
      <c r="K124" s="136">
        <f t="dataTable" ref="K124:L154" dt2D="0" dtr="0" r1="C30" ca="1"/>
        <v>-256324.57538820937</v>
      </c>
      <c r="L124" s="137">
        <v>35874.496042530613</v>
      </c>
      <c r="M124" s="125"/>
      <c r="N124" s="135">
        <f>E31</f>
        <v>3.1166666666666669E-3</v>
      </c>
      <c r="O124" s="136">
        <f t="dataTable" ref="O124:P154" dt2D="0" dtr="0" r1="C31" ca="1"/>
        <v>-233058.97971116839</v>
      </c>
      <c r="P124" s="137">
        <v>36321.93897340828</v>
      </c>
      <c r="Q124" s="125"/>
      <c r="R124" s="135">
        <f>E32</f>
        <v>0.22500000000000001</v>
      </c>
      <c r="S124" s="136">
        <f t="dataTable" ref="S124:T154" dt2D="0" dtr="0" r1="C32" ca="1"/>
        <v>-239954.86732961255</v>
      </c>
      <c r="T124" s="137">
        <v>35795.975304675601</v>
      </c>
      <c r="U124" s="125"/>
      <c r="V124" s="135">
        <f>E33</f>
        <v>0.10775</v>
      </c>
      <c r="W124" s="136">
        <f t="dataTable" ref="W124:X154" dt2D="0" dtr="0" r1="C33" ca="1"/>
        <v>-242266.79662086852</v>
      </c>
      <c r="X124" s="137">
        <v>36119.081180014698</v>
      </c>
      <c r="Y124" s="125"/>
      <c r="Z124" s="135">
        <f>E34</f>
        <v>0.13</v>
      </c>
      <c r="AA124" s="136">
        <f t="dataTable" ref="AA124:AB154" dt2D="0" dtr="0" r1="C34" ca="1"/>
        <v>-246913.50965955123</v>
      </c>
      <c r="AB124" s="137">
        <v>35998.471588198066</v>
      </c>
      <c r="AC124" s="125"/>
      <c r="AD124" s="135">
        <f>E35</f>
        <v>7.4999999999999997E-2</v>
      </c>
      <c r="AE124" s="136">
        <f t="dataTable" ref="AE124:AF154" dt2D="0" dtr="0" r1="C35" ca="1"/>
        <v>-241357.75899940188</v>
      </c>
      <c r="AF124" s="137">
        <v>36143.240160915571</v>
      </c>
      <c r="AG124" s="125"/>
      <c r="AH124" s="135">
        <f>E36</f>
        <v>0.18049999999999999</v>
      </c>
      <c r="AI124" s="136">
        <f t="dataTable" ref="AI124:AJ154" dt2D="0" dtr="0" r1="C36" ca="1"/>
        <v>-252561.3456343688</v>
      </c>
      <c r="AJ124" s="137">
        <v>35181.268439153464</v>
      </c>
      <c r="AK124" s="129"/>
      <c r="AL124" s="135">
        <f>E37</f>
        <v>2.5666666666666667E-2</v>
      </c>
      <c r="AM124" s="136">
        <f t="dataTable" ref="AM124:AN154" dt2D="0" dtr="0" r1="C37" ca="1"/>
        <v>-266716.04756455519</v>
      </c>
      <c r="AN124" s="137">
        <v>35672.401082880984</v>
      </c>
      <c r="AO124" s="125"/>
      <c r="AP124" s="135">
        <f>E38</f>
        <v>1.6542788268380876E-2</v>
      </c>
      <c r="AQ124" s="136">
        <f t="dataTable" ref="AQ124:AR154" dt2D="0" dtr="0" r1="C38" ca="1"/>
        <v>-224004.18899923161</v>
      </c>
      <c r="AR124" s="137">
        <v>36531.560653357024</v>
      </c>
      <c r="AT124" s="135">
        <f>E47</f>
        <v>21291.255451199999</v>
      </c>
      <c r="AU124" s="136">
        <f t="dataTable" ref="AU124:AV154" dt2D="0" dtr="0" r1="C47" ca="1"/>
        <v>-235504.46267890817</v>
      </c>
      <c r="AV124" s="137">
        <v>35474.047109205276</v>
      </c>
      <c r="AW124" s="125"/>
      <c r="AX124" s="135">
        <f>E48</f>
        <v>1909.5</v>
      </c>
      <c r="AY124" s="136">
        <f t="dataTable" ref="AY124:AZ154" dt2D="0" dtr="0" r1="C48" ca="1"/>
        <v>-240785.67200900498</v>
      </c>
      <c r="AZ124" s="137">
        <v>36157.780019019119</v>
      </c>
      <c r="BA124" s="125"/>
      <c r="BB124" s="135">
        <f>E49</f>
        <v>453.5</v>
      </c>
      <c r="BC124" s="136">
        <f t="dataTable" ref="BC124:BD154" dt2D="0" dtr="0" r1="C49" ca="1"/>
        <v>-240680.90605330296</v>
      </c>
      <c r="BD124" s="137">
        <v>36144.216471872191</v>
      </c>
      <c r="BE124" s="125"/>
      <c r="BF124" s="135">
        <f>E50</f>
        <v>1681.5</v>
      </c>
      <c r="BG124" s="136">
        <f t="dataTable" ref="BG124:BH154" dt2D="0" dtr="0" r1="C50" ca="1"/>
        <v>-241269.46960387906</v>
      </c>
      <c r="BH124" s="137">
        <v>36220.414979428489</v>
      </c>
    </row>
    <row r="125" spans="1:60" x14ac:dyDescent="0.3">
      <c r="A125" s="110"/>
      <c r="B125" s="135">
        <f t="shared" ref="B125:B154" si="54">B124+$G$28</f>
        <v>4.4835555555555552E-2</v>
      </c>
      <c r="C125" s="142">
        <v>-287604.05610226939</v>
      </c>
      <c r="D125" s="137">
        <v>35392.742133733438</v>
      </c>
      <c r="E125" s="125"/>
      <c r="F125" s="135">
        <f t="shared" ref="F125:F154" si="55">F124+$G$29</f>
        <v>7.0400000000000011E-3</v>
      </c>
      <c r="G125" s="142">
        <v>-266838.34042017348</v>
      </c>
      <c r="H125" s="137">
        <v>35686.539117053428</v>
      </c>
      <c r="I125" s="125"/>
      <c r="J125" s="135">
        <f t="shared" ref="J125:J154" si="56">J124+$G$30</f>
        <v>1.8759999999999999E-2</v>
      </c>
      <c r="K125" s="142">
        <v>-255227.40555944509</v>
      </c>
      <c r="L125" s="137">
        <v>35893.424229121796</v>
      </c>
      <c r="M125" s="125"/>
      <c r="N125" s="135">
        <f t="shared" ref="N125:N154" si="57">N124+$G$31</f>
        <v>3.3244444444444445E-3</v>
      </c>
      <c r="O125" s="142">
        <v>-233558.96485158653</v>
      </c>
      <c r="P125" s="137">
        <v>36311.037631274317</v>
      </c>
      <c r="Q125" s="125"/>
      <c r="R125" s="135">
        <f t="shared" ref="R125:R154" si="58">R124+$G$32</f>
        <v>0.24000000000000002</v>
      </c>
      <c r="S125" s="142">
        <v>-240010.95243387381</v>
      </c>
      <c r="T125" s="137">
        <v>35820.138207123971</v>
      </c>
      <c r="U125" s="125"/>
      <c r="V125" s="135">
        <f t="shared" ref="V125:V154" si="59">V124+$G$33</f>
        <v>0.11493333333333333</v>
      </c>
      <c r="W125" s="142">
        <v>-242167.79813533695</v>
      </c>
      <c r="X125" s="137">
        <v>36121.703690773596</v>
      </c>
      <c r="Y125" s="125"/>
      <c r="Z125" s="135">
        <f t="shared" ref="Z125:Z154" si="60">Z124+$G$34</f>
        <v>0.13866666666666666</v>
      </c>
      <c r="AA125" s="142">
        <v>-246495.25172866281</v>
      </c>
      <c r="AB125" s="137">
        <v>36009.134738411412</v>
      </c>
      <c r="AC125" s="125"/>
      <c r="AD125" s="135">
        <f t="shared" ref="AD125:AD154" si="61">AD124+$G$35</f>
        <v>0.08</v>
      </c>
      <c r="AE125" s="142">
        <v>-241319.86232301308</v>
      </c>
      <c r="AF125" s="137">
        <v>36144.252072947791</v>
      </c>
      <c r="AG125" s="125"/>
      <c r="AH125" s="135">
        <f t="shared" ref="AH125:AH154" si="62">AH124+$G$36</f>
        <v>0.19253333333333333</v>
      </c>
      <c r="AI125" s="142">
        <v>-251724.80853355894</v>
      </c>
      <c r="AJ125" s="137">
        <v>35246.411799303154</v>
      </c>
      <c r="AK125" s="129"/>
      <c r="AL125" s="135">
        <f t="shared" ref="AL125:AL154" si="63">AL124+$G$37</f>
        <v>2.7377777777777779E-2</v>
      </c>
      <c r="AM125" s="142">
        <v>-264815.16410930461</v>
      </c>
      <c r="AN125" s="137">
        <v>35704.802266782302</v>
      </c>
      <c r="AO125" s="125"/>
      <c r="AP125" s="135">
        <f t="shared" ref="AP125:AP154" si="64">AP124+$G$38</f>
        <v>1.7645640819606269E-2</v>
      </c>
      <c r="AQ125" s="142">
        <v>-225050.13849502863</v>
      </c>
      <c r="AR125" s="137">
        <v>36506.684532559921</v>
      </c>
      <c r="AT125" s="135">
        <f t="shared" ref="AT125:AT154" si="65">AT124+$G$47</f>
        <v>22710.672481279998</v>
      </c>
      <c r="AU125" s="142">
        <v>-235856.87225536079</v>
      </c>
      <c r="AV125" s="137">
        <v>35519.671891351492</v>
      </c>
      <c r="AW125" s="125"/>
      <c r="AX125" s="135">
        <f t="shared" ref="AX125:AX154" si="66">AX124+$G$48</f>
        <v>2036.8</v>
      </c>
      <c r="AY125" s="142">
        <v>-240786.00096345172</v>
      </c>
      <c r="AZ125" s="137">
        <v>36157.822607177819</v>
      </c>
      <c r="BA125" s="125"/>
      <c r="BB125" s="135">
        <f t="shared" ref="BB125:BB154" si="67">BB124+$G$49</f>
        <v>483.73333333333335</v>
      </c>
      <c r="BC125" s="142">
        <v>-240688.2194047964</v>
      </c>
      <c r="BD125" s="137">
        <v>36145.163296507337</v>
      </c>
      <c r="BE125" s="125"/>
      <c r="BF125" s="135">
        <f t="shared" ref="BF125:BF154" si="68">BF124+$G$50</f>
        <v>1793.6</v>
      </c>
      <c r="BG125" s="142">
        <v>-241237.54538533362</v>
      </c>
      <c r="BH125" s="137">
        <v>36216.281903559822</v>
      </c>
    </row>
    <row r="126" spans="1:60" x14ac:dyDescent="0.3">
      <c r="A126" s="110"/>
      <c r="B126" s="135">
        <f t="shared" si="54"/>
        <v>4.7637777777777772E-2</v>
      </c>
      <c r="C126" s="142">
        <v>-283669.50358524069</v>
      </c>
      <c r="D126" s="137">
        <v>35447.433327138118</v>
      </c>
      <c r="E126" s="125"/>
      <c r="F126" s="135">
        <f t="shared" si="55"/>
        <v>7.4800000000000014E-3</v>
      </c>
      <c r="G126" s="142">
        <v>-264793.10583490052</v>
      </c>
      <c r="H126" s="137">
        <v>35720.244811649587</v>
      </c>
      <c r="I126" s="125"/>
      <c r="J126" s="135">
        <f t="shared" si="56"/>
        <v>1.9932499999999999E-2</v>
      </c>
      <c r="K126" s="142">
        <v>-254139.51527543459</v>
      </c>
      <c r="L126" s="137">
        <v>35912.35241571298</v>
      </c>
      <c r="M126" s="125"/>
      <c r="N126" s="135">
        <f t="shared" si="57"/>
        <v>3.5322222222222222E-3</v>
      </c>
      <c r="O126" s="142">
        <v>-234061.09646581588</v>
      </c>
      <c r="P126" s="137">
        <v>36300.136289140297</v>
      </c>
      <c r="Q126" s="125"/>
      <c r="R126" s="135">
        <f t="shared" si="58"/>
        <v>0.255</v>
      </c>
      <c r="S126" s="142">
        <v>-240066.98447506115</v>
      </c>
      <c r="T126" s="137">
        <v>35844.30110957213</v>
      </c>
      <c r="U126" s="125"/>
      <c r="V126" s="135">
        <f t="shared" si="59"/>
        <v>0.12211666666666667</v>
      </c>
      <c r="W126" s="142">
        <v>-242068.88379776201</v>
      </c>
      <c r="X126" s="137">
        <v>36124.326201532516</v>
      </c>
      <c r="Y126" s="125"/>
      <c r="Z126" s="135">
        <f t="shared" si="60"/>
        <v>0.14733333333333332</v>
      </c>
      <c r="AA126" s="142">
        <v>-246078.46442514737</v>
      </c>
      <c r="AB126" s="137">
        <v>36019.797888624787</v>
      </c>
      <c r="AC126" s="125"/>
      <c r="AD126" s="135">
        <f t="shared" si="61"/>
        <v>8.5000000000000006E-2</v>
      </c>
      <c r="AE126" s="142">
        <v>-241281.9780297481</v>
      </c>
      <c r="AF126" s="137">
        <v>36145.263984979982</v>
      </c>
      <c r="AG126" s="125"/>
      <c r="AH126" s="135">
        <f t="shared" si="62"/>
        <v>0.20456666666666667</v>
      </c>
      <c r="AI126" s="142">
        <v>-250896.12628374892</v>
      </c>
      <c r="AJ126" s="137">
        <v>35311.555159452859</v>
      </c>
      <c r="AK126" s="129"/>
      <c r="AL126" s="135">
        <f t="shared" si="63"/>
        <v>2.908888888888889E-2</v>
      </c>
      <c r="AM126" s="142">
        <v>-262941.19465892331</v>
      </c>
      <c r="AN126" s="137">
        <v>35737.203450683373</v>
      </c>
      <c r="AO126" s="125"/>
      <c r="AP126" s="135">
        <f t="shared" si="64"/>
        <v>1.8748493370831662E-2</v>
      </c>
      <c r="AQ126" s="142">
        <v>-226105.90011031064</v>
      </c>
      <c r="AR126" s="137">
        <v>36481.808411762686</v>
      </c>
      <c r="AT126" s="135">
        <f t="shared" si="65"/>
        <v>24130.089511359998</v>
      </c>
      <c r="AU126" s="142">
        <v>-236209.28183181345</v>
      </c>
      <c r="AV126" s="137">
        <v>35565.296673497709</v>
      </c>
      <c r="AW126" s="125"/>
      <c r="AX126" s="135">
        <f t="shared" si="66"/>
        <v>2164.1</v>
      </c>
      <c r="AY126" s="142">
        <v>-240786.32991789779</v>
      </c>
      <c r="AZ126" s="137">
        <v>36157.865195336431</v>
      </c>
      <c r="BA126" s="125"/>
      <c r="BB126" s="135">
        <f t="shared" si="67"/>
        <v>513.9666666666667</v>
      </c>
      <c r="BC126" s="142">
        <v>-240695.53275628915</v>
      </c>
      <c r="BD126" s="137">
        <v>36146.110121142396</v>
      </c>
      <c r="BE126" s="125"/>
      <c r="BF126" s="135">
        <f t="shared" si="68"/>
        <v>1905.6999999999998</v>
      </c>
      <c r="BG126" s="142">
        <v>-241205.6211667881</v>
      </c>
      <c r="BH126" s="137">
        <v>36212.14882769114</v>
      </c>
    </row>
    <row r="127" spans="1:60" x14ac:dyDescent="0.3">
      <c r="A127" s="110"/>
      <c r="B127" s="135">
        <f t="shared" si="54"/>
        <v>5.0439999999999992E-2</v>
      </c>
      <c r="C127" s="142">
        <v>-279840.45525642211</v>
      </c>
      <c r="D127" s="137">
        <v>35502.12452054274</v>
      </c>
      <c r="E127" s="125"/>
      <c r="F127" s="135">
        <f t="shared" si="55"/>
        <v>7.9200000000000017E-3</v>
      </c>
      <c r="G127" s="142">
        <v>-262778.86751017935</v>
      </c>
      <c r="H127" s="137">
        <v>35753.950506245608</v>
      </c>
      <c r="I127" s="125"/>
      <c r="J127" s="135">
        <f t="shared" si="56"/>
        <v>2.1104999999999999E-2</v>
      </c>
      <c r="K127" s="142">
        <v>-253060.78730636591</v>
      </c>
      <c r="L127" s="137">
        <v>35931.280602304207</v>
      </c>
      <c r="M127" s="125"/>
      <c r="N127" s="135">
        <f t="shared" si="57"/>
        <v>3.7399999999999998E-3</v>
      </c>
      <c r="O127" s="142">
        <v>-234565.38840605298</v>
      </c>
      <c r="P127" s="137">
        <v>36289.234947006313</v>
      </c>
      <c r="Q127" s="125"/>
      <c r="R127" s="135">
        <f t="shared" si="58"/>
        <v>0.27</v>
      </c>
      <c r="S127" s="142">
        <v>-240122.96352844979</v>
      </c>
      <c r="T127" s="137">
        <v>35868.464012020238</v>
      </c>
      <c r="U127" s="125"/>
      <c r="V127" s="135">
        <f t="shared" si="59"/>
        <v>0.1293</v>
      </c>
      <c r="W127" s="142">
        <v>-241970.05350090199</v>
      </c>
      <c r="X127" s="137">
        <v>36126.948712291458</v>
      </c>
      <c r="Y127" s="125"/>
      <c r="Z127" s="135">
        <f t="shared" si="60"/>
        <v>0.15599999999999997</v>
      </c>
      <c r="AA127" s="142">
        <v>-245663.1400063569</v>
      </c>
      <c r="AB127" s="137">
        <v>36030.461038838206</v>
      </c>
      <c r="AC127" s="125"/>
      <c r="AD127" s="135">
        <f t="shared" si="61"/>
        <v>9.0000000000000011E-2</v>
      </c>
      <c r="AE127" s="142">
        <v>-241244.10611353678</v>
      </c>
      <c r="AF127" s="137">
        <v>36146.275897012121</v>
      </c>
      <c r="AG127" s="125"/>
      <c r="AH127" s="135">
        <f t="shared" si="62"/>
        <v>0.21660000000000001</v>
      </c>
      <c r="AI127" s="142">
        <v>-250075.18876962422</v>
      </c>
      <c r="AJ127" s="137">
        <v>35376.698519602403</v>
      </c>
      <c r="AK127" s="129"/>
      <c r="AL127" s="135">
        <f t="shared" si="63"/>
        <v>3.0800000000000001E-2</v>
      </c>
      <c r="AM127" s="142">
        <v>-261093.5716312546</v>
      </c>
      <c r="AN127" s="137">
        <v>35769.604634584561</v>
      </c>
      <c r="AO127" s="125"/>
      <c r="AP127" s="135">
        <f t="shared" si="64"/>
        <v>1.9851345922057055E-2</v>
      </c>
      <c r="AQ127" s="142">
        <v>-227171.61256795152</v>
      </c>
      <c r="AR127" s="137">
        <v>36456.932290965407</v>
      </c>
      <c r="AT127" s="135">
        <f t="shared" si="65"/>
        <v>25549.506541439998</v>
      </c>
      <c r="AU127" s="142">
        <v>-236561.69140826599</v>
      </c>
      <c r="AV127" s="137">
        <v>35610.921455643911</v>
      </c>
      <c r="AW127" s="125"/>
      <c r="AX127" s="135">
        <f t="shared" si="66"/>
        <v>2291.4</v>
      </c>
      <c r="AY127" s="142">
        <v>-240786.65887234389</v>
      </c>
      <c r="AZ127" s="137">
        <v>36157.907783495044</v>
      </c>
      <c r="BA127" s="125"/>
      <c r="BB127" s="135">
        <f t="shared" si="67"/>
        <v>544.20000000000005</v>
      </c>
      <c r="BC127" s="142">
        <v>-240702.84610778283</v>
      </c>
      <c r="BD127" s="137">
        <v>36147.056945777571</v>
      </c>
      <c r="BE127" s="125"/>
      <c r="BF127" s="135">
        <f t="shared" si="68"/>
        <v>2017.7999999999997</v>
      </c>
      <c r="BG127" s="142">
        <v>-241173.69694824275</v>
      </c>
      <c r="BH127" s="137">
        <v>36208.015751822488</v>
      </c>
    </row>
    <row r="128" spans="1:60" x14ac:dyDescent="0.3">
      <c r="A128" s="110"/>
      <c r="B128" s="135">
        <f t="shared" si="54"/>
        <v>5.3242222222222212E-2</v>
      </c>
      <c r="C128" s="142">
        <v>-276112.72365028941</v>
      </c>
      <c r="D128" s="137">
        <v>35556.815713947406</v>
      </c>
      <c r="E128" s="125"/>
      <c r="F128" s="135">
        <f t="shared" si="55"/>
        <v>8.3600000000000011E-3</v>
      </c>
      <c r="G128" s="142">
        <v>-260794.92610628277</v>
      </c>
      <c r="H128" s="137">
        <v>35787.656200841666</v>
      </c>
      <c r="I128" s="125"/>
      <c r="J128" s="135">
        <f t="shared" si="56"/>
        <v>2.2277499999999999E-2</v>
      </c>
      <c r="K128" s="142">
        <v>-251991.1063887963</v>
      </c>
      <c r="L128" s="137">
        <v>35950.20878889539</v>
      </c>
      <c r="M128" s="125"/>
      <c r="N128" s="135">
        <f t="shared" si="57"/>
        <v>3.9477777777777775E-3</v>
      </c>
      <c r="O128" s="142">
        <v>-235071.85464394232</v>
      </c>
      <c r="P128" s="137">
        <v>36278.333604872314</v>
      </c>
      <c r="Q128" s="125"/>
      <c r="R128" s="135">
        <f t="shared" si="58"/>
        <v>0.28500000000000003</v>
      </c>
      <c r="S128" s="142">
        <v>-240178.88966916324</v>
      </c>
      <c r="T128" s="137">
        <v>35892.626914468456</v>
      </c>
      <c r="U128" s="125"/>
      <c r="V128" s="135">
        <f t="shared" si="59"/>
        <v>0.13648333333333332</v>
      </c>
      <c r="W128" s="142">
        <v>-241871.30713769663</v>
      </c>
      <c r="X128" s="137">
        <v>36129.571223050429</v>
      </c>
      <c r="Y128" s="125"/>
      <c r="Z128" s="135">
        <f t="shared" si="60"/>
        <v>0.16466666666666663</v>
      </c>
      <c r="AA128" s="142">
        <v>-245249.27078389985</v>
      </c>
      <c r="AB128" s="137">
        <v>36041.124189051552</v>
      </c>
      <c r="AC128" s="125"/>
      <c r="AD128" s="135">
        <f t="shared" si="61"/>
        <v>9.5000000000000015E-2</v>
      </c>
      <c r="AE128" s="142">
        <v>-241206.24656831403</v>
      </c>
      <c r="AF128" s="137">
        <v>36147.287809044312</v>
      </c>
      <c r="AG128" s="125"/>
      <c r="AH128" s="135">
        <f t="shared" si="62"/>
        <v>0.22863333333333336</v>
      </c>
      <c r="AI128" s="142">
        <v>-249261.88792451317</v>
      </c>
      <c r="AJ128" s="137">
        <v>35441.841879752123</v>
      </c>
      <c r="AK128" s="129"/>
      <c r="AL128" s="135">
        <f t="shared" si="63"/>
        <v>3.2511111111111109E-2</v>
      </c>
      <c r="AM128" s="142">
        <v>-259271.74329218297</v>
      </c>
      <c r="AN128" s="137">
        <v>35802.005818485697</v>
      </c>
      <c r="AO128" s="125"/>
      <c r="AP128" s="135">
        <f t="shared" si="64"/>
        <v>2.0954198473282448E-2</v>
      </c>
      <c r="AQ128" s="142">
        <v>-228247.41721820648</v>
      </c>
      <c r="AR128" s="137">
        <v>36432.056170168129</v>
      </c>
      <c r="AT128" s="135">
        <f t="shared" si="65"/>
        <v>26968.923571519997</v>
      </c>
      <c r="AU128" s="142">
        <v>-236914.10098471877</v>
      </c>
      <c r="AV128" s="137">
        <v>35656.546237790142</v>
      </c>
      <c r="AW128" s="125"/>
      <c r="AX128" s="135">
        <f t="shared" si="66"/>
        <v>2418.7000000000003</v>
      </c>
      <c r="AY128" s="142">
        <v>-240786.98782679031</v>
      </c>
      <c r="AZ128" s="137">
        <v>36157.9503716537</v>
      </c>
      <c r="BA128" s="125"/>
      <c r="BB128" s="135">
        <f t="shared" si="67"/>
        <v>574.43333333333339</v>
      </c>
      <c r="BC128" s="142">
        <v>-240710.15945927569</v>
      </c>
      <c r="BD128" s="137">
        <v>36148.003770412644</v>
      </c>
      <c r="BE128" s="125"/>
      <c r="BF128" s="135">
        <f t="shared" si="68"/>
        <v>2129.8999999999996</v>
      </c>
      <c r="BG128" s="142">
        <v>-241141.77272969732</v>
      </c>
      <c r="BH128" s="137">
        <v>36203.882675953821</v>
      </c>
    </row>
    <row r="129" spans="1:60" x14ac:dyDescent="0.3">
      <c r="A129" s="110"/>
      <c r="B129" s="135">
        <f t="shared" si="54"/>
        <v>5.6044444444444431E-2</v>
      </c>
      <c r="C129" s="142">
        <v>-272482.34000871162</v>
      </c>
      <c r="D129" s="137">
        <v>35611.506907352094</v>
      </c>
      <c r="E129" s="125"/>
      <c r="F129" s="135">
        <f t="shared" si="55"/>
        <v>8.8000000000000005E-3</v>
      </c>
      <c r="G129" s="142">
        <v>-258840.60316451057</v>
      </c>
      <c r="H129" s="137">
        <v>35821.36189543776</v>
      </c>
      <c r="I129" s="125"/>
      <c r="J129" s="135">
        <f t="shared" si="56"/>
        <v>2.3449999999999999E-2</v>
      </c>
      <c r="K129" s="142">
        <v>-250930.3591845835</v>
      </c>
      <c r="L129" s="137">
        <v>35969.136975486625</v>
      </c>
      <c r="M129" s="125"/>
      <c r="N129" s="135">
        <f t="shared" si="57"/>
        <v>4.1555555555555556E-3</v>
      </c>
      <c r="O129" s="142">
        <v>-235580.50927186702</v>
      </c>
      <c r="P129" s="137">
        <v>36267.432262738359</v>
      </c>
      <c r="Q129" s="125"/>
      <c r="R129" s="135">
        <f t="shared" si="58"/>
        <v>0.30000000000000004</v>
      </c>
      <c r="S129" s="142">
        <v>-240234.76297218923</v>
      </c>
      <c r="T129" s="137">
        <v>35916.789816916651</v>
      </c>
      <c r="U129" s="125"/>
      <c r="V129" s="135">
        <f t="shared" si="59"/>
        <v>0.14366666666666664</v>
      </c>
      <c r="W129" s="142">
        <v>-241772.64460126907</v>
      </c>
      <c r="X129" s="137">
        <v>36132.193733809298</v>
      </c>
      <c r="Y129" s="125"/>
      <c r="Z129" s="135">
        <f t="shared" si="60"/>
        <v>0.17333333333333328</v>
      </c>
      <c r="AA129" s="142">
        <v>-244836.84912316737</v>
      </c>
      <c r="AB129" s="137">
        <v>36051.78733926492</v>
      </c>
      <c r="AC129" s="125"/>
      <c r="AD129" s="135">
        <f t="shared" si="61"/>
        <v>0.10000000000000002</v>
      </c>
      <c r="AE129" s="142">
        <v>-241168.3993880215</v>
      </c>
      <c r="AF129" s="137">
        <v>36148.29972107659</v>
      </c>
      <c r="AG129" s="125"/>
      <c r="AH129" s="135">
        <f t="shared" si="62"/>
        <v>0.2406666666666667</v>
      </c>
      <c r="AI129" s="142">
        <v>-248456.11768300572</v>
      </c>
      <c r="AJ129" s="137">
        <v>35506.985239901856</v>
      </c>
      <c r="AK129" s="129"/>
      <c r="AL129" s="135">
        <f t="shared" si="63"/>
        <v>3.4222222222222216E-2</v>
      </c>
      <c r="AM129" s="142">
        <v>-257475.17320634043</v>
      </c>
      <c r="AN129" s="137">
        <v>35834.407002386855</v>
      </c>
      <c r="AO129" s="125"/>
      <c r="AP129" s="135">
        <f t="shared" si="64"/>
        <v>2.2057051024507841E-2</v>
      </c>
      <c r="AQ129" s="142">
        <v>-229333.45810120777</v>
      </c>
      <c r="AR129" s="137">
        <v>36407.180049370851</v>
      </c>
      <c r="AT129" s="135">
        <f t="shared" si="65"/>
        <v>28388.340601599997</v>
      </c>
      <c r="AU129" s="142">
        <v>-237266.51056117163</v>
      </c>
      <c r="AV129" s="137">
        <v>35702.171019936388</v>
      </c>
      <c r="AW129" s="125"/>
      <c r="AX129" s="135">
        <f t="shared" si="66"/>
        <v>2546.0000000000005</v>
      </c>
      <c r="AY129" s="142">
        <v>-240787.31678123615</v>
      </c>
      <c r="AZ129" s="137">
        <v>36157.992959812284</v>
      </c>
      <c r="BA129" s="125"/>
      <c r="BB129" s="135">
        <f t="shared" si="67"/>
        <v>604.66666666666674</v>
      </c>
      <c r="BC129" s="142">
        <v>-240717.47281076846</v>
      </c>
      <c r="BD129" s="137">
        <v>36148.950595047703</v>
      </c>
      <c r="BE129" s="125"/>
      <c r="BF129" s="135">
        <f t="shared" si="68"/>
        <v>2241.9999999999995</v>
      </c>
      <c r="BG129" s="142">
        <v>-241109.84851115223</v>
      </c>
      <c r="BH129" s="137">
        <v>36199.749600085197</v>
      </c>
    </row>
    <row r="130" spans="1:60" x14ac:dyDescent="0.3">
      <c r="A130" s="110"/>
      <c r="B130" s="135">
        <f t="shared" si="54"/>
        <v>5.8846666666666651E-2</v>
      </c>
      <c r="C130" s="142">
        <v>-268945.54018641025</v>
      </c>
      <c r="D130" s="137">
        <v>35666.198100756708</v>
      </c>
      <c r="E130" s="125"/>
      <c r="F130" s="135">
        <f t="shared" si="55"/>
        <v>9.2399999999999999E-3</v>
      </c>
      <c r="G130" s="142">
        <v>-256915.24033363219</v>
      </c>
      <c r="H130" s="137">
        <v>35855.067590033905</v>
      </c>
      <c r="I130" s="125"/>
      <c r="J130" s="135">
        <f t="shared" si="56"/>
        <v>2.4622499999999999E-2</v>
      </c>
      <c r="K130" s="142">
        <v>-249878.43424085807</v>
      </c>
      <c r="L130" s="137">
        <v>35988.06516207783</v>
      </c>
      <c r="M130" s="125"/>
      <c r="N130" s="135">
        <f t="shared" si="57"/>
        <v>4.3633333333333336E-3</v>
      </c>
      <c r="O130" s="142">
        <v>-236091.36650425897</v>
      </c>
      <c r="P130" s="137">
        <v>36256.530920604397</v>
      </c>
      <c r="Q130" s="125"/>
      <c r="R130" s="135">
        <f t="shared" si="58"/>
        <v>0.31500000000000006</v>
      </c>
      <c r="S130" s="142">
        <v>-240290.58351237018</v>
      </c>
      <c r="T130" s="137">
        <v>35940.952719364883</v>
      </c>
      <c r="U130" s="125"/>
      <c r="V130" s="135">
        <f t="shared" si="59"/>
        <v>0.15084999999999996</v>
      </c>
      <c r="W130" s="142">
        <v>-241674.0657849194</v>
      </c>
      <c r="X130" s="137">
        <v>36134.816244568217</v>
      </c>
      <c r="Y130" s="125"/>
      <c r="Z130" s="135">
        <f t="shared" si="60"/>
        <v>0.18199999999999994</v>
      </c>
      <c r="AA130" s="142">
        <v>-244425.86744286303</v>
      </c>
      <c r="AB130" s="137">
        <v>36062.450489478309</v>
      </c>
      <c r="AC130" s="125"/>
      <c r="AD130" s="135">
        <f t="shared" si="61"/>
        <v>0.10500000000000002</v>
      </c>
      <c r="AE130" s="142">
        <v>-241130.56456660276</v>
      </c>
      <c r="AF130" s="137">
        <v>36149.311633108729</v>
      </c>
      <c r="AG130" s="125"/>
      <c r="AH130" s="135">
        <f t="shared" si="62"/>
        <v>0.25270000000000004</v>
      </c>
      <c r="AI130" s="142">
        <v>-247657.77393482492</v>
      </c>
      <c r="AJ130" s="137">
        <v>35572.128600051437</v>
      </c>
      <c r="AK130" s="129"/>
      <c r="AL130" s="135">
        <f t="shared" si="63"/>
        <v>3.5933333333333324E-2</v>
      </c>
      <c r="AM130" s="142">
        <v>-255703.33971047131</v>
      </c>
      <c r="AN130" s="137">
        <v>35866.808186288043</v>
      </c>
      <c r="AO130" s="125"/>
      <c r="AP130" s="135">
        <f t="shared" si="64"/>
        <v>2.3159903575733234E-2</v>
      </c>
      <c r="AQ130" s="142">
        <v>-230429.88201126861</v>
      </c>
      <c r="AR130" s="137">
        <v>36382.303928573696</v>
      </c>
      <c r="AT130" s="135">
        <f t="shared" si="65"/>
        <v>29807.757631679997</v>
      </c>
      <c r="AU130" s="142">
        <v>-237618.92013762437</v>
      </c>
      <c r="AV130" s="137">
        <v>35747.795802082619</v>
      </c>
      <c r="AW130" s="125"/>
      <c r="AX130" s="135">
        <f t="shared" si="66"/>
        <v>2673.3000000000006</v>
      </c>
      <c r="AY130" s="142">
        <v>-240787.64573568269</v>
      </c>
      <c r="AZ130" s="137">
        <v>36158.035547970954</v>
      </c>
      <c r="BA130" s="125"/>
      <c r="BB130" s="135">
        <f t="shared" si="67"/>
        <v>634.90000000000009</v>
      </c>
      <c r="BC130" s="142">
        <v>-240724.78616226168</v>
      </c>
      <c r="BD130" s="137">
        <v>36149.89741968282</v>
      </c>
      <c r="BE130" s="125"/>
      <c r="BF130" s="135">
        <f t="shared" si="68"/>
        <v>2354.0999999999995</v>
      </c>
      <c r="BG130" s="142">
        <v>-241077.92429260668</v>
      </c>
      <c r="BH130" s="137">
        <v>36195.616524216515</v>
      </c>
    </row>
    <row r="131" spans="1:60" x14ac:dyDescent="0.3">
      <c r="A131" s="110"/>
      <c r="B131" s="135">
        <f t="shared" si="54"/>
        <v>6.1648888888888871E-2</v>
      </c>
      <c r="C131" s="142">
        <v>-265498.75163247151</v>
      </c>
      <c r="D131" s="137">
        <v>35720.889294161374</v>
      </c>
      <c r="E131" s="125"/>
      <c r="F131" s="135">
        <f t="shared" si="55"/>
        <v>9.6799999999999994E-3</v>
      </c>
      <c r="G131" s="142">
        <v>-255018.19863044791</v>
      </c>
      <c r="H131" s="137">
        <v>35888.773284629897</v>
      </c>
      <c r="I131" s="125"/>
      <c r="J131" s="135">
        <f t="shared" si="56"/>
        <v>2.5794999999999998E-2</v>
      </c>
      <c r="K131" s="142">
        <v>-248835.22195098805</v>
      </c>
      <c r="L131" s="137">
        <v>36006.993348668941</v>
      </c>
      <c r="M131" s="125"/>
      <c r="N131" s="135">
        <f t="shared" si="57"/>
        <v>4.5711111111111117E-3</v>
      </c>
      <c r="O131" s="142">
        <v>-236604.44067892217</v>
      </c>
      <c r="P131" s="137">
        <v>36245.629578470427</v>
      </c>
      <c r="Q131" s="125"/>
      <c r="R131" s="135">
        <f t="shared" si="58"/>
        <v>0.33000000000000007</v>
      </c>
      <c r="S131" s="142">
        <v>-240346.3513644124</v>
      </c>
      <c r="T131" s="137">
        <v>35965.115621813078</v>
      </c>
      <c r="U131" s="125"/>
      <c r="V131" s="135">
        <f t="shared" si="59"/>
        <v>0.15803333333333328</v>
      </c>
      <c r="W131" s="142">
        <v>-241575.57058213599</v>
      </c>
      <c r="X131" s="137">
        <v>36137.438755327232</v>
      </c>
      <c r="Y131" s="125"/>
      <c r="Z131" s="135">
        <f t="shared" si="60"/>
        <v>0.1906666666666666</v>
      </c>
      <c r="AA131" s="142">
        <v>-244016.31821453836</v>
      </c>
      <c r="AB131" s="137">
        <v>36073.113639691648</v>
      </c>
      <c r="AC131" s="125"/>
      <c r="AD131" s="135">
        <f t="shared" si="61"/>
        <v>0.11000000000000003</v>
      </c>
      <c r="AE131" s="142">
        <v>-241092.74209800112</v>
      </c>
      <c r="AF131" s="137">
        <v>36150.323545140956</v>
      </c>
      <c r="AG131" s="125"/>
      <c r="AH131" s="135">
        <f t="shared" si="62"/>
        <v>0.26473333333333338</v>
      </c>
      <c r="AI131" s="142">
        <v>-246866.75447997235</v>
      </c>
      <c r="AJ131" s="137">
        <v>35637.2719602012</v>
      </c>
      <c r="AK131" s="129"/>
      <c r="AL131" s="135">
        <f t="shared" si="63"/>
        <v>3.7644444444444432E-2</v>
      </c>
      <c r="AM131" s="142">
        <v>-253955.73540846145</v>
      </c>
      <c r="AN131" s="137">
        <v>35899.209370189194</v>
      </c>
      <c r="AO131" s="125"/>
      <c r="AP131" s="135">
        <f t="shared" si="64"/>
        <v>2.4262756126958628E-2</v>
      </c>
      <c r="AQ131" s="142">
        <v>-231536.83856301615</v>
      </c>
      <c r="AR131" s="137">
        <v>36357.427807776403</v>
      </c>
      <c r="AT131" s="135">
        <f t="shared" si="65"/>
        <v>31227.174661759997</v>
      </c>
      <c r="AU131" s="142">
        <v>-237971.3297140768</v>
      </c>
      <c r="AV131" s="137">
        <v>35793.420584228807</v>
      </c>
      <c r="AW131" s="125"/>
      <c r="AX131" s="135">
        <f t="shared" si="66"/>
        <v>2800.6000000000008</v>
      </c>
      <c r="AY131" s="142">
        <v>-240787.97469012788</v>
      </c>
      <c r="AZ131" s="137">
        <v>36158.07813612945</v>
      </c>
      <c r="BA131" s="125"/>
      <c r="BB131" s="135">
        <f t="shared" si="67"/>
        <v>665.13333333333344</v>
      </c>
      <c r="BC131" s="142">
        <v>-240732.09951375387</v>
      </c>
      <c r="BD131" s="137">
        <v>36150.844244317806</v>
      </c>
      <c r="BE131" s="125"/>
      <c r="BF131" s="135">
        <f t="shared" si="68"/>
        <v>2466.1999999999994</v>
      </c>
      <c r="BG131" s="142">
        <v>-241046.00007406124</v>
      </c>
      <c r="BH131" s="137">
        <v>36191.483448347848</v>
      </c>
    </row>
    <row r="132" spans="1:60" x14ac:dyDescent="0.3">
      <c r="A132" s="110"/>
      <c r="B132" s="135">
        <f t="shared" si="54"/>
        <v>6.4451111111111098E-2</v>
      </c>
      <c r="C132" s="142">
        <v>-262138.58135339615</v>
      </c>
      <c r="D132" s="137">
        <v>35775.580487565989</v>
      </c>
      <c r="E132" s="125"/>
      <c r="F132" s="135">
        <f t="shared" si="55"/>
        <v>1.0119999999999999E-2</v>
      </c>
      <c r="G132" s="142">
        <v>-253148.85773276168</v>
      </c>
      <c r="H132" s="137">
        <v>35922.478979226013</v>
      </c>
      <c r="I132" s="125"/>
      <c r="J132" s="135">
        <f t="shared" si="56"/>
        <v>2.6967499999999998E-2</v>
      </c>
      <c r="K132" s="142">
        <v>-247800.61451649887</v>
      </c>
      <c r="L132" s="137">
        <v>36025.921535260248</v>
      </c>
      <c r="M132" s="125"/>
      <c r="N132" s="135">
        <f t="shared" si="57"/>
        <v>4.7788888888888898E-3</v>
      </c>
      <c r="O132" s="142">
        <v>-237119.74625837136</v>
      </c>
      <c r="P132" s="137">
        <v>36234.728236336428</v>
      </c>
      <c r="Q132" s="125"/>
      <c r="R132" s="135">
        <f t="shared" si="58"/>
        <v>0.34500000000000008</v>
      </c>
      <c r="S132" s="142">
        <v>-240402.06660287455</v>
      </c>
      <c r="T132" s="137">
        <v>35989.278524261223</v>
      </c>
      <c r="U132" s="125"/>
      <c r="V132" s="135">
        <f t="shared" si="59"/>
        <v>0.1652166666666666</v>
      </c>
      <c r="W132" s="142">
        <v>-241477.1588865802</v>
      </c>
      <c r="X132" s="137">
        <v>36140.061266086086</v>
      </c>
      <c r="Y132" s="125"/>
      <c r="Z132" s="135">
        <f t="shared" si="60"/>
        <v>0.19933333333333325</v>
      </c>
      <c r="AA132" s="142">
        <v>-243608.19396213308</v>
      </c>
      <c r="AB132" s="137">
        <v>36083.77678990503</v>
      </c>
      <c r="AC132" s="125"/>
      <c r="AD132" s="135">
        <f t="shared" si="61"/>
        <v>0.11500000000000003</v>
      </c>
      <c r="AE132" s="142">
        <v>-241054.93197617144</v>
      </c>
      <c r="AF132" s="137">
        <v>36151.335457173169</v>
      </c>
      <c r="AG132" s="125"/>
      <c r="AH132" s="135">
        <f t="shared" si="62"/>
        <v>0.27676666666666672</v>
      </c>
      <c r="AI132" s="142">
        <v>-246082.95898514165</v>
      </c>
      <c r="AJ132" s="137">
        <v>35702.415320350941</v>
      </c>
      <c r="AK132" s="129"/>
      <c r="AL132" s="135">
        <f t="shared" si="63"/>
        <v>3.9355555555555539E-2</v>
      </c>
      <c r="AM132" s="142">
        <v>-252231.86668686706</v>
      </c>
      <c r="AN132" s="137">
        <v>35931.610554090395</v>
      </c>
      <c r="AO132" s="125"/>
      <c r="AP132" s="135">
        <f t="shared" si="64"/>
        <v>2.5365608678184021E-2</v>
      </c>
      <c r="AQ132" s="142">
        <v>-232654.48025945484</v>
      </c>
      <c r="AR132" s="137">
        <v>36332.551686979183</v>
      </c>
      <c r="AT132" s="135">
        <f t="shared" si="65"/>
        <v>32646.591691839996</v>
      </c>
      <c r="AU132" s="142">
        <v>-238323.73929052945</v>
      </c>
      <c r="AV132" s="137">
        <v>35839.045366375023</v>
      </c>
      <c r="AW132" s="125"/>
      <c r="AX132" s="135">
        <f t="shared" si="66"/>
        <v>2927.900000000001</v>
      </c>
      <c r="AY132" s="142">
        <v>-240788.30364457407</v>
      </c>
      <c r="AZ132" s="137">
        <v>36158.120724288077</v>
      </c>
      <c r="BA132" s="125"/>
      <c r="BB132" s="135">
        <f t="shared" si="67"/>
        <v>695.36666666666679</v>
      </c>
      <c r="BC132" s="142">
        <v>-240739.41286524764</v>
      </c>
      <c r="BD132" s="137">
        <v>36151.791068952996</v>
      </c>
      <c r="BE132" s="125"/>
      <c r="BF132" s="135">
        <f t="shared" si="68"/>
        <v>2578.2999999999993</v>
      </c>
      <c r="BG132" s="142">
        <v>-241014.07585551581</v>
      </c>
      <c r="BH132" s="137">
        <v>36187.350372479181</v>
      </c>
    </row>
    <row r="133" spans="1:60" x14ac:dyDescent="0.3">
      <c r="A133" s="110"/>
      <c r="B133" s="135">
        <f t="shared" si="54"/>
        <v>6.7253333333333318E-2</v>
      </c>
      <c r="C133" s="142">
        <v>-258861.80477230449</v>
      </c>
      <c r="D133" s="137">
        <v>35830.271680970691</v>
      </c>
      <c r="E133" s="125"/>
      <c r="F133" s="135">
        <f t="shared" si="55"/>
        <v>1.0559999999999998E-2</v>
      </c>
      <c r="G133" s="142">
        <v>-251306.6153030913</v>
      </c>
      <c r="H133" s="137">
        <v>35956.184673822136</v>
      </c>
      <c r="I133" s="125"/>
      <c r="J133" s="135">
        <f t="shared" si="56"/>
        <v>2.8139999999999998E-2</v>
      </c>
      <c r="K133" s="142">
        <v>-246774.50590995196</v>
      </c>
      <c r="L133" s="137">
        <v>36044.84972185146</v>
      </c>
      <c r="M133" s="125"/>
      <c r="N133" s="135">
        <f t="shared" si="57"/>
        <v>4.9866666666666679E-3</v>
      </c>
      <c r="O133" s="142">
        <v>-237637.29783119675</v>
      </c>
      <c r="P133" s="137">
        <v>36223.82689420243</v>
      </c>
      <c r="Q133" s="125"/>
      <c r="R133" s="135">
        <f t="shared" si="58"/>
        <v>0.3600000000000001</v>
      </c>
      <c r="S133" s="142">
        <v>-240457.72930218291</v>
      </c>
      <c r="T133" s="137">
        <v>36013.441426709396</v>
      </c>
      <c r="U133" s="125"/>
      <c r="V133" s="135">
        <f t="shared" si="59"/>
        <v>0.17239999999999991</v>
      </c>
      <c r="W133" s="142">
        <v>-241378.83059209865</v>
      </c>
      <c r="X133" s="137">
        <v>36142.683776845035</v>
      </c>
      <c r="Y133" s="125"/>
      <c r="Z133" s="135">
        <f t="shared" si="60"/>
        <v>0.20799999999999991</v>
      </c>
      <c r="AA133" s="142">
        <v>-243201.48726152518</v>
      </c>
      <c r="AB133" s="137">
        <v>36094.439940118362</v>
      </c>
      <c r="AC133" s="125"/>
      <c r="AD133" s="135">
        <f t="shared" si="61"/>
        <v>0.12000000000000004</v>
      </c>
      <c r="AE133" s="142">
        <v>-241017.13419506879</v>
      </c>
      <c r="AF133" s="137">
        <v>36152.347369205338</v>
      </c>
      <c r="AG133" s="125"/>
      <c r="AH133" s="135">
        <f t="shared" si="62"/>
        <v>0.28880000000000006</v>
      </c>
      <c r="AI133" s="142">
        <v>-245306.28894127204</v>
      </c>
      <c r="AJ133" s="137">
        <v>35767.558680500479</v>
      </c>
      <c r="AK133" s="129"/>
      <c r="AL133" s="135">
        <f t="shared" si="63"/>
        <v>4.1066666666666647E-2</v>
      </c>
      <c r="AM133" s="142">
        <v>-250531.25325011145</v>
      </c>
      <c r="AN133" s="137">
        <v>35964.011737991488</v>
      </c>
      <c r="AO133" s="125"/>
      <c r="AP133" s="135">
        <f t="shared" si="64"/>
        <v>2.6468461229409414E-2</v>
      </c>
      <c r="AQ133" s="142">
        <v>-233782.96256200838</v>
      </c>
      <c r="AR133" s="137">
        <v>36307.675566181919</v>
      </c>
      <c r="AT133" s="135">
        <f t="shared" si="65"/>
        <v>34066.00872192</v>
      </c>
      <c r="AU133" s="142">
        <v>-238676.14886698243</v>
      </c>
      <c r="AV133" s="137">
        <v>35884.670148521283</v>
      </c>
      <c r="AW133" s="125"/>
      <c r="AX133" s="135">
        <f t="shared" si="66"/>
        <v>3055.2000000000012</v>
      </c>
      <c r="AY133" s="142">
        <v>-240788.6325990214</v>
      </c>
      <c r="AZ133" s="137">
        <v>36158.16331244685</v>
      </c>
      <c r="BA133" s="125"/>
      <c r="BB133" s="135">
        <f t="shared" si="67"/>
        <v>725.60000000000014</v>
      </c>
      <c r="BC133" s="142">
        <v>-240746.72621674006</v>
      </c>
      <c r="BD133" s="137">
        <v>36152.737893588012</v>
      </c>
      <c r="BE133" s="125"/>
      <c r="BF133" s="135">
        <f t="shared" si="68"/>
        <v>2690.3999999999992</v>
      </c>
      <c r="BG133" s="142">
        <v>-240982.15163697061</v>
      </c>
      <c r="BH133" s="137">
        <v>36183.217296610543</v>
      </c>
    </row>
    <row r="134" spans="1:60" x14ac:dyDescent="0.3">
      <c r="A134" s="110"/>
      <c r="B134" s="135">
        <f t="shared" si="54"/>
        <v>7.0055555555555538E-2</v>
      </c>
      <c r="C134" s="142">
        <v>-255665.35540749683</v>
      </c>
      <c r="D134" s="137">
        <v>35884.962874375356</v>
      </c>
      <c r="E134" s="125"/>
      <c r="F134" s="135">
        <f t="shared" si="55"/>
        <v>1.0999999999999998E-2</v>
      </c>
      <c r="G134" s="142">
        <v>-249490.88634158761</v>
      </c>
      <c r="H134" s="137">
        <v>35989.890368418157</v>
      </c>
      <c r="I134" s="125"/>
      <c r="J134" s="135">
        <f t="shared" si="56"/>
        <v>2.9312499999999998E-2</v>
      </c>
      <c r="K134" s="142">
        <v>-245756.79183871421</v>
      </c>
      <c r="L134" s="137">
        <v>36063.777908442651</v>
      </c>
      <c r="M134" s="125"/>
      <c r="N134" s="135">
        <f t="shared" si="57"/>
        <v>5.194444444444446E-3</v>
      </c>
      <c r="O134" s="142">
        <v>-238157.1101134303</v>
      </c>
      <c r="P134" s="137">
        <v>36212.925552068482</v>
      </c>
      <c r="Q134" s="125"/>
      <c r="R134" s="135">
        <f t="shared" si="58"/>
        <v>0.37500000000000011</v>
      </c>
      <c r="S134" s="142">
        <v>-240513.33953661585</v>
      </c>
      <c r="T134" s="137">
        <v>36037.604329157592</v>
      </c>
      <c r="U134" s="125"/>
      <c r="V134" s="135">
        <f t="shared" si="59"/>
        <v>0.17958333333333323</v>
      </c>
      <c r="W134" s="142">
        <v>-241280.58559271644</v>
      </c>
      <c r="X134" s="137">
        <v>36145.306287603926</v>
      </c>
      <c r="Y134" s="125"/>
      <c r="Z134" s="135">
        <f t="shared" si="60"/>
        <v>0.21666666666666656</v>
      </c>
      <c r="AA134" s="142">
        <v>-242796.19074006827</v>
      </c>
      <c r="AB134" s="137">
        <v>36105.103090331795</v>
      </c>
      <c r="AC134" s="125"/>
      <c r="AD134" s="135">
        <f t="shared" si="61"/>
        <v>0.12500000000000003</v>
      </c>
      <c r="AE134" s="142">
        <v>-240979.34874865119</v>
      </c>
      <c r="AF134" s="137">
        <v>36153.359281237616</v>
      </c>
      <c r="AG134" s="125"/>
      <c r="AH134" s="135">
        <f t="shared" si="62"/>
        <v>0.3008333333333334</v>
      </c>
      <c r="AI134" s="142">
        <v>-244536.64762227557</v>
      </c>
      <c r="AJ134" s="137">
        <v>35832.702040650285</v>
      </c>
      <c r="AK134" s="129"/>
      <c r="AL134" s="135">
        <f t="shared" si="63"/>
        <v>4.2777777777777755E-2</v>
      </c>
      <c r="AM134" s="142">
        <v>-248853.42767432987</v>
      </c>
      <c r="AN134" s="137">
        <v>35996.412921892697</v>
      </c>
      <c r="AO134" s="125"/>
      <c r="AP134" s="135">
        <f t="shared" si="64"/>
        <v>2.7571313780634807E-2</v>
      </c>
      <c r="AQ134" s="142">
        <v>-234922.44396260291</v>
      </c>
      <c r="AR134" s="137">
        <v>36282.799445384677</v>
      </c>
      <c r="AT134" s="135">
        <f t="shared" si="65"/>
        <v>35485.425752000003</v>
      </c>
      <c r="AU134" s="142">
        <v>-239028.55844343521</v>
      </c>
      <c r="AV134" s="137">
        <v>35930.294930667515</v>
      </c>
      <c r="AW134" s="125"/>
      <c r="AX134" s="135">
        <f t="shared" si="66"/>
        <v>3182.5000000000014</v>
      </c>
      <c r="AY134" s="142">
        <v>-240788.96155346723</v>
      </c>
      <c r="AZ134" s="137">
        <v>36158.205900605433</v>
      </c>
      <c r="BA134" s="125"/>
      <c r="BB134" s="135">
        <f t="shared" si="67"/>
        <v>755.83333333333348</v>
      </c>
      <c r="BC134" s="142">
        <v>-240754.03956823304</v>
      </c>
      <c r="BD134" s="137">
        <v>36153.684718223099</v>
      </c>
      <c r="BE134" s="125"/>
      <c r="BF134" s="135">
        <f t="shared" si="68"/>
        <v>2802.4999999999991</v>
      </c>
      <c r="BG134" s="142">
        <v>-240950.22741842517</v>
      </c>
      <c r="BH134" s="137">
        <v>36179.084220741875</v>
      </c>
    </row>
    <row r="135" spans="1:60" x14ac:dyDescent="0.3">
      <c r="A135" s="110"/>
      <c r="B135" s="135">
        <f t="shared" si="54"/>
        <v>7.2857777777777757E-2</v>
      </c>
      <c r="C135" s="142">
        <v>-252546.31530086882</v>
      </c>
      <c r="D135" s="137">
        <v>35939.654067779993</v>
      </c>
      <c r="E135" s="125"/>
      <c r="F135" s="135">
        <f t="shared" si="55"/>
        <v>1.1439999999999997E-2</v>
      </c>
      <c r="G135" s="142">
        <v>-247701.1025666674</v>
      </c>
      <c r="H135" s="137">
        <v>36023.596063014222</v>
      </c>
      <c r="I135" s="125"/>
      <c r="J135" s="135">
        <f t="shared" si="56"/>
        <v>3.0484999999999998E-2</v>
      </c>
      <c r="K135" s="142">
        <v>-244747.36970962852</v>
      </c>
      <c r="L135" s="137">
        <v>36082.706095033776</v>
      </c>
      <c r="M135" s="125"/>
      <c r="N135" s="135">
        <f t="shared" si="57"/>
        <v>5.4022222222222241E-3</v>
      </c>
      <c r="O135" s="142">
        <v>-238679.19794995373</v>
      </c>
      <c r="P135" s="137">
        <v>36202.024209934483</v>
      </c>
      <c r="Q135" s="125"/>
      <c r="R135" s="135">
        <f t="shared" si="58"/>
        <v>0.39000000000000012</v>
      </c>
      <c r="S135" s="142">
        <v>-240568.89738031075</v>
      </c>
      <c r="T135" s="137">
        <v>36061.767231605882</v>
      </c>
      <c r="U135" s="125"/>
      <c r="V135" s="135">
        <f t="shared" si="59"/>
        <v>0.18676666666666655</v>
      </c>
      <c r="W135" s="142">
        <v>-241182.42378263641</v>
      </c>
      <c r="X135" s="137">
        <v>36147.928798362875</v>
      </c>
      <c r="Y135" s="125"/>
      <c r="Z135" s="135">
        <f t="shared" si="60"/>
        <v>0.22533333333333322</v>
      </c>
      <c r="AA135" s="142">
        <v>-242392.29707615974</v>
      </c>
      <c r="AB135" s="137">
        <v>36115.76624054509</v>
      </c>
      <c r="AC135" s="125"/>
      <c r="AD135" s="135">
        <f t="shared" si="61"/>
        <v>0.13000000000000003</v>
      </c>
      <c r="AE135" s="142">
        <v>-240941.57563088453</v>
      </c>
      <c r="AF135" s="137">
        <v>36154.371193269741</v>
      </c>
      <c r="AG135" s="125"/>
      <c r="AH135" s="135">
        <f t="shared" si="62"/>
        <v>0.31286666666666674</v>
      </c>
      <c r="AI135" s="142">
        <v>-243773.94004488629</v>
      </c>
      <c r="AJ135" s="137">
        <v>35897.845400799932</v>
      </c>
      <c r="AK135" s="129"/>
      <c r="AL135" s="135">
        <f t="shared" si="63"/>
        <v>4.4488888888888863E-2</v>
      </c>
      <c r="AM135" s="142">
        <v>-247197.93497906343</v>
      </c>
      <c r="AN135" s="137">
        <v>36028.81410579387</v>
      </c>
      <c r="AO135" s="125"/>
      <c r="AP135" s="135">
        <f t="shared" si="64"/>
        <v>2.86741663318602E-2</v>
      </c>
      <c r="AQ135" s="142">
        <v>-236073.08605787292</v>
      </c>
      <c r="AR135" s="137">
        <v>36257.923324587537</v>
      </c>
      <c r="AT135" s="135">
        <f t="shared" si="65"/>
        <v>36904.842782080006</v>
      </c>
      <c r="AU135" s="142">
        <v>-239380.96801988795</v>
      </c>
      <c r="AV135" s="137">
        <v>35975.919712813746</v>
      </c>
      <c r="AW135" s="125"/>
      <c r="AX135" s="135">
        <f t="shared" si="66"/>
        <v>3309.8000000000015</v>
      </c>
      <c r="AY135" s="142">
        <v>-240789.29050791365</v>
      </c>
      <c r="AZ135" s="137">
        <v>36158.248488764089</v>
      </c>
      <c r="BA135" s="125"/>
      <c r="BB135" s="135">
        <f t="shared" si="67"/>
        <v>786.06666666666683</v>
      </c>
      <c r="BC135" s="142">
        <v>-240761.35291972637</v>
      </c>
      <c r="BD135" s="137">
        <v>36154.631542858231</v>
      </c>
      <c r="BE135" s="125"/>
      <c r="BF135" s="135">
        <f t="shared" si="68"/>
        <v>2914.599999999999</v>
      </c>
      <c r="BG135" s="142">
        <v>-240918.30319987895</v>
      </c>
      <c r="BH135" s="137">
        <v>36174.951144873106</v>
      </c>
    </row>
    <row r="136" spans="1:60" x14ac:dyDescent="0.3">
      <c r="A136" s="110"/>
      <c r="B136" s="135">
        <f t="shared" si="54"/>
        <v>7.5659999999999977E-2</v>
      </c>
      <c r="C136" s="142">
        <v>-249501.90613339702</v>
      </c>
      <c r="D136" s="137">
        <v>35994.345261184651</v>
      </c>
      <c r="E136" s="125"/>
      <c r="F136" s="135">
        <f t="shared" si="55"/>
        <v>1.1879999999999996E-2</v>
      </c>
      <c r="G136" s="142">
        <v>-245936.71182204367</v>
      </c>
      <c r="H136" s="137">
        <v>36057.301757610388</v>
      </c>
      <c r="I136" s="125"/>
      <c r="J136" s="135">
        <f t="shared" si="56"/>
        <v>3.1657499999999998E-2</v>
      </c>
      <c r="K136" s="142">
        <v>-243746.13859453078</v>
      </c>
      <c r="L136" s="137">
        <v>36101.634281625069</v>
      </c>
      <c r="M136" s="125"/>
      <c r="N136" s="135">
        <f t="shared" si="57"/>
        <v>5.6100000000000021E-3</v>
      </c>
      <c r="O136" s="142">
        <v>-239203.57631590325</v>
      </c>
      <c r="P136" s="137">
        <v>36191.12286780047</v>
      </c>
      <c r="Q136" s="125"/>
      <c r="R136" s="135">
        <f t="shared" si="58"/>
        <v>0.40500000000000014</v>
      </c>
      <c r="S136" s="142">
        <v>-240624.40290727594</v>
      </c>
      <c r="T136" s="137">
        <v>36085.930134054026</v>
      </c>
      <c r="U136" s="125"/>
      <c r="V136" s="135">
        <f t="shared" si="59"/>
        <v>0.19394999999999987</v>
      </c>
      <c r="W136" s="142">
        <v>-241084.34505624365</v>
      </c>
      <c r="X136" s="137">
        <v>36150.551309121773</v>
      </c>
      <c r="Y136" s="125"/>
      <c r="Z136" s="135">
        <f t="shared" si="60"/>
        <v>0.23399999999999987</v>
      </c>
      <c r="AA136" s="142">
        <v>-241989.79899879315</v>
      </c>
      <c r="AB136" s="137">
        <v>36126.429390758516</v>
      </c>
      <c r="AC136" s="125"/>
      <c r="AD136" s="135">
        <f t="shared" si="61"/>
        <v>0.13500000000000004</v>
      </c>
      <c r="AE136" s="142">
        <v>-240903.81483572937</v>
      </c>
      <c r="AF136" s="137">
        <v>36155.383105302048</v>
      </c>
      <c r="AG136" s="125"/>
      <c r="AH136" s="135">
        <f t="shared" si="62"/>
        <v>0.32490000000000008</v>
      </c>
      <c r="AI136" s="142">
        <v>-243018.07292959382</v>
      </c>
      <c r="AJ136" s="137">
        <v>35962.988760949665</v>
      </c>
      <c r="AK136" s="129"/>
      <c r="AL136" s="135">
        <f t="shared" si="63"/>
        <v>4.619999999999997E-2</v>
      </c>
      <c r="AM136" s="142">
        <v>-245564.33221589343</v>
      </c>
      <c r="AN136" s="137">
        <v>36061.215289695036</v>
      </c>
      <c r="AO136" s="125"/>
      <c r="AP136" s="135">
        <f t="shared" si="64"/>
        <v>2.9777018883085593E-2</v>
      </c>
      <c r="AQ136" s="142">
        <v>-237235.05362556598</v>
      </c>
      <c r="AR136" s="137">
        <v>36233.047203790222</v>
      </c>
      <c r="AT136" s="135">
        <f t="shared" si="65"/>
        <v>38324.259812160009</v>
      </c>
      <c r="AU136" s="142">
        <v>-239733.37759634072</v>
      </c>
      <c r="AV136" s="137">
        <v>36021.544494959977</v>
      </c>
      <c r="AW136" s="125"/>
      <c r="AX136" s="135">
        <f t="shared" si="66"/>
        <v>3437.1000000000017</v>
      </c>
      <c r="AY136" s="142">
        <v>-240789.61946235929</v>
      </c>
      <c r="AZ136" s="137">
        <v>36158.291076922644</v>
      </c>
      <c r="BA136" s="125"/>
      <c r="BB136" s="135">
        <f t="shared" si="67"/>
        <v>816.30000000000018</v>
      </c>
      <c r="BC136" s="142">
        <v>-240768.6662712195</v>
      </c>
      <c r="BD136" s="137">
        <v>36155.578367493334</v>
      </c>
      <c r="BE136" s="125"/>
      <c r="BF136" s="135">
        <f t="shared" si="68"/>
        <v>3026.6999999999989</v>
      </c>
      <c r="BG136" s="142">
        <v>-240886.37898133419</v>
      </c>
      <c r="BH136" s="137">
        <v>36170.818069004526</v>
      </c>
    </row>
    <row r="137" spans="1:60" x14ac:dyDescent="0.3">
      <c r="A137" s="110"/>
      <c r="B137" s="135">
        <f t="shared" si="54"/>
        <v>7.8462222222222197E-2</v>
      </c>
      <c r="C137" s="142">
        <v>-246529.48097085176</v>
      </c>
      <c r="D137" s="137">
        <v>36049.036454589273</v>
      </c>
      <c r="E137" s="125"/>
      <c r="F137" s="135">
        <f t="shared" si="55"/>
        <v>1.2319999999999996E-2</v>
      </c>
      <c r="G137" s="142">
        <v>-244197.17750879933</v>
      </c>
      <c r="H137" s="137">
        <v>36091.007452206388</v>
      </c>
      <c r="I137" s="125"/>
      <c r="J137" s="135">
        <f t="shared" si="56"/>
        <v>3.2829999999999998E-2</v>
      </c>
      <c r="K137" s="142">
        <v>-242752.99919661574</v>
      </c>
      <c r="L137" s="137">
        <v>36120.562468216209</v>
      </c>
      <c r="M137" s="125"/>
      <c r="N137" s="135">
        <f t="shared" si="57"/>
        <v>5.8177777777777802E-3</v>
      </c>
      <c r="O137" s="142">
        <v>-239730.2603180999</v>
      </c>
      <c r="P137" s="137">
        <v>36180.221525666544</v>
      </c>
      <c r="Q137" s="125"/>
      <c r="R137" s="135">
        <f t="shared" si="58"/>
        <v>0.42000000000000015</v>
      </c>
      <c r="S137" s="142">
        <v>-240679.8561913672</v>
      </c>
      <c r="T137" s="137">
        <v>36110.093036502163</v>
      </c>
      <c r="U137" s="125"/>
      <c r="V137" s="135">
        <f t="shared" si="59"/>
        <v>0.20113333333333319</v>
      </c>
      <c r="W137" s="142">
        <v>-240986.34930809864</v>
      </c>
      <c r="X137" s="137">
        <v>36153.173819880772</v>
      </c>
      <c r="Y137" s="125"/>
      <c r="Z137" s="135">
        <f t="shared" si="60"/>
        <v>0.24266666666666653</v>
      </c>
      <c r="AA137" s="142">
        <v>-241588.68928712152</v>
      </c>
      <c r="AB137" s="137">
        <v>36137.09254097184</v>
      </c>
      <c r="AC137" s="125"/>
      <c r="AD137" s="135">
        <f t="shared" si="61"/>
        <v>0.14000000000000004</v>
      </c>
      <c r="AE137" s="142">
        <v>-240866.06635716357</v>
      </c>
      <c r="AF137" s="137">
        <v>36156.39501733418</v>
      </c>
      <c r="AG137" s="125"/>
      <c r="AH137" s="135">
        <f t="shared" si="62"/>
        <v>0.33693333333333342</v>
      </c>
      <c r="AI137" s="142">
        <v>-242268.95466258604</v>
      </c>
      <c r="AJ137" s="137">
        <v>36028.132121099261</v>
      </c>
      <c r="AK137" s="129"/>
      <c r="AL137" s="135">
        <f t="shared" si="63"/>
        <v>4.7911111111111078E-2</v>
      </c>
      <c r="AM137" s="142">
        <v>-243952.18807334625</v>
      </c>
      <c r="AN137" s="137">
        <v>36093.616473596259</v>
      </c>
      <c r="AO137" s="125"/>
      <c r="AP137" s="135">
        <f t="shared" si="64"/>
        <v>3.0879871434310986E-2</v>
      </c>
      <c r="AQ137" s="142">
        <v>-238408.51470319886</v>
      </c>
      <c r="AR137" s="137">
        <v>36208.171082993038</v>
      </c>
      <c r="AT137" s="135">
        <f t="shared" si="65"/>
        <v>39743.676842240013</v>
      </c>
      <c r="AU137" s="142">
        <v>-240085.78717279292</v>
      </c>
      <c r="AV137" s="137">
        <v>36067.169277106135</v>
      </c>
      <c r="AW137" s="125"/>
      <c r="AX137" s="135">
        <f t="shared" si="66"/>
        <v>3564.4000000000019</v>
      </c>
      <c r="AY137" s="142">
        <v>-240789.94841680527</v>
      </c>
      <c r="AZ137" s="137">
        <v>36158.333665081242</v>
      </c>
      <c r="BA137" s="125"/>
      <c r="BB137" s="135">
        <f t="shared" si="67"/>
        <v>846.53333333333353</v>
      </c>
      <c r="BC137" s="142">
        <v>-240775.97962271338</v>
      </c>
      <c r="BD137" s="137">
        <v>36156.525192128538</v>
      </c>
      <c r="BE137" s="125"/>
      <c r="BF137" s="135">
        <f t="shared" si="68"/>
        <v>3138.7999999999988</v>
      </c>
      <c r="BG137" s="142">
        <v>-240854.45476278887</v>
      </c>
      <c r="BH137" s="137">
        <v>36166.684993135874</v>
      </c>
    </row>
    <row r="138" spans="1:60" x14ac:dyDescent="0.3">
      <c r="A138" s="110"/>
      <c r="B138" s="135">
        <f t="shared" si="54"/>
        <v>8.1264444444444417E-2</v>
      </c>
      <c r="C138" s="142">
        <v>-243626.51658816668</v>
      </c>
      <c r="D138" s="137">
        <v>36103.727647993976</v>
      </c>
      <c r="E138" s="125"/>
      <c r="F138" s="135">
        <f t="shared" si="55"/>
        <v>1.2759999999999995E-2</v>
      </c>
      <c r="G138" s="142">
        <v>-242481.97804128053</v>
      </c>
      <c r="H138" s="137">
        <v>36124.713146802533</v>
      </c>
      <c r="I138" s="125"/>
      <c r="J138" s="135">
        <f t="shared" si="56"/>
        <v>3.4002499999999998E-2</v>
      </c>
      <c r="K138" s="142">
        <v>-241767.85381759988</v>
      </c>
      <c r="L138" s="137">
        <v>36139.490654807385</v>
      </c>
      <c r="M138" s="125"/>
      <c r="N138" s="135">
        <f t="shared" si="57"/>
        <v>6.0255555555555583E-3</v>
      </c>
      <c r="O138" s="142">
        <v>-240259.26519650803</v>
      </c>
      <c r="P138" s="137">
        <v>36169.320183532553</v>
      </c>
      <c r="Q138" s="125"/>
      <c r="R138" s="135">
        <f t="shared" si="58"/>
        <v>0.43500000000000016</v>
      </c>
      <c r="S138" s="142">
        <v>-240735.25730631297</v>
      </c>
      <c r="T138" s="137">
        <v>36134.255938950359</v>
      </c>
      <c r="U138" s="125"/>
      <c r="V138" s="135">
        <f t="shared" si="59"/>
        <v>0.20831666666666651</v>
      </c>
      <c r="W138" s="142">
        <v>-240888.43643294548</v>
      </c>
      <c r="X138" s="137">
        <v>36155.796330639612</v>
      </c>
      <c r="Y138" s="125"/>
      <c r="Z138" s="135">
        <f t="shared" si="60"/>
        <v>0.25133333333333319</v>
      </c>
      <c r="AA138" s="142">
        <v>-241188.96077002885</v>
      </c>
      <c r="AB138" s="137">
        <v>36147.755691185172</v>
      </c>
      <c r="AC138" s="125"/>
      <c r="AD138" s="135">
        <f t="shared" si="61"/>
        <v>0.14500000000000005</v>
      </c>
      <c r="AE138" s="142">
        <v>-240828.33018916153</v>
      </c>
      <c r="AF138" s="137">
        <v>36157.406929366378</v>
      </c>
      <c r="AG138" s="125"/>
      <c r="AH138" s="135">
        <f t="shared" si="62"/>
        <v>0.34896666666666676</v>
      </c>
      <c r="AI138" s="142">
        <v>-241526.49525877152</v>
      </c>
      <c r="AJ138" s="137">
        <v>36093.275481248871</v>
      </c>
      <c r="AK138" s="129"/>
      <c r="AL138" s="135">
        <f t="shared" si="63"/>
        <v>4.9622222222222186E-2</v>
      </c>
      <c r="AM138" s="142">
        <v>-242361.08249722104</v>
      </c>
      <c r="AN138" s="137">
        <v>36126.017657497447</v>
      </c>
      <c r="AO138" s="125"/>
      <c r="AP138" s="135">
        <f t="shared" si="64"/>
        <v>3.1982723985536379E-2</v>
      </c>
      <c r="AQ138" s="142">
        <v>-239593.64066906969</v>
      </c>
      <c r="AR138" s="137">
        <v>36183.294962195803</v>
      </c>
      <c r="AT138" s="135">
        <f t="shared" si="65"/>
        <v>41163.093872320016</v>
      </c>
      <c r="AU138" s="142">
        <v>-240438.19674924592</v>
      </c>
      <c r="AV138" s="137">
        <v>36112.794059252396</v>
      </c>
      <c r="AW138" s="125"/>
      <c r="AX138" s="135">
        <f t="shared" si="66"/>
        <v>3691.7000000000021</v>
      </c>
      <c r="AY138" s="142">
        <v>-240790.27737125169</v>
      </c>
      <c r="AZ138" s="137">
        <v>36158.376253239898</v>
      </c>
      <c r="BA138" s="125"/>
      <c r="BB138" s="135">
        <f t="shared" si="67"/>
        <v>876.76666666666688</v>
      </c>
      <c r="BC138" s="142">
        <v>-240783.29297420557</v>
      </c>
      <c r="BD138" s="137">
        <v>36157.472016763524</v>
      </c>
      <c r="BE138" s="125"/>
      <c r="BF138" s="135">
        <f t="shared" si="68"/>
        <v>3250.8999999999987</v>
      </c>
      <c r="BG138" s="142">
        <v>-240822.53054424308</v>
      </c>
      <c r="BH138" s="137">
        <v>36162.551917267163</v>
      </c>
    </row>
    <row r="139" spans="1:60" x14ac:dyDescent="0.3">
      <c r="A139" s="110"/>
      <c r="B139" s="135">
        <f t="shared" si="54"/>
        <v>8.4066666666666637E-2</v>
      </c>
      <c r="C139" s="142">
        <v>-240790.60632569779</v>
      </c>
      <c r="D139" s="137">
        <v>36158.418841398576</v>
      </c>
      <c r="E139" s="125"/>
      <c r="F139" s="135">
        <f t="shared" si="55"/>
        <v>1.3199999999999995E-2</v>
      </c>
      <c r="G139" s="142">
        <v>-240790.60632569823</v>
      </c>
      <c r="H139" s="137">
        <v>36158.418841398568</v>
      </c>
      <c r="I139" s="125"/>
      <c r="J139" s="135">
        <f t="shared" si="56"/>
        <v>3.5174999999999998E-2</v>
      </c>
      <c r="K139" s="142">
        <v>-240790.60632569823</v>
      </c>
      <c r="L139" s="137">
        <v>36158.418841398568</v>
      </c>
      <c r="M139" s="125"/>
      <c r="N139" s="135">
        <f t="shared" si="57"/>
        <v>6.2333333333333364E-3</v>
      </c>
      <c r="O139" s="142">
        <v>-240790.60632569823</v>
      </c>
      <c r="P139" s="137">
        <v>36158.418841398568</v>
      </c>
      <c r="Q139" s="125"/>
      <c r="R139" s="135">
        <f t="shared" si="58"/>
        <v>0.45000000000000018</v>
      </c>
      <c r="S139" s="142">
        <v>-240790.60632569823</v>
      </c>
      <c r="T139" s="137">
        <v>36158.418841398568</v>
      </c>
      <c r="U139" s="125"/>
      <c r="V139" s="135">
        <f t="shared" si="59"/>
        <v>0.21549999999999983</v>
      </c>
      <c r="W139" s="142">
        <v>-240790.60632569823</v>
      </c>
      <c r="X139" s="137">
        <v>36158.418841398568</v>
      </c>
      <c r="Y139" s="125"/>
      <c r="Z139" s="135">
        <f t="shared" si="60"/>
        <v>0.25999999999999984</v>
      </c>
      <c r="AA139" s="142">
        <v>-240790.60632569823</v>
      </c>
      <c r="AB139" s="137">
        <v>36158.418841398568</v>
      </c>
      <c r="AC139" s="125"/>
      <c r="AD139" s="135">
        <f t="shared" si="61"/>
        <v>0.15000000000000005</v>
      </c>
      <c r="AE139" s="142">
        <v>-240790.60632569823</v>
      </c>
      <c r="AF139" s="137">
        <v>36158.418841398568</v>
      </c>
      <c r="AG139" s="125"/>
      <c r="AH139" s="135">
        <f t="shared" si="62"/>
        <v>0.3610000000000001</v>
      </c>
      <c r="AI139" s="142">
        <v>-240790.60632569823</v>
      </c>
      <c r="AJ139" s="137">
        <v>36158.418841398568</v>
      </c>
      <c r="AK139" s="129"/>
      <c r="AL139" s="135">
        <f t="shared" si="63"/>
        <v>5.1333333333333293E-2</v>
      </c>
      <c r="AM139" s="142">
        <v>-240790.60632569823</v>
      </c>
      <c r="AN139" s="137">
        <v>36158.418841398568</v>
      </c>
      <c r="AO139" s="125"/>
      <c r="AP139" s="135">
        <f t="shared" si="64"/>
        <v>3.3085576536761772E-2</v>
      </c>
      <c r="AQ139" s="142">
        <v>-240790.60632569771</v>
      </c>
      <c r="AR139" s="137">
        <v>36158.418841398561</v>
      </c>
      <c r="AT139" s="135">
        <f t="shared" si="65"/>
        <v>42582.510902400019</v>
      </c>
      <c r="AU139" s="142">
        <v>-240790.60632569823</v>
      </c>
      <c r="AV139" s="137">
        <v>36158.418841398568</v>
      </c>
      <c r="AW139" s="125"/>
      <c r="AX139" s="135">
        <f t="shared" si="66"/>
        <v>3819.0000000000023</v>
      </c>
      <c r="AY139" s="142">
        <v>-240790.60632569823</v>
      </c>
      <c r="AZ139" s="137">
        <v>36158.418841398568</v>
      </c>
      <c r="BA139" s="125"/>
      <c r="BB139" s="135">
        <f t="shared" si="67"/>
        <v>907.00000000000023</v>
      </c>
      <c r="BC139" s="142">
        <v>-240790.60632569823</v>
      </c>
      <c r="BD139" s="137">
        <v>36158.418841398568</v>
      </c>
      <c r="BE139" s="125"/>
      <c r="BF139" s="135">
        <f t="shared" si="68"/>
        <v>3362.9999999999986</v>
      </c>
      <c r="BG139" s="142">
        <v>-240790.60632569823</v>
      </c>
      <c r="BH139" s="137">
        <v>36158.418841398568</v>
      </c>
    </row>
    <row r="140" spans="1:60" x14ac:dyDescent="0.3">
      <c r="A140" s="110"/>
      <c r="B140" s="135">
        <f t="shared" si="54"/>
        <v>8.6868888888888857E-2</v>
      </c>
      <c r="C140" s="142">
        <v>-238019.45343486365</v>
      </c>
      <c r="D140" s="137">
        <v>36213.110034803241</v>
      </c>
      <c r="E140" s="125"/>
      <c r="F140" s="135">
        <f t="shared" si="55"/>
        <v>1.3639999999999994E-2</v>
      </c>
      <c r="G140" s="142">
        <v>-239122.56926028166</v>
      </c>
      <c r="H140" s="137">
        <v>36192.124535994655</v>
      </c>
      <c r="I140" s="125"/>
      <c r="J140" s="135">
        <f t="shared" si="56"/>
        <v>3.6347499999999998E-2</v>
      </c>
      <c r="K140" s="142">
        <v>-239821.16212433565</v>
      </c>
      <c r="L140" s="137">
        <v>36177.347027989781</v>
      </c>
      <c r="M140" s="125"/>
      <c r="N140" s="135">
        <f t="shared" si="57"/>
        <v>6.4411111111111145E-3</v>
      </c>
      <c r="O140" s="142">
        <v>-241324.29921634085</v>
      </c>
      <c r="P140" s="137">
        <v>36147.517499264613</v>
      </c>
      <c r="Q140" s="125"/>
      <c r="R140" s="135">
        <f t="shared" si="58"/>
        <v>0.46500000000000019</v>
      </c>
      <c r="S140" s="142">
        <v>-240845.90332296464</v>
      </c>
      <c r="T140" s="137">
        <v>36182.581743846764</v>
      </c>
      <c r="U140" s="125"/>
      <c r="V140" s="135">
        <f t="shared" si="59"/>
        <v>0.22268333333333315</v>
      </c>
      <c r="W140" s="142">
        <v>-240692.85888145355</v>
      </c>
      <c r="X140" s="137">
        <v>36161.041352157554</v>
      </c>
      <c r="Y140" s="125"/>
      <c r="Z140" s="135">
        <f t="shared" si="60"/>
        <v>0.2686666666666665</v>
      </c>
      <c r="AA140" s="142">
        <v>-240393.61888119194</v>
      </c>
      <c r="AB140" s="137">
        <v>36169.081991611994</v>
      </c>
      <c r="AC140" s="125"/>
      <c r="AD140" s="135">
        <f t="shared" si="61"/>
        <v>0.15500000000000005</v>
      </c>
      <c r="AE140" s="142">
        <v>-240752.8947607562</v>
      </c>
      <c r="AF140" s="137">
        <v>36159.430753430839</v>
      </c>
      <c r="AG140" s="125"/>
      <c r="AH140" s="135">
        <f t="shared" si="62"/>
        <v>0.37303333333333344</v>
      </c>
      <c r="AI140" s="142">
        <v>-240061.20102850755</v>
      </c>
      <c r="AJ140" s="137">
        <v>36223.562201548375</v>
      </c>
      <c r="AK140" s="129"/>
      <c r="AL140" s="135">
        <f t="shared" si="63"/>
        <v>5.3044444444444401E-2</v>
      </c>
      <c r="AM140" s="142">
        <v>-239240.3609385548</v>
      </c>
      <c r="AN140" s="137">
        <v>36190.820025299785</v>
      </c>
      <c r="AO140" s="125"/>
      <c r="AP140" s="135">
        <f t="shared" si="64"/>
        <v>3.4188429087987166E-2</v>
      </c>
      <c r="AQ140" s="142">
        <v>-241999.58998577305</v>
      </c>
      <c r="AR140" s="137">
        <v>36133.542720601341</v>
      </c>
      <c r="AT140" s="135">
        <f t="shared" si="65"/>
        <v>44001.927932480023</v>
      </c>
      <c r="AU140" s="142">
        <v>-241143.01590215054</v>
      </c>
      <c r="AV140" s="137">
        <v>36204.043623544741</v>
      </c>
      <c r="AW140" s="125"/>
      <c r="AX140" s="135">
        <f t="shared" si="66"/>
        <v>3946.3000000000025</v>
      </c>
      <c r="AY140" s="142">
        <v>-240790.93528014407</v>
      </c>
      <c r="AZ140" s="137">
        <v>36158.461429557152</v>
      </c>
      <c r="BA140" s="125"/>
      <c r="BB140" s="135">
        <f t="shared" si="67"/>
        <v>937.23333333333358</v>
      </c>
      <c r="BC140" s="142">
        <v>-240797.91967719121</v>
      </c>
      <c r="BD140" s="137">
        <v>36159.365666033656</v>
      </c>
      <c r="BE140" s="125"/>
      <c r="BF140" s="135">
        <f t="shared" si="68"/>
        <v>3475.0999999999985</v>
      </c>
      <c r="BG140" s="142">
        <v>-240758.68210715256</v>
      </c>
      <c r="BH140" s="137">
        <v>36154.285765529872</v>
      </c>
    </row>
    <row r="141" spans="1:60" x14ac:dyDescent="0.3">
      <c r="A141" s="110"/>
      <c r="B141" s="135">
        <f t="shared" si="54"/>
        <v>8.9671111111111076E-2</v>
      </c>
      <c r="C141" s="142">
        <v>-235310.86487448696</v>
      </c>
      <c r="D141" s="137">
        <v>36267.801228207893</v>
      </c>
      <c r="E141" s="125"/>
      <c r="F141" s="135">
        <f t="shared" si="55"/>
        <v>1.4079999999999994E-2</v>
      </c>
      <c r="G141" s="142">
        <v>-237477.38725599827</v>
      </c>
      <c r="H141" s="137">
        <v>36225.830230590669</v>
      </c>
      <c r="I141" s="125"/>
      <c r="J141" s="135">
        <f t="shared" si="56"/>
        <v>3.7519999999999998E-2</v>
      </c>
      <c r="K141" s="142">
        <v>-238859.42812163799</v>
      </c>
      <c r="L141" s="137">
        <v>36196.275214580965</v>
      </c>
      <c r="M141" s="125"/>
      <c r="N141" s="135">
        <f t="shared" si="57"/>
        <v>6.6488888888888925E-3</v>
      </c>
      <c r="O141" s="142">
        <v>-241860.3595167129</v>
      </c>
      <c r="P141" s="137">
        <v>36136.616157130564</v>
      </c>
      <c r="Q141" s="125"/>
      <c r="R141" s="135">
        <f t="shared" si="58"/>
        <v>0.4800000000000002</v>
      </c>
      <c r="S141" s="142">
        <v>-240901.14837142269</v>
      </c>
      <c r="T141" s="137">
        <v>36206.744646295039</v>
      </c>
      <c r="U141" s="125"/>
      <c r="V141" s="135">
        <f t="shared" si="59"/>
        <v>0.22986666666666647</v>
      </c>
      <c r="W141" s="142">
        <v>-240595.19399548759</v>
      </c>
      <c r="X141" s="137">
        <v>36163.663862916437</v>
      </c>
      <c r="Y141" s="125"/>
      <c r="Z141" s="135">
        <f t="shared" si="60"/>
        <v>0.27733333333333315</v>
      </c>
      <c r="AA141" s="142">
        <v>-239997.99141203437</v>
      </c>
      <c r="AB141" s="137">
        <v>36179.745141825355</v>
      </c>
      <c r="AC141" s="125"/>
      <c r="AD141" s="135">
        <f t="shared" si="61"/>
        <v>0.16000000000000006</v>
      </c>
      <c r="AE141" s="142">
        <v>-240715.19548832774</v>
      </c>
      <c r="AF141" s="137">
        <v>36160.442665463037</v>
      </c>
      <c r="AG141" s="125"/>
      <c r="AH141" s="135">
        <f t="shared" si="62"/>
        <v>0.38506666666666678</v>
      </c>
      <c r="AI141" s="142">
        <v>-239338.19405577937</v>
      </c>
      <c r="AJ141" s="137">
        <v>36288.705561697978</v>
      </c>
      <c r="AK141" s="129"/>
      <c r="AL141" s="135">
        <f t="shared" si="63"/>
        <v>5.4755555555555509E-2</v>
      </c>
      <c r="AM141" s="142">
        <v>-237709.95791986107</v>
      </c>
      <c r="AN141" s="137">
        <v>36223.221209200965</v>
      </c>
      <c r="AO141" s="125"/>
      <c r="AP141" s="135">
        <f t="shared" si="64"/>
        <v>3.5291281639212559E-2</v>
      </c>
      <c r="AQ141" s="142">
        <v>-243220.77356071235</v>
      </c>
      <c r="AR141" s="137">
        <v>36108.666599804092</v>
      </c>
      <c r="AT141" s="135">
        <f t="shared" si="65"/>
        <v>45421.344962560026</v>
      </c>
      <c r="AU141" s="142">
        <v>-241495.42547860387</v>
      </c>
      <c r="AV141" s="137">
        <v>36249.668405691045</v>
      </c>
      <c r="AW141" s="125"/>
      <c r="AX141" s="135">
        <f t="shared" si="66"/>
        <v>4073.6000000000026</v>
      </c>
      <c r="AY141" s="142">
        <v>-240791.26423459096</v>
      </c>
      <c r="AZ141" s="137">
        <v>36158.504017715866</v>
      </c>
      <c r="BA141" s="125"/>
      <c r="BB141" s="135">
        <f t="shared" si="67"/>
        <v>967.46666666666692</v>
      </c>
      <c r="BC141" s="142">
        <v>-240805.23302868419</v>
      </c>
      <c r="BD141" s="137">
        <v>36160.312490668744</v>
      </c>
      <c r="BE141" s="125"/>
      <c r="BF141" s="135">
        <f t="shared" si="68"/>
        <v>3587.1999999999985</v>
      </c>
      <c r="BG141" s="142">
        <v>-240726.75788860701</v>
      </c>
      <c r="BH141" s="137">
        <v>36150.15268966119</v>
      </c>
    </row>
    <row r="142" spans="1:60" x14ac:dyDescent="0.3">
      <c r="A142" s="110"/>
      <c r="B142" s="135">
        <f t="shared" si="54"/>
        <v>9.2473333333333296E-2</v>
      </c>
      <c r="C142" s="142">
        <v>-232662.74552262743</v>
      </c>
      <c r="D142" s="137">
        <v>36322.492421612587</v>
      </c>
      <c r="E142" s="125"/>
      <c r="F142" s="135">
        <f t="shared" si="55"/>
        <v>1.4519999999999993E-2</v>
      </c>
      <c r="G142" s="142">
        <v>-235854.59377683068</v>
      </c>
      <c r="H142" s="137">
        <v>36259.535925186829</v>
      </c>
      <c r="I142" s="125"/>
      <c r="J142" s="135">
        <f t="shared" si="56"/>
        <v>3.8692499999999998E-2</v>
      </c>
      <c r="K142" s="142">
        <v>-237905.31270062161</v>
      </c>
      <c r="L142" s="137">
        <v>36215.203401172184</v>
      </c>
      <c r="M142" s="125"/>
      <c r="N142" s="135">
        <f t="shared" si="57"/>
        <v>6.8566666666666706E-3</v>
      </c>
      <c r="O142" s="142">
        <v>-242398.80301422838</v>
      </c>
      <c r="P142" s="137">
        <v>36125.714814996609</v>
      </c>
      <c r="Q142" s="125"/>
      <c r="R142" s="135">
        <f t="shared" si="58"/>
        <v>0.49500000000000022</v>
      </c>
      <c r="S142" s="142">
        <v>-240956.34154424156</v>
      </c>
      <c r="T142" s="137">
        <v>36230.907548743133</v>
      </c>
      <c r="U142" s="125"/>
      <c r="V142" s="135">
        <f t="shared" si="59"/>
        <v>0.23704999999999979</v>
      </c>
      <c r="W142" s="142">
        <v>-240497.61156324993</v>
      </c>
      <c r="X142" s="137">
        <v>36166.28637367535</v>
      </c>
      <c r="Y142" s="125"/>
      <c r="Z142" s="135">
        <f t="shared" si="60"/>
        <v>0.28599999999999981</v>
      </c>
      <c r="AA142" s="142">
        <v>-239603.71694179677</v>
      </c>
      <c r="AB142" s="137">
        <v>36190.408292038628</v>
      </c>
      <c r="AC142" s="125"/>
      <c r="AD142" s="135">
        <f t="shared" si="61"/>
        <v>0.16500000000000006</v>
      </c>
      <c r="AE142" s="142">
        <v>-240677.50850239943</v>
      </c>
      <c r="AF142" s="137">
        <v>36161.454577495133</v>
      </c>
      <c r="AG142" s="125"/>
      <c r="AH142" s="135">
        <f t="shared" si="62"/>
        <v>0.39710000000000012</v>
      </c>
      <c r="AI142" s="142">
        <v>-238621.50158624508</v>
      </c>
      <c r="AJ142" s="137">
        <v>36353.848921847595</v>
      </c>
      <c r="AK142" s="129"/>
      <c r="AL142" s="135">
        <f t="shared" si="63"/>
        <v>5.6466666666666616E-2</v>
      </c>
      <c r="AM142" s="142">
        <v>-236199.01873350484</v>
      </c>
      <c r="AN142" s="137">
        <v>36255.622393102014</v>
      </c>
      <c r="AO142" s="125"/>
      <c r="AP142" s="135">
        <f t="shared" si="64"/>
        <v>3.6394134190437952E-2</v>
      </c>
      <c r="AQ142" s="142">
        <v>-244454.3426518997</v>
      </c>
      <c r="AR142" s="137">
        <v>36083.790479006784</v>
      </c>
      <c r="AT142" s="135">
        <f t="shared" si="65"/>
        <v>46840.761992640029</v>
      </c>
      <c r="AU142" s="142">
        <v>-241847.83505505617</v>
      </c>
      <c r="AV142" s="137">
        <v>36295.293187837218</v>
      </c>
      <c r="AW142" s="125"/>
      <c r="AX142" s="135">
        <f t="shared" si="66"/>
        <v>4200.9000000000024</v>
      </c>
      <c r="AY142" s="142">
        <v>-240791.59318903659</v>
      </c>
      <c r="AZ142" s="137">
        <v>36158.54660587442</v>
      </c>
      <c r="BA142" s="125"/>
      <c r="BB142" s="135">
        <f t="shared" si="67"/>
        <v>997.70000000000027</v>
      </c>
      <c r="BC142" s="142">
        <v>-240812.54638017708</v>
      </c>
      <c r="BD142" s="137">
        <v>36161.259315303818</v>
      </c>
      <c r="BE142" s="125"/>
      <c r="BF142" s="135">
        <f t="shared" si="68"/>
        <v>3699.2999999999984</v>
      </c>
      <c r="BG142" s="142">
        <v>-240694.83367006193</v>
      </c>
      <c r="BH142" s="137">
        <v>36146.019613792567</v>
      </c>
    </row>
    <row r="143" spans="1:60" x14ac:dyDescent="0.3">
      <c r="A143" s="110"/>
      <c r="B143" s="135">
        <f t="shared" si="54"/>
        <v>9.5275555555555516E-2</v>
      </c>
      <c r="C143" s="142">
        <v>-230073.09277180358</v>
      </c>
      <c r="D143" s="137">
        <v>36377.183615017202</v>
      </c>
      <c r="E143" s="125"/>
      <c r="F143" s="135">
        <f t="shared" si="55"/>
        <v>1.4959999999999992E-2</v>
      </c>
      <c r="G143" s="142">
        <v>-234253.73489868816</v>
      </c>
      <c r="H143" s="137">
        <v>36293.241619782937</v>
      </c>
      <c r="I143" s="125"/>
      <c r="J143" s="135">
        <f t="shared" si="56"/>
        <v>3.9864999999999998E-2</v>
      </c>
      <c r="K143" s="142">
        <v>-236958.72569010389</v>
      </c>
      <c r="L143" s="137">
        <v>36234.131587763382</v>
      </c>
      <c r="M143" s="125"/>
      <c r="N143" s="135">
        <f t="shared" si="57"/>
        <v>7.0644444444444487E-3</v>
      </c>
      <c r="O143" s="142">
        <v>-242939.6456369911</v>
      </c>
      <c r="P143" s="137">
        <v>36114.813472862676</v>
      </c>
      <c r="Q143" s="125"/>
      <c r="R143" s="135">
        <f t="shared" si="58"/>
        <v>0.51000000000000023</v>
      </c>
      <c r="S143" s="142">
        <v>-241011.48291446146</v>
      </c>
      <c r="T143" s="137">
        <v>36255.070451191386</v>
      </c>
      <c r="U143" s="125"/>
      <c r="V143" s="135">
        <f t="shared" si="59"/>
        <v>0.24423333333333311</v>
      </c>
      <c r="W143" s="142">
        <v>-240400.11148036493</v>
      </c>
      <c r="X143" s="137">
        <v>36168.908884434313</v>
      </c>
      <c r="Y143" s="125"/>
      <c r="Z143" s="135">
        <f t="shared" si="60"/>
        <v>0.29466666666666647</v>
      </c>
      <c r="AA143" s="142">
        <v>-239210.78854168029</v>
      </c>
      <c r="AB143" s="137">
        <v>36201.071442252003</v>
      </c>
      <c r="AC143" s="125"/>
      <c r="AD143" s="135">
        <f t="shared" si="61"/>
        <v>0.17000000000000007</v>
      </c>
      <c r="AE143" s="142">
        <v>-240639.83379696569</v>
      </c>
      <c r="AF143" s="137">
        <v>36162.466489527418</v>
      </c>
      <c r="AG143" s="125"/>
      <c r="AH143" s="135">
        <f t="shared" si="62"/>
        <v>0.40913333333333346</v>
      </c>
      <c r="AI143" s="142">
        <v>-237911.04125639718</v>
      </c>
      <c r="AJ143" s="137">
        <v>36418.992281997293</v>
      </c>
      <c r="AK143" s="129"/>
      <c r="AL143" s="135">
        <f t="shared" si="63"/>
        <v>5.8177777777777724E-2</v>
      </c>
      <c r="AM143" s="142">
        <v>-234707.1744110705</v>
      </c>
      <c r="AN143" s="137">
        <v>36288.02357700331</v>
      </c>
      <c r="AO143" s="125"/>
      <c r="AP143" s="135">
        <f t="shared" si="64"/>
        <v>3.7496986741663345E-2</v>
      </c>
      <c r="AQ143" s="142">
        <v>-245700.48664473734</v>
      </c>
      <c r="AR143" s="137">
        <v>36058.914358209615</v>
      </c>
      <c r="AT143" s="135">
        <f t="shared" si="65"/>
        <v>48260.179022720033</v>
      </c>
      <c r="AU143" s="142">
        <v>-242200.24463150903</v>
      </c>
      <c r="AV143" s="137">
        <v>36340.917969983464</v>
      </c>
      <c r="AW143" s="125"/>
      <c r="AX143" s="135">
        <f t="shared" si="66"/>
        <v>4328.2000000000025</v>
      </c>
      <c r="AY143" s="142">
        <v>-240791.92214348321</v>
      </c>
      <c r="AZ143" s="137">
        <v>36158.589194033106</v>
      </c>
      <c r="BA143" s="125"/>
      <c r="BB143" s="135">
        <f t="shared" si="67"/>
        <v>1027.9333333333336</v>
      </c>
      <c r="BC143" s="142">
        <v>-240819.85973167096</v>
      </c>
      <c r="BD143" s="137">
        <v>36162.206139939022</v>
      </c>
      <c r="BE143" s="125"/>
      <c r="BF143" s="135">
        <f t="shared" si="68"/>
        <v>3811.3999999999983</v>
      </c>
      <c r="BG143" s="142">
        <v>-240662.90945151649</v>
      </c>
      <c r="BH143" s="137">
        <v>36141.8865379239</v>
      </c>
    </row>
    <row r="144" spans="1:60" x14ac:dyDescent="0.3">
      <c r="A144" s="110"/>
      <c r="B144" s="135">
        <f t="shared" si="54"/>
        <v>9.8077777777777736E-2</v>
      </c>
      <c r="C144" s="142">
        <v>-227539.99147828011</v>
      </c>
      <c r="D144" s="137">
        <v>36431.874808421846</v>
      </c>
      <c r="E144" s="125"/>
      <c r="F144" s="135">
        <f t="shared" si="55"/>
        <v>1.5399999999999992E-2</v>
      </c>
      <c r="G144" s="142">
        <v>-232674.3688861024</v>
      </c>
      <c r="H144" s="137">
        <v>36326.947314379002</v>
      </c>
      <c r="I144" s="125"/>
      <c r="J144" s="135">
        <f t="shared" si="56"/>
        <v>4.1037499999999998E-2</v>
      </c>
      <c r="K144" s="142">
        <v>-236019.57833629771</v>
      </c>
      <c r="L144" s="137">
        <v>36253.05977435466</v>
      </c>
      <c r="M144" s="125"/>
      <c r="N144" s="135">
        <f t="shared" si="57"/>
        <v>7.2722222222222268E-3</v>
      </c>
      <c r="O144" s="142">
        <v>-243482.90345535841</v>
      </c>
      <c r="P144" s="137">
        <v>36103.912130728677</v>
      </c>
      <c r="Q144" s="125"/>
      <c r="R144" s="135">
        <f t="shared" si="58"/>
        <v>0.52500000000000024</v>
      </c>
      <c r="S144" s="142">
        <v>-241066.57255497022</v>
      </c>
      <c r="T144" s="137">
        <v>36279.233353639516</v>
      </c>
      <c r="U144" s="125"/>
      <c r="V144" s="135">
        <f t="shared" si="59"/>
        <v>0.25141666666666646</v>
      </c>
      <c r="W144" s="142">
        <v>-240302.69364263507</v>
      </c>
      <c r="X144" s="137">
        <v>36171.531395193182</v>
      </c>
      <c r="Y144" s="125"/>
      <c r="Z144" s="135">
        <f t="shared" si="60"/>
        <v>0.30333333333333312</v>
      </c>
      <c r="AA144" s="142">
        <v>-238819.19933012026</v>
      </c>
      <c r="AB144" s="137">
        <v>36211.734592465393</v>
      </c>
      <c r="AC144" s="125"/>
      <c r="AD144" s="135">
        <f t="shared" si="61"/>
        <v>0.17500000000000007</v>
      </c>
      <c r="AE144" s="142">
        <v>-240602.17136602552</v>
      </c>
      <c r="AF144" s="137">
        <v>36163.478401559529</v>
      </c>
      <c r="AG144" s="125"/>
      <c r="AH144" s="135">
        <f t="shared" si="62"/>
        <v>0.4211666666666668</v>
      </c>
      <c r="AI144" s="142">
        <v>-237206.73212896241</v>
      </c>
      <c r="AJ144" s="137">
        <v>36484.135642146925</v>
      </c>
      <c r="AK144" s="129"/>
      <c r="AL144" s="135">
        <f t="shared" si="63"/>
        <v>5.9888888888888832E-2</v>
      </c>
      <c r="AM144" s="142">
        <v>-233234.06525143227</v>
      </c>
      <c r="AN144" s="137">
        <v>36320.424760904381</v>
      </c>
      <c r="AO144" s="125"/>
      <c r="AP144" s="135">
        <f t="shared" si="64"/>
        <v>3.8599839292888738E-2</v>
      </c>
      <c r="AQ144" s="142">
        <v>-246959.39880556014</v>
      </c>
      <c r="AR144" s="137">
        <v>36034.038237412344</v>
      </c>
      <c r="AT144" s="135">
        <f t="shared" si="65"/>
        <v>49679.596052800036</v>
      </c>
      <c r="AU144" s="142">
        <v>-242552.65420796158</v>
      </c>
      <c r="AV144" s="137">
        <v>36386.542752129666</v>
      </c>
      <c r="AW144" s="125"/>
      <c r="AX144" s="135">
        <f t="shared" si="66"/>
        <v>4455.5000000000027</v>
      </c>
      <c r="AY144" s="142">
        <v>-240792.25109792897</v>
      </c>
      <c r="AZ144" s="137">
        <v>36158.631782191675</v>
      </c>
      <c r="BA144" s="125"/>
      <c r="BB144" s="135">
        <f t="shared" si="67"/>
        <v>1058.166666666667</v>
      </c>
      <c r="BC144" s="142">
        <v>-240827.17308316339</v>
      </c>
      <c r="BD144" s="137">
        <v>36163.152964574037</v>
      </c>
      <c r="BE144" s="125"/>
      <c r="BF144" s="135">
        <f t="shared" si="68"/>
        <v>3923.4999999999982</v>
      </c>
      <c r="BG144" s="142">
        <v>-240630.98523297071</v>
      </c>
      <c r="BH144" s="137">
        <v>36137.753462055189</v>
      </c>
    </row>
    <row r="145" spans="1:60" x14ac:dyDescent="0.3">
      <c r="A145" s="110"/>
      <c r="B145" s="135">
        <f t="shared" si="54"/>
        <v>0.10087999999999996</v>
      </c>
      <c r="C145" s="142">
        <v>-225061.60923868234</v>
      </c>
      <c r="D145" s="137">
        <v>36486.566001826504</v>
      </c>
      <c r="E145" s="125"/>
      <c r="F145" s="135">
        <f t="shared" si="55"/>
        <v>1.5839999999999993E-2</v>
      </c>
      <c r="G145" s="142">
        <v>-231116.06578584647</v>
      </c>
      <c r="H145" s="137">
        <v>36360.653008975089</v>
      </c>
      <c r="I145" s="125"/>
      <c r="J145" s="135">
        <f t="shared" si="56"/>
        <v>4.2209999999999998E-2</v>
      </c>
      <c r="K145" s="142">
        <v>-235087.78327506385</v>
      </c>
      <c r="L145" s="137">
        <v>36271.987960945757</v>
      </c>
      <c r="M145" s="125"/>
      <c r="N145" s="135">
        <f t="shared" si="57"/>
        <v>7.4800000000000049E-3</v>
      </c>
      <c r="O145" s="142">
        <v>-244028.59268353679</v>
      </c>
      <c r="P145" s="137">
        <v>36093.010788594751</v>
      </c>
      <c r="Q145" s="125"/>
      <c r="R145" s="135">
        <f t="shared" si="58"/>
        <v>0.54000000000000026</v>
      </c>
      <c r="S145" s="142">
        <v>-241121.61053853208</v>
      </c>
      <c r="T145" s="137">
        <v>36303.396256087748</v>
      </c>
      <c r="U145" s="125"/>
      <c r="V145" s="135">
        <f t="shared" si="59"/>
        <v>0.25859999999999977</v>
      </c>
      <c r="W145" s="142">
        <v>-240205.35794604174</v>
      </c>
      <c r="X145" s="137">
        <v>36174.153905952116</v>
      </c>
      <c r="Y145" s="125"/>
      <c r="Z145" s="135">
        <f t="shared" si="60"/>
        <v>0.31199999999999978</v>
      </c>
      <c r="AA145" s="142">
        <v>-238428.94247237942</v>
      </c>
      <c r="AB145" s="137">
        <v>36222.39774267879</v>
      </c>
      <c r="AC145" s="125"/>
      <c r="AD145" s="135">
        <f t="shared" si="61"/>
        <v>0.18000000000000008</v>
      </c>
      <c r="AE145" s="142">
        <v>-240564.52120358383</v>
      </c>
      <c r="AF145" s="137">
        <v>36164.490313591843</v>
      </c>
      <c r="AG145" s="125"/>
      <c r="AH145" s="135">
        <f t="shared" si="62"/>
        <v>0.43320000000000014</v>
      </c>
      <c r="AI145" s="142">
        <v>-236508.49466213278</v>
      </c>
      <c r="AJ145" s="137">
        <v>36549.279002296673</v>
      </c>
      <c r="AK145" s="129"/>
      <c r="AL145" s="135">
        <f t="shared" si="63"/>
        <v>6.159999999999994E-2</v>
      </c>
      <c r="AM145" s="142">
        <v>-231779.34053162936</v>
      </c>
      <c r="AN145" s="137">
        <v>36352.825944805685</v>
      </c>
      <c r="AO145" s="125"/>
      <c r="AP145" s="135">
        <f t="shared" si="64"/>
        <v>3.9702691844114131E-2</v>
      </c>
      <c r="AQ145" s="142">
        <v>-248231.27638156377</v>
      </c>
      <c r="AR145" s="137">
        <v>36009.16211661516</v>
      </c>
      <c r="AT145" s="135">
        <f t="shared" si="65"/>
        <v>51099.013082880039</v>
      </c>
      <c r="AU145" s="142">
        <v>-242905.06378441435</v>
      </c>
      <c r="AV145" s="137">
        <v>36432.167534275897</v>
      </c>
      <c r="AW145" s="125"/>
      <c r="AX145" s="135">
        <f t="shared" si="66"/>
        <v>4582.8000000000029</v>
      </c>
      <c r="AY145" s="142">
        <v>-240792.58005237504</v>
      </c>
      <c r="AZ145" s="137">
        <v>36158.674370350287</v>
      </c>
      <c r="BA145" s="125"/>
      <c r="BB145" s="135">
        <f t="shared" si="67"/>
        <v>1088.4000000000003</v>
      </c>
      <c r="BC145" s="142">
        <v>-240834.48643465614</v>
      </c>
      <c r="BD145" s="137">
        <v>36164.099789209096</v>
      </c>
      <c r="BE145" s="125"/>
      <c r="BF145" s="135">
        <f t="shared" si="68"/>
        <v>4035.5999999999981</v>
      </c>
      <c r="BG145" s="142">
        <v>-240599.06101442527</v>
      </c>
      <c r="BH145" s="137">
        <v>36133.620386186522</v>
      </c>
    </row>
    <row r="146" spans="1:60" x14ac:dyDescent="0.3">
      <c r="A146" s="110"/>
      <c r="B146" s="135">
        <f t="shared" si="54"/>
        <v>0.10368222222222218</v>
      </c>
      <c r="C146" s="142">
        <v>-222636.19196942297</v>
      </c>
      <c r="D146" s="137">
        <v>36541.257195231155</v>
      </c>
      <c r="E146" s="125"/>
      <c r="F146" s="135">
        <f t="shared" si="55"/>
        <v>1.6279999999999992E-2</v>
      </c>
      <c r="G146" s="142">
        <v>-229578.40703670683</v>
      </c>
      <c r="H146" s="137">
        <v>36394.35870357111</v>
      </c>
      <c r="I146" s="125"/>
      <c r="J146" s="135">
        <f t="shared" si="56"/>
        <v>4.3382499999999997E-2</v>
      </c>
      <c r="K146" s="142">
        <v>-234163.25450482033</v>
      </c>
      <c r="L146" s="137">
        <v>36290.916147536918</v>
      </c>
      <c r="M146" s="125"/>
      <c r="N146" s="135">
        <f t="shared" si="57"/>
        <v>7.687777777777783E-3</v>
      </c>
      <c r="O146" s="142">
        <v>-244576.72968120099</v>
      </c>
      <c r="P146" s="137">
        <v>36082.109446460716</v>
      </c>
      <c r="Q146" s="125"/>
      <c r="R146" s="135">
        <f t="shared" si="58"/>
        <v>0.55500000000000027</v>
      </c>
      <c r="S146" s="142">
        <v>-241176.59693776947</v>
      </c>
      <c r="T146" s="137">
        <v>36327.559158535987</v>
      </c>
      <c r="U146" s="125"/>
      <c r="V146" s="135">
        <f t="shared" si="59"/>
        <v>0.26578333333333309</v>
      </c>
      <c r="W146" s="142">
        <v>-240108.10428673573</v>
      </c>
      <c r="X146" s="137">
        <v>36176.776416711102</v>
      </c>
      <c r="Y146" s="125"/>
      <c r="Z146" s="135">
        <f t="shared" si="60"/>
        <v>0.32066666666666643</v>
      </c>
      <c r="AA146" s="142">
        <v>-238040.01118015056</v>
      </c>
      <c r="AB146" s="137">
        <v>36233.060892892172</v>
      </c>
      <c r="AC146" s="125"/>
      <c r="AD146" s="135">
        <f t="shared" si="61"/>
        <v>0.18500000000000008</v>
      </c>
      <c r="AE146" s="142">
        <v>-240526.88330364408</v>
      </c>
      <c r="AF146" s="137">
        <v>36165.502225623946</v>
      </c>
      <c r="AG146" s="125"/>
      <c r="AH146" s="135">
        <f t="shared" si="62"/>
        <v>0.44523333333333348</v>
      </c>
      <c r="AI146" s="142">
        <v>-235816.25067962878</v>
      </c>
      <c r="AJ146" s="137">
        <v>36614.422362446443</v>
      </c>
      <c r="AK146" s="129"/>
      <c r="AL146" s="135">
        <f t="shared" si="63"/>
        <v>6.3311111111111054E-2</v>
      </c>
      <c r="AM146" s="142">
        <v>-230342.65822847516</v>
      </c>
      <c r="AN146" s="137">
        <v>36385.227128706756</v>
      </c>
      <c r="AO146" s="125"/>
      <c r="AP146" s="135">
        <f t="shared" si="64"/>
        <v>4.0805544395339524E-2</v>
      </c>
      <c r="AQ146" s="142">
        <v>-249516.32070384399</v>
      </c>
      <c r="AR146" s="137">
        <v>35984.285995817889</v>
      </c>
      <c r="AT146" s="135">
        <f t="shared" si="65"/>
        <v>52518.430112960043</v>
      </c>
      <c r="AU146" s="142">
        <v>-243257.47336086698</v>
      </c>
      <c r="AV146" s="137">
        <v>36477.792316422114</v>
      </c>
      <c r="AW146" s="125"/>
      <c r="AX146" s="135">
        <f t="shared" si="66"/>
        <v>4710.1000000000031</v>
      </c>
      <c r="AY146" s="142">
        <v>-240792.90900682157</v>
      </c>
      <c r="AZ146" s="137">
        <v>36158.716958508958</v>
      </c>
      <c r="BA146" s="125"/>
      <c r="BB146" s="135">
        <f t="shared" si="67"/>
        <v>1118.6333333333337</v>
      </c>
      <c r="BC146" s="142">
        <v>-240841.79978614903</v>
      </c>
      <c r="BD146" s="137">
        <v>36165.04661384417</v>
      </c>
      <c r="BE146" s="125"/>
      <c r="BF146" s="135">
        <f t="shared" si="68"/>
        <v>4147.699999999998</v>
      </c>
      <c r="BG146" s="142">
        <v>-240567.1367958803</v>
      </c>
      <c r="BH146" s="137">
        <v>36129.487310317912</v>
      </c>
    </row>
    <row r="147" spans="1:60" x14ac:dyDescent="0.3">
      <c r="A147" s="110"/>
      <c r="B147" s="135">
        <f t="shared" si="54"/>
        <v>0.1064844444444444</v>
      </c>
      <c r="C147" s="142">
        <v>-220262.05976656202</v>
      </c>
      <c r="D147" s="137">
        <v>36595.948388635828</v>
      </c>
      <c r="E147" s="125"/>
      <c r="F147" s="135">
        <f t="shared" si="55"/>
        <v>1.6719999999999992E-2</v>
      </c>
      <c r="G147" s="142">
        <v>-228060.98509466846</v>
      </c>
      <c r="H147" s="137">
        <v>36428.06439816724</v>
      </c>
      <c r="I147" s="125"/>
      <c r="J147" s="135">
        <f t="shared" si="56"/>
        <v>4.4554999999999997E-2</v>
      </c>
      <c r="K147" s="142">
        <v>-233245.90736009195</v>
      </c>
      <c r="L147" s="137">
        <v>36309.844334128225</v>
      </c>
      <c r="M147" s="125"/>
      <c r="N147" s="135">
        <f t="shared" si="57"/>
        <v>7.8955555555555602E-3</v>
      </c>
      <c r="O147" s="142">
        <v>-245127.33095511585</v>
      </c>
      <c r="P147" s="137">
        <v>36071.208104326783</v>
      </c>
      <c r="Q147" s="125"/>
      <c r="R147" s="135">
        <f t="shared" si="58"/>
        <v>0.57000000000000028</v>
      </c>
      <c r="S147" s="142">
        <v>-241231.53182516687</v>
      </c>
      <c r="T147" s="137">
        <v>36351.722060984204</v>
      </c>
      <c r="U147" s="125"/>
      <c r="V147" s="135">
        <f t="shared" si="59"/>
        <v>0.27296666666666641</v>
      </c>
      <c r="W147" s="142">
        <v>-240010.93256104668</v>
      </c>
      <c r="X147" s="137">
        <v>36179.398927470029</v>
      </c>
      <c r="Y147" s="125"/>
      <c r="Z147" s="135">
        <f t="shared" si="60"/>
        <v>0.32933333333333309</v>
      </c>
      <c r="AA147" s="142">
        <v>-237652.39871116271</v>
      </c>
      <c r="AB147" s="137">
        <v>36243.724043105511</v>
      </c>
      <c r="AC147" s="125"/>
      <c r="AD147" s="135">
        <f t="shared" si="61"/>
        <v>0.19000000000000009</v>
      </c>
      <c r="AE147" s="142">
        <v>-240489.25766021706</v>
      </c>
      <c r="AF147" s="137">
        <v>36166.514137656144</v>
      </c>
      <c r="AG147" s="125"/>
      <c r="AH147" s="135">
        <f t="shared" si="62"/>
        <v>0.45726666666666682</v>
      </c>
      <c r="AI147" s="142">
        <v>-235129.92334153026</v>
      </c>
      <c r="AJ147" s="137">
        <v>36679.565722595988</v>
      </c>
      <c r="AK147" s="129"/>
      <c r="AL147" s="135">
        <f t="shared" si="63"/>
        <v>6.5022222222222162E-2</v>
      </c>
      <c r="AM147" s="142">
        <v>-228923.68475046678</v>
      </c>
      <c r="AN147" s="137">
        <v>36417.628312607958</v>
      </c>
      <c r="AO147" s="125"/>
      <c r="AP147" s="135">
        <f t="shared" si="64"/>
        <v>4.1908396946564917E-2</v>
      </c>
      <c r="AQ147" s="142">
        <v>-250814.73729362126</v>
      </c>
      <c r="AR147" s="137">
        <v>35959.409875020683</v>
      </c>
      <c r="AT147" s="135">
        <f t="shared" si="65"/>
        <v>53937.847143040046</v>
      </c>
      <c r="AU147" s="142">
        <v>-243609.88293732019</v>
      </c>
      <c r="AV147" s="137">
        <v>36523.417098568403</v>
      </c>
      <c r="AW147" s="125"/>
      <c r="AX147" s="135">
        <f t="shared" si="66"/>
        <v>4837.4000000000033</v>
      </c>
      <c r="AY147" s="142">
        <v>-240793.23796126767</v>
      </c>
      <c r="AZ147" s="137">
        <v>36158.75954666757</v>
      </c>
      <c r="BA147" s="125"/>
      <c r="BB147" s="135">
        <f t="shared" si="67"/>
        <v>1148.866666666667</v>
      </c>
      <c r="BC147" s="142">
        <v>-240849.11313764236</v>
      </c>
      <c r="BD147" s="137">
        <v>36165.993438479301</v>
      </c>
      <c r="BE147" s="125"/>
      <c r="BF147" s="135">
        <f t="shared" si="68"/>
        <v>4259.7999999999984</v>
      </c>
      <c r="BG147" s="142">
        <v>-240535.21257733507</v>
      </c>
      <c r="BH147" s="137">
        <v>36125.354234449274</v>
      </c>
    </row>
    <row r="148" spans="1:60" x14ac:dyDescent="0.3">
      <c r="A148" s="110"/>
      <c r="B148" s="135">
        <f t="shared" si="54"/>
        <v>0.10928666666666662</v>
      </c>
      <c r="C148" s="142">
        <v>-217937.60302553314</v>
      </c>
      <c r="D148" s="137">
        <v>36650.639582040458</v>
      </c>
      <c r="E148" s="125"/>
      <c r="F148" s="135">
        <f t="shared" si="55"/>
        <v>1.7159999999999991E-2</v>
      </c>
      <c r="G148" s="142">
        <v>-226563.40307278134</v>
      </c>
      <c r="H148" s="137">
        <v>36461.770092763261</v>
      </c>
      <c r="I148" s="125"/>
      <c r="J148" s="135">
        <f t="shared" si="56"/>
        <v>4.5727499999999997E-2</v>
      </c>
      <c r="K148" s="142">
        <v>-232335.65848565102</v>
      </c>
      <c r="L148" s="137">
        <v>36328.77252071938</v>
      </c>
      <c r="M148" s="125"/>
      <c r="N148" s="135">
        <f t="shared" si="57"/>
        <v>8.1033333333333374E-3</v>
      </c>
      <c r="O148" s="142">
        <v>-245680.41316080489</v>
      </c>
      <c r="P148" s="137">
        <v>36060.306762192769</v>
      </c>
      <c r="Q148" s="125"/>
      <c r="R148" s="135">
        <f t="shared" si="58"/>
        <v>0.5850000000000003</v>
      </c>
      <c r="S148" s="142">
        <v>-241286.41527307901</v>
      </c>
      <c r="T148" s="137">
        <v>36375.884963432341</v>
      </c>
      <c r="U148" s="125"/>
      <c r="V148" s="135">
        <f t="shared" si="59"/>
        <v>0.28014999999999973</v>
      </c>
      <c r="W148" s="142">
        <v>-239913.8426654794</v>
      </c>
      <c r="X148" s="137">
        <v>36182.021438228963</v>
      </c>
      <c r="Y148" s="125"/>
      <c r="Z148" s="135">
        <f t="shared" si="60"/>
        <v>0.33799999999999975</v>
      </c>
      <c r="AA148" s="142">
        <v>-237266.09836879597</v>
      </c>
      <c r="AB148" s="137">
        <v>36254.387193318878</v>
      </c>
      <c r="AC148" s="125"/>
      <c r="AD148" s="135">
        <f t="shared" si="61"/>
        <v>0.19500000000000009</v>
      </c>
      <c r="AE148" s="142">
        <v>-240451.64426731624</v>
      </c>
      <c r="AF148" s="137">
        <v>36167.526049688429</v>
      </c>
      <c r="AG148" s="125"/>
      <c r="AH148" s="135">
        <f t="shared" si="62"/>
        <v>0.46930000000000016</v>
      </c>
      <c r="AI148" s="142">
        <v>-234449.4371158407</v>
      </c>
      <c r="AJ148" s="137">
        <v>36744.709082745801</v>
      </c>
      <c r="AK148" s="129"/>
      <c r="AL148" s="135">
        <f t="shared" si="63"/>
        <v>6.673333333333327E-2</v>
      </c>
      <c r="AM148" s="142">
        <v>-227522.09467956398</v>
      </c>
      <c r="AN148" s="137">
        <v>36450.029496509182</v>
      </c>
      <c r="AO148" s="125"/>
      <c r="AP148" s="135">
        <f t="shared" si="64"/>
        <v>4.301124949779031E-2</v>
      </c>
      <c r="AQ148" s="142">
        <v>-252126.73597182735</v>
      </c>
      <c r="AR148" s="137">
        <v>35934.533754223463</v>
      </c>
      <c r="AT148" s="135">
        <f t="shared" si="65"/>
        <v>55357.264173120049</v>
      </c>
      <c r="AU148" s="142">
        <v>-243962.29251377273</v>
      </c>
      <c r="AV148" s="137">
        <v>36569.041880714605</v>
      </c>
      <c r="AW148" s="125"/>
      <c r="AX148" s="135">
        <f t="shared" si="66"/>
        <v>4964.7000000000035</v>
      </c>
      <c r="AY148" s="142">
        <v>-240793.56691571375</v>
      </c>
      <c r="AZ148" s="137">
        <v>36158.802134826183</v>
      </c>
      <c r="BA148" s="125"/>
      <c r="BB148" s="135">
        <f t="shared" si="67"/>
        <v>1179.1000000000004</v>
      </c>
      <c r="BC148" s="142">
        <v>-240856.42648913557</v>
      </c>
      <c r="BD148" s="137">
        <v>36166.940263114418</v>
      </c>
      <c r="BE148" s="125"/>
      <c r="BF148" s="135">
        <f t="shared" si="68"/>
        <v>4371.8999999999987</v>
      </c>
      <c r="BG148" s="142">
        <v>-240503.28835878964</v>
      </c>
      <c r="BH148" s="137">
        <v>36121.221158580607</v>
      </c>
    </row>
    <row r="149" spans="1:60" x14ac:dyDescent="0.3">
      <c r="A149" s="110"/>
      <c r="B149" s="135">
        <f t="shared" si="54"/>
        <v>0.11208888888888884</v>
      </c>
      <c r="C149" s="142">
        <v>-215661.27880191657</v>
      </c>
      <c r="D149" s="137">
        <v>36705.330775445087</v>
      </c>
      <c r="E149" s="125"/>
      <c r="F149" s="135">
        <f t="shared" si="55"/>
        <v>1.7599999999999991E-2</v>
      </c>
      <c r="G149" s="142">
        <v>-225085.27439509792</v>
      </c>
      <c r="H149" s="137">
        <v>36495.475787359392</v>
      </c>
      <c r="I149" s="125"/>
      <c r="J149" s="135">
        <f t="shared" si="56"/>
        <v>4.6899999999999997E-2</v>
      </c>
      <c r="K149" s="142">
        <v>-231432.42581127805</v>
      </c>
      <c r="L149" s="137">
        <v>36347.70070731052</v>
      </c>
      <c r="M149" s="125"/>
      <c r="N149" s="135">
        <f t="shared" si="57"/>
        <v>8.3111111111111146E-3</v>
      </c>
      <c r="O149" s="142">
        <v>-246235.99310422465</v>
      </c>
      <c r="P149" s="137">
        <v>36049.405420058785</v>
      </c>
      <c r="Q149" s="125"/>
      <c r="R149" s="135">
        <f t="shared" si="58"/>
        <v>0.60000000000000031</v>
      </c>
      <c r="S149" s="142">
        <v>-241341.24735372167</v>
      </c>
      <c r="T149" s="137">
        <v>36400.0478658805</v>
      </c>
      <c r="U149" s="125"/>
      <c r="V149" s="135">
        <f t="shared" si="59"/>
        <v>0.28733333333333305</v>
      </c>
      <c r="W149" s="142">
        <v>-239816.83449670629</v>
      </c>
      <c r="X149" s="137">
        <v>36184.643948987927</v>
      </c>
      <c r="Y149" s="125"/>
      <c r="Z149" s="135">
        <f t="shared" si="60"/>
        <v>0.3466666666666664</v>
      </c>
      <c r="AA149" s="142">
        <v>-236881.10350168325</v>
      </c>
      <c r="AB149" s="137">
        <v>36265.050343532268</v>
      </c>
      <c r="AC149" s="125"/>
      <c r="AD149" s="135">
        <f t="shared" si="61"/>
        <v>0.20000000000000009</v>
      </c>
      <c r="AE149" s="142">
        <v>-240414.04311896034</v>
      </c>
      <c r="AF149" s="137">
        <v>36168.537961720584</v>
      </c>
      <c r="AG149" s="125"/>
      <c r="AH149" s="135">
        <f t="shared" si="62"/>
        <v>0.4813333333333335</v>
      </c>
      <c r="AI149" s="142">
        <v>-233774.71775076352</v>
      </c>
      <c r="AJ149" s="137">
        <v>36809.852442895368</v>
      </c>
      <c r="AK149" s="129"/>
      <c r="AL149" s="135">
        <f t="shared" si="63"/>
        <v>6.8444444444444377E-2</v>
      </c>
      <c r="AM149" s="142">
        <v>-226137.57052236955</v>
      </c>
      <c r="AN149" s="137">
        <v>36482.43068041034</v>
      </c>
      <c r="AO149" s="125"/>
      <c r="AP149" s="135">
        <f t="shared" si="64"/>
        <v>4.4114102049015703E-2</v>
      </c>
      <c r="AQ149" s="142">
        <v>-253452.53097213749</v>
      </c>
      <c r="AR149" s="137">
        <v>35909.657633426206</v>
      </c>
      <c r="AT149" s="135">
        <f t="shared" si="65"/>
        <v>56776.681203200053</v>
      </c>
      <c r="AU149" s="142">
        <v>-244314.70209022515</v>
      </c>
      <c r="AV149" s="137">
        <v>36614.666662860793</v>
      </c>
      <c r="AW149" s="125"/>
      <c r="AX149" s="135">
        <f t="shared" si="66"/>
        <v>5092.0000000000036</v>
      </c>
      <c r="AY149" s="142">
        <v>-240793.89587016017</v>
      </c>
      <c r="AZ149" s="137">
        <v>36158.844722984839</v>
      </c>
      <c r="BA149" s="125"/>
      <c r="BB149" s="135">
        <f t="shared" si="67"/>
        <v>1209.3333333333337</v>
      </c>
      <c r="BC149" s="142">
        <v>-240863.739840628</v>
      </c>
      <c r="BD149" s="137">
        <v>36167.887087749434</v>
      </c>
      <c r="BE149" s="125"/>
      <c r="BF149" s="135">
        <f t="shared" si="68"/>
        <v>4483.9999999999991</v>
      </c>
      <c r="BG149" s="142">
        <v>-240471.36414024408</v>
      </c>
      <c r="BH149" s="137">
        <v>36117.088082711925</v>
      </c>
    </row>
    <row r="150" spans="1:60" x14ac:dyDescent="0.3">
      <c r="A150" s="110"/>
      <c r="B150" s="135">
        <f t="shared" si="54"/>
        <v>0.11489111111111106</v>
      </c>
      <c r="C150" s="142">
        <v>-213431.60739598775</v>
      </c>
      <c r="D150" s="137">
        <v>36760.02196884976</v>
      </c>
      <c r="E150" s="125"/>
      <c r="F150" s="135">
        <f t="shared" si="55"/>
        <v>1.803999999999999E-2</v>
      </c>
      <c r="G150" s="142">
        <v>-223626.2224639788</v>
      </c>
      <c r="H150" s="137">
        <v>36529.181481955398</v>
      </c>
      <c r="I150" s="125"/>
      <c r="J150" s="135">
        <f t="shared" si="56"/>
        <v>4.8072499999999997E-2</v>
      </c>
      <c r="K150" s="142">
        <v>-230536.12852708632</v>
      </c>
      <c r="L150" s="137">
        <v>36366.628893901769</v>
      </c>
      <c r="M150" s="125"/>
      <c r="N150" s="135">
        <f t="shared" si="57"/>
        <v>8.5188888888888918E-3</v>
      </c>
      <c r="O150" s="142">
        <v>-246794.08774346803</v>
      </c>
      <c r="P150" s="137">
        <v>36038.504077924837</v>
      </c>
      <c r="Q150" s="125"/>
      <c r="R150" s="135">
        <f t="shared" si="58"/>
        <v>0.61500000000000032</v>
      </c>
      <c r="S150" s="142">
        <v>-241396.02813917436</v>
      </c>
      <c r="T150" s="137">
        <v>36424.210768328703</v>
      </c>
      <c r="U150" s="125"/>
      <c r="V150" s="135">
        <f t="shared" si="59"/>
        <v>0.29451666666666637</v>
      </c>
      <c r="W150" s="142">
        <v>-239719.90795158595</v>
      </c>
      <c r="X150" s="137">
        <v>36187.266459746817</v>
      </c>
      <c r="Y150" s="125"/>
      <c r="Z150" s="135">
        <f t="shared" si="60"/>
        <v>0.35533333333333306</v>
      </c>
      <c r="AA150" s="142">
        <v>-236497.40750334944</v>
      </c>
      <c r="AB150" s="137">
        <v>36275.713493745643</v>
      </c>
      <c r="AC150" s="125"/>
      <c r="AD150" s="135">
        <f t="shared" si="61"/>
        <v>0.2050000000000001</v>
      </c>
      <c r="AE150" s="142">
        <v>-240376.45420917223</v>
      </c>
      <c r="AF150" s="137">
        <v>36169.549873752854</v>
      </c>
      <c r="AG150" s="125"/>
      <c r="AH150" s="135">
        <f t="shared" si="62"/>
        <v>0.49336666666666684</v>
      </c>
      <c r="AI150" s="142">
        <v>-233105.69224771127</v>
      </c>
      <c r="AJ150" s="137">
        <v>36874.995803045065</v>
      </c>
      <c r="AK150" s="129"/>
      <c r="AL150" s="135">
        <f t="shared" si="63"/>
        <v>7.0155555555555485E-2</v>
      </c>
      <c r="AM150" s="142">
        <v>-224769.80247037412</v>
      </c>
      <c r="AN150" s="137">
        <v>36514.83186431152</v>
      </c>
      <c r="AO150" s="125"/>
      <c r="AP150" s="135">
        <f t="shared" si="64"/>
        <v>4.5216954600241097E-2</v>
      </c>
      <c r="AQ150" s="142">
        <v>-254792.34105759423</v>
      </c>
      <c r="AR150" s="137">
        <v>35884.781512628972</v>
      </c>
      <c r="AT150" s="135">
        <f t="shared" si="65"/>
        <v>58196.098233280056</v>
      </c>
      <c r="AU150" s="142">
        <v>-244667.11166667769</v>
      </c>
      <c r="AV150" s="137">
        <v>36660.291445006995</v>
      </c>
      <c r="AW150" s="125"/>
      <c r="AX150" s="135">
        <f t="shared" si="66"/>
        <v>5219.3000000000038</v>
      </c>
      <c r="AY150" s="142">
        <v>-240794.2248246058</v>
      </c>
      <c r="AZ150" s="137">
        <v>36158.887311143393</v>
      </c>
      <c r="BA150" s="125"/>
      <c r="BB150" s="135">
        <f t="shared" si="67"/>
        <v>1239.5666666666671</v>
      </c>
      <c r="BC150" s="142">
        <v>-240871.05319212133</v>
      </c>
      <c r="BD150" s="137">
        <v>36168.833912384565</v>
      </c>
      <c r="BE150" s="125"/>
      <c r="BF150" s="135">
        <f t="shared" si="68"/>
        <v>4596.0999999999995</v>
      </c>
      <c r="BG150" s="142">
        <v>-240439.43992169888</v>
      </c>
      <c r="BH150" s="137">
        <v>36112.955006843287</v>
      </c>
    </row>
    <row r="151" spans="1:60" x14ac:dyDescent="0.3">
      <c r="A151" s="110"/>
      <c r="B151" s="135">
        <f t="shared" si="54"/>
        <v>0.11769333333333327</v>
      </c>
      <c r="C151" s="142">
        <v>-211247.16914510052</v>
      </c>
      <c r="D151" s="137">
        <v>36814.713162254418</v>
      </c>
      <c r="E151" s="125"/>
      <c r="F151" s="135">
        <f t="shared" si="55"/>
        <v>1.8479999999999989E-2</v>
      </c>
      <c r="G151" s="142">
        <v>-222185.8803401966</v>
      </c>
      <c r="H151" s="137">
        <v>36562.887176551543</v>
      </c>
      <c r="I151" s="125"/>
      <c r="J151" s="135">
        <f t="shared" si="56"/>
        <v>4.9244999999999997E-2</v>
      </c>
      <c r="K151" s="142">
        <v>-229646.68705943093</v>
      </c>
      <c r="L151" s="137">
        <v>36385.557080492901</v>
      </c>
      <c r="M151" s="125"/>
      <c r="N151" s="135">
        <f t="shared" si="57"/>
        <v>8.726666666666669E-3</v>
      </c>
      <c r="O151" s="142">
        <v>-247354.71419048656</v>
      </c>
      <c r="P151" s="137">
        <v>36027.602735790832</v>
      </c>
      <c r="Q151" s="125"/>
      <c r="R151" s="135">
        <f t="shared" si="58"/>
        <v>0.63000000000000034</v>
      </c>
      <c r="S151" s="142">
        <v>-241450.75770138088</v>
      </c>
      <c r="T151" s="137">
        <v>36448.373670776971</v>
      </c>
      <c r="U151" s="125"/>
      <c r="V151" s="135">
        <f t="shared" si="59"/>
        <v>0.30169999999999969</v>
      </c>
      <c r="W151" s="142">
        <v>-239623.06292713748</v>
      </c>
      <c r="X151" s="137">
        <v>36189.88897050573</v>
      </c>
      <c r="Y151" s="125"/>
      <c r="Z151" s="135">
        <f t="shared" si="60"/>
        <v>0.36399999999999971</v>
      </c>
      <c r="AA151" s="142">
        <v>-236115.00381180827</v>
      </c>
      <c r="AB151" s="137">
        <v>36286.376643958902</v>
      </c>
      <c r="AC151" s="125"/>
      <c r="AD151" s="135">
        <f t="shared" si="61"/>
        <v>0.2100000000000001</v>
      </c>
      <c r="AE151" s="142">
        <v>-240338.8775319781</v>
      </c>
      <c r="AF151" s="137">
        <v>36170.561785784979</v>
      </c>
      <c r="AG151" s="125"/>
      <c r="AH151" s="135">
        <f t="shared" si="62"/>
        <v>0.50540000000000018</v>
      </c>
      <c r="AI151" s="142">
        <v>-232442.28883496151</v>
      </c>
      <c r="AJ151" s="137">
        <v>36940.13916319469</v>
      </c>
      <c r="AK151" s="129"/>
      <c r="AL151" s="135">
        <f t="shared" si="63"/>
        <v>7.1866666666666593E-2</v>
      </c>
      <c r="AM151" s="142">
        <v>-223418.48816883474</v>
      </c>
      <c r="AN151" s="137">
        <v>36547.233048212642</v>
      </c>
      <c r="AO151" s="125"/>
      <c r="AP151" s="135">
        <f t="shared" si="64"/>
        <v>4.631980715146649E-2</v>
      </c>
      <c r="AQ151" s="142">
        <v>-256146.38964093148</v>
      </c>
      <c r="AR151" s="137">
        <v>35859.905391831635</v>
      </c>
      <c r="AT151" s="135">
        <f t="shared" si="65"/>
        <v>59615.515263360059</v>
      </c>
      <c r="AU151" s="142">
        <v>-245019.52124313079</v>
      </c>
      <c r="AV151" s="137">
        <v>36705.91622715327</v>
      </c>
      <c r="AW151" s="125"/>
      <c r="AX151" s="135">
        <f t="shared" si="66"/>
        <v>5346.600000000004</v>
      </c>
      <c r="AY151" s="142">
        <v>-240794.55377905234</v>
      </c>
      <c r="AZ151" s="137">
        <v>36158.929899302064</v>
      </c>
      <c r="BA151" s="125"/>
      <c r="BB151" s="135">
        <f t="shared" si="67"/>
        <v>1269.8000000000004</v>
      </c>
      <c r="BC151" s="142">
        <v>-240878.36654361454</v>
      </c>
      <c r="BD151" s="137">
        <v>36169.780737019682</v>
      </c>
      <c r="BE151" s="125"/>
      <c r="BF151" s="135">
        <f t="shared" si="68"/>
        <v>4708.2</v>
      </c>
      <c r="BG151" s="142">
        <v>-240407.51570315321</v>
      </c>
      <c r="BH151" s="137">
        <v>36108.821930974591</v>
      </c>
    </row>
    <row r="152" spans="1:60" x14ac:dyDescent="0.3">
      <c r="A152" s="110"/>
      <c r="B152" s="135">
        <f t="shared" si="54"/>
        <v>0.12049555555555549</v>
      </c>
      <c r="C152" s="142">
        <v>-209106.60140935358</v>
      </c>
      <c r="D152" s="137">
        <v>36869.404355659055</v>
      </c>
      <c r="E152" s="125"/>
      <c r="F152" s="135">
        <f t="shared" si="55"/>
        <v>1.8919999999999989E-2</v>
      </c>
      <c r="G152" s="142">
        <v>-220763.89043529835</v>
      </c>
      <c r="H152" s="137">
        <v>36596.592871147601</v>
      </c>
      <c r="I152" s="125"/>
      <c r="J152" s="135">
        <f t="shared" si="56"/>
        <v>5.0417499999999997E-2</v>
      </c>
      <c r="K152" s="142">
        <v>-228764.02304734921</v>
      </c>
      <c r="L152" s="137">
        <v>36404.485267084157</v>
      </c>
      <c r="M152" s="125"/>
      <c r="N152" s="135">
        <f t="shared" si="57"/>
        <v>8.9344444444444462E-3</v>
      </c>
      <c r="O152" s="142">
        <v>-247917.88971284803</v>
      </c>
      <c r="P152" s="137">
        <v>36016.701393656855</v>
      </c>
      <c r="Q152" s="125"/>
      <c r="R152" s="135">
        <f t="shared" si="58"/>
        <v>0.64500000000000035</v>
      </c>
      <c r="S152" s="142">
        <v>-241505.4361121603</v>
      </c>
      <c r="T152" s="137">
        <v>36472.536573225167</v>
      </c>
      <c r="U152" s="125"/>
      <c r="V152" s="135">
        <f t="shared" si="59"/>
        <v>0.30888333333333301</v>
      </c>
      <c r="W152" s="142">
        <v>-239526.29932056143</v>
      </c>
      <c r="X152" s="137">
        <v>36192.511481264635</v>
      </c>
      <c r="Y152" s="125"/>
      <c r="Z152" s="135">
        <f t="shared" si="60"/>
        <v>0.37266666666666637</v>
      </c>
      <c r="AA152" s="142">
        <v>-235733.88590921299</v>
      </c>
      <c r="AB152" s="137">
        <v>36297.039794172306</v>
      </c>
      <c r="AC152" s="125"/>
      <c r="AD152" s="135">
        <f t="shared" si="61"/>
        <v>0.21500000000000011</v>
      </c>
      <c r="AE152" s="142">
        <v>-240301.31308140469</v>
      </c>
      <c r="AF152" s="137">
        <v>36171.573697817206</v>
      </c>
      <c r="AG152" s="125"/>
      <c r="AH152" s="135">
        <f t="shared" si="62"/>
        <v>0.51743333333333352</v>
      </c>
      <c r="AI152" s="142">
        <v>-231784.43694200701</v>
      </c>
      <c r="AJ152" s="137">
        <v>37005.282523344395</v>
      </c>
      <c r="AK152" s="129"/>
      <c r="AL152" s="135">
        <f t="shared" si="63"/>
        <v>7.35777777777777E-2</v>
      </c>
      <c r="AM152" s="142">
        <v>-222083.33249394345</v>
      </c>
      <c r="AN152" s="137">
        <v>36579.634232113829</v>
      </c>
      <c r="AO152" s="125"/>
      <c r="AP152" s="135">
        <f t="shared" si="64"/>
        <v>4.7422659702691883E-2</v>
      </c>
      <c r="AQ152" s="142">
        <v>-257514.9049087849</v>
      </c>
      <c r="AR152" s="137">
        <v>35835.029271034575</v>
      </c>
      <c r="AT152" s="135">
        <f t="shared" si="65"/>
        <v>61034.932293440062</v>
      </c>
      <c r="AU152" s="142">
        <v>-245371.93081958353</v>
      </c>
      <c r="AV152" s="137">
        <v>36751.541009299501</v>
      </c>
      <c r="AW152" s="125"/>
      <c r="AX152" s="135">
        <f t="shared" si="66"/>
        <v>5473.9000000000042</v>
      </c>
      <c r="AY152" s="142">
        <v>-240794.88273349853</v>
      </c>
      <c r="AZ152" s="137">
        <v>36158.972487460691</v>
      </c>
      <c r="BA152" s="125"/>
      <c r="BB152" s="135">
        <f t="shared" si="67"/>
        <v>1300.0333333333338</v>
      </c>
      <c r="BC152" s="142">
        <v>-240885.67989510752</v>
      </c>
      <c r="BD152" s="137">
        <v>36170.72756165477</v>
      </c>
      <c r="BE152" s="125"/>
      <c r="BF152" s="135">
        <f t="shared" si="68"/>
        <v>4820.3</v>
      </c>
      <c r="BG152" s="142">
        <v>-240375.59148460801</v>
      </c>
      <c r="BH152" s="137">
        <v>36104.688855105953</v>
      </c>
    </row>
    <row r="153" spans="1:60" x14ac:dyDescent="0.3">
      <c r="A153" s="110"/>
      <c r="B153" s="135">
        <f t="shared" si="54"/>
        <v>0.12329777777777771</v>
      </c>
      <c r="C153" s="142">
        <v>-207008.5957370571</v>
      </c>
      <c r="D153" s="137">
        <v>36924.095549063772</v>
      </c>
      <c r="E153" s="125"/>
      <c r="F153" s="135">
        <f t="shared" si="55"/>
        <v>1.9359999999999988E-2</v>
      </c>
      <c r="G153" s="142">
        <v>-219359.90421561321</v>
      </c>
      <c r="H153" s="137">
        <v>36630.298565743731</v>
      </c>
      <c r="I153" s="125"/>
      <c r="J153" s="135">
        <f t="shared" si="56"/>
        <v>5.1589999999999997E-2</v>
      </c>
      <c r="K153" s="142">
        <v>-227888.05931955521</v>
      </c>
      <c r="L153" s="137">
        <v>36423.413453675392</v>
      </c>
      <c r="M153" s="125"/>
      <c r="N153" s="135">
        <f t="shared" si="57"/>
        <v>9.1422222222222235E-3</v>
      </c>
      <c r="O153" s="142">
        <v>-248483.63173549547</v>
      </c>
      <c r="P153" s="137">
        <v>36005.800051522907</v>
      </c>
      <c r="Q153" s="125"/>
      <c r="R153" s="135">
        <f t="shared" si="58"/>
        <v>0.66000000000000036</v>
      </c>
      <c r="S153" s="142">
        <v>-241560.06344317875</v>
      </c>
      <c r="T153" s="137">
        <v>36496.699475673311</v>
      </c>
      <c r="U153" s="125"/>
      <c r="V153" s="135">
        <f t="shared" si="59"/>
        <v>0.31606666666666633</v>
      </c>
      <c r="W153" s="142">
        <v>-239429.61702922863</v>
      </c>
      <c r="X153" s="137">
        <v>36195.133992023533</v>
      </c>
      <c r="Y153" s="125"/>
      <c r="Z153" s="135">
        <f t="shared" si="60"/>
        <v>0.38133333333333302</v>
      </c>
      <c r="AA153" s="142">
        <v>-235354.04732146315</v>
      </c>
      <c r="AB153" s="137">
        <v>36307.70294438563</v>
      </c>
      <c r="AC153" s="125"/>
      <c r="AD153" s="135">
        <f t="shared" si="61"/>
        <v>0.22000000000000011</v>
      </c>
      <c r="AE153" s="142">
        <v>-240263.76085148746</v>
      </c>
      <c r="AF153" s="137">
        <v>36172.585609849455</v>
      </c>
      <c r="AG153" s="125"/>
      <c r="AH153" s="135">
        <f t="shared" si="62"/>
        <v>0.52946666666666686</v>
      </c>
      <c r="AI153" s="142">
        <v>-231132.06717451065</v>
      </c>
      <c r="AJ153" s="137">
        <v>37070.425883494187</v>
      </c>
      <c r="AK153" s="129"/>
      <c r="AL153" s="135">
        <f t="shared" si="63"/>
        <v>7.5288888888888808E-2</v>
      </c>
      <c r="AM153" s="142">
        <v>-220764.04733796185</v>
      </c>
      <c r="AN153" s="137">
        <v>36612.03541601498</v>
      </c>
      <c r="AO153" s="125"/>
      <c r="AP153" s="135">
        <f t="shared" si="64"/>
        <v>4.8525512253917276E-2</v>
      </c>
      <c r="AQ153" s="142">
        <v>-258898.11994987074</v>
      </c>
      <c r="AR153" s="137">
        <v>35810.153150237413</v>
      </c>
      <c r="AT153" s="135">
        <f t="shared" si="65"/>
        <v>62454.349323520066</v>
      </c>
      <c r="AU153" s="142">
        <v>-245724.34039603596</v>
      </c>
      <c r="AV153" s="137">
        <v>36797.165791445688</v>
      </c>
      <c r="AW153" s="125"/>
      <c r="AX153" s="135">
        <f t="shared" si="66"/>
        <v>5601.2000000000044</v>
      </c>
      <c r="AY153" s="142">
        <v>-240795.21168794471</v>
      </c>
      <c r="AZ153" s="137">
        <v>36159.015075619318</v>
      </c>
      <c r="BA153" s="125"/>
      <c r="BB153" s="135">
        <f t="shared" si="67"/>
        <v>1330.2666666666671</v>
      </c>
      <c r="BC153" s="142">
        <v>-240892.99324660096</v>
      </c>
      <c r="BD153" s="137">
        <v>36171.674386289917</v>
      </c>
      <c r="BE153" s="125"/>
      <c r="BF153" s="135">
        <f t="shared" si="68"/>
        <v>4932.4000000000005</v>
      </c>
      <c r="BG153" s="142">
        <v>-240343.66726606304</v>
      </c>
      <c r="BH153" s="137">
        <v>36100.555779237344</v>
      </c>
    </row>
    <row r="154" spans="1:60" ht="15" thickBot="1" x14ac:dyDescent="0.35">
      <c r="A154" s="110"/>
      <c r="B154" s="135">
        <f t="shared" si="54"/>
        <v>0.12609999999999993</v>
      </c>
      <c r="C154" s="143">
        <v>-204951.89519761046</v>
      </c>
      <c r="D154" s="144">
        <v>36978.786742468372</v>
      </c>
      <c r="E154" s="125"/>
      <c r="F154" s="135">
        <f t="shared" si="55"/>
        <v>1.9799999999999988E-2</v>
      </c>
      <c r="G154" s="143">
        <v>-217973.58191746342</v>
      </c>
      <c r="H154" s="144">
        <v>36664.00426033976</v>
      </c>
      <c r="I154" s="125"/>
      <c r="J154" s="135">
        <f t="shared" si="56"/>
        <v>5.2762499999999997E-2</v>
      </c>
      <c r="K154" s="143">
        <v>-227018.71987194015</v>
      </c>
      <c r="L154" s="144">
        <v>36442.341640266546</v>
      </c>
      <c r="M154" s="125"/>
      <c r="N154" s="135">
        <f t="shared" si="57"/>
        <v>9.3500000000000007E-3</v>
      </c>
      <c r="O154" s="143">
        <v>-249051.95784256057</v>
      </c>
      <c r="P154" s="144">
        <v>35994.898709388886</v>
      </c>
      <c r="Q154" s="125"/>
      <c r="R154" s="135">
        <f t="shared" si="58"/>
        <v>0.67500000000000038</v>
      </c>
      <c r="S154" s="143">
        <v>-241614.63976598714</v>
      </c>
      <c r="T154" s="144">
        <v>36520.862378121521</v>
      </c>
      <c r="U154" s="125"/>
      <c r="V154" s="135">
        <f t="shared" si="59"/>
        <v>0.32324999999999965</v>
      </c>
      <c r="W154" s="143">
        <v>-239333.01595068202</v>
      </c>
      <c r="X154" s="144">
        <v>36197.756502782519</v>
      </c>
      <c r="Y154" s="125"/>
      <c r="Z154" s="135">
        <f t="shared" si="60"/>
        <v>0.38999999999999968</v>
      </c>
      <c r="AA154" s="143">
        <v>-234975.48161785971</v>
      </c>
      <c r="AB154" s="144">
        <v>36318.366094599041</v>
      </c>
      <c r="AC154" s="125"/>
      <c r="AD154" s="135">
        <f t="shared" si="61"/>
        <v>0.22500000000000012</v>
      </c>
      <c r="AE154" s="143">
        <v>-240226.22083626175</v>
      </c>
      <c r="AF154" s="144">
        <v>36173.597521881667</v>
      </c>
      <c r="AG154" s="125"/>
      <c r="AH154" s="135">
        <f t="shared" si="62"/>
        <v>0.5415000000000002</v>
      </c>
      <c r="AI154" s="143">
        <v>-230485.11128992573</v>
      </c>
      <c r="AJ154" s="144">
        <v>37135.569243643811</v>
      </c>
      <c r="AK154" s="129"/>
      <c r="AL154" s="135">
        <f t="shared" si="63"/>
        <v>7.6999999999999916E-2</v>
      </c>
      <c r="AM154" s="143">
        <v>-219460.35140195131</v>
      </c>
      <c r="AN154" s="144">
        <v>36644.436599916182</v>
      </c>
      <c r="AO154" s="125"/>
      <c r="AP154" s="135">
        <f t="shared" si="64"/>
        <v>4.9628364805142669E-2</v>
      </c>
      <c r="AQ154" s="143">
        <v>-260296.27288735076</v>
      </c>
      <c r="AR154" s="144">
        <v>35785.277029440076</v>
      </c>
      <c r="AT154" s="135">
        <f t="shared" si="65"/>
        <v>63873.766353600069</v>
      </c>
      <c r="AU154" s="143">
        <v>-246076.74997248861</v>
      </c>
      <c r="AV154" s="144">
        <v>36842.790573591905</v>
      </c>
      <c r="AW154" s="125"/>
      <c r="AX154" s="135">
        <f t="shared" si="66"/>
        <v>5728.5000000000045</v>
      </c>
      <c r="AY154" s="143">
        <v>-240795.54064239081</v>
      </c>
      <c r="AZ154" s="144">
        <v>36159.05766377793</v>
      </c>
      <c r="BA154" s="125"/>
      <c r="BB154" s="135">
        <f t="shared" si="67"/>
        <v>1360.5000000000005</v>
      </c>
      <c r="BC154" s="143">
        <v>-240900.30659809348</v>
      </c>
      <c r="BD154" s="144">
        <v>36172.621210924946</v>
      </c>
      <c r="BE154" s="125"/>
      <c r="BF154" s="135">
        <f t="shared" si="68"/>
        <v>5044.5000000000009</v>
      </c>
      <c r="BG154" s="143">
        <v>-240311.74304751703</v>
      </c>
      <c r="BH154" s="144">
        <v>36096.422703368604</v>
      </c>
    </row>
    <row r="155" spans="1:60" s="127" customFormat="1" ht="13.8" thickBot="1" x14ac:dyDescent="0.3">
      <c r="A155" s="110"/>
    </row>
    <row r="156" spans="1:60" ht="15" thickBot="1" x14ac:dyDescent="0.35">
      <c r="A156" s="110"/>
      <c r="B156" s="232" t="s">
        <v>770</v>
      </c>
      <c r="C156" s="233"/>
      <c r="D156" s="233"/>
      <c r="E156" s="233"/>
      <c r="F156" s="233"/>
      <c r="G156" s="233"/>
      <c r="H156" s="233"/>
      <c r="I156" s="233"/>
      <c r="J156" s="233"/>
      <c r="K156" s="233"/>
      <c r="L156" s="233"/>
      <c r="M156" s="233"/>
      <c r="N156" s="233"/>
      <c r="O156" s="233"/>
      <c r="P156" s="233"/>
      <c r="Q156" s="233"/>
      <c r="R156" s="233"/>
      <c r="S156" s="233"/>
      <c r="T156" s="234"/>
      <c r="U156" s="110"/>
      <c r="V156" s="110"/>
      <c r="W156" s="110"/>
      <c r="X156" s="110"/>
      <c r="Y156" s="110"/>
    </row>
    <row r="157" spans="1:60" ht="15" thickBo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row>
    <row r="158" spans="1:60" x14ac:dyDescent="0.3">
      <c r="A158" s="110"/>
      <c r="B158" s="110"/>
      <c r="C158" s="230" t="s">
        <v>771</v>
      </c>
      <c r="D158" s="230" t="s">
        <v>772</v>
      </c>
      <c r="E158" s="230" t="s">
        <v>773</v>
      </c>
      <c r="F158" s="230" t="s">
        <v>774</v>
      </c>
      <c r="G158" s="230" t="s">
        <v>776</v>
      </c>
      <c r="H158" s="230" t="s">
        <v>777</v>
      </c>
      <c r="I158" s="110"/>
      <c r="J158" s="110"/>
      <c r="K158" s="110"/>
      <c r="L158" s="110"/>
      <c r="M158" s="110"/>
      <c r="N158" s="110"/>
      <c r="O158" s="110"/>
      <c r="P158" s="110"/>
      <c r="Q158" s="110"/>
      <c r="R158" s="110"/>
      <c r="S158" s="110"/>
      <c r="T158" s="110"/>
      <c r="U158" s="110"/>
      <c r="V158" s="110"/>
      <c r="W158" s="110"/>
      <c r="X158" s="110"/>
      <c r="Y158" s="110"/>
    </row>
    <row r="159" spans="1:60" x14ac:dyDescent="0.3">
      <c r="A159" s="110"/>
      <c r="B159" s="110"/>
      <c r="C159" s="231"/>
      <c r="D159" s="231"/>
      <c r="E159" s="231"/>
      <c r="F159" s="231"/>
      <c r="G159" s="231"/>
      <c r="H159" s="231"/>
      <c r="I159" s="110"/>
      <c r="J159" s="110"/>
      <c r="K159" s="110"/>
      <c r="L159" s="110"/>
      <c r="M159" s="110"/>
      <c r="N159" s="110"/>
      <c r="O159" s="110"/>
      <c r="P159" s="110"/>
      <c r="Q159" s="110"/>
      <c r="R159" s="110"/>
      <c r="S159" s="110"/>
      <c r="T159" s="110"/>
      <c r="U159" s="110"/>
      <c r="V159" s="110"/>
      <c r="W159" s="110"/>
      <c r="X159" s="110"/>
      <c r="Y159" s="110"/>
    </row>
    <row r="160" spans="1:60" x14ac:dyDescent="0.3">
      <c r="A160" s="110"/>
      <c r="B160" s="122" t="s">
        <v>278</v>
      </c>
      <c r="C160" s="145">
        <f t="shared" ref="C160:C165" si="69">E10</f>
        <v>1150</v>
      </c>
      <c r="D160" s="145">
        <f>VLOOKUP($C$160,$B$55:$D$86,2)</f>
        <v>-249673.30107746136</v>
      </c>
      <c r="E160" s="145">
        <f t="shared" ref="E160:E165" si="70">F10</f>
        <v>3450</v>
      </c>
      <c r="F160" s="145">
        <f>VLOOKUP($E$160,$B$55:$D$86,2)</f>
        <v>-231907.91157393428</v>
      </c>
      <c r="G160" s="145">
        <f>VLOOKUP($C$160,$B$55:$D$86,3)</f>
        <v>37308.418841398539</v>
      </c>
      <c r="H160" s="145">
        <f>VLOOKUP($E$160,$B$55:$D$86,3)</f>
        <v>35008.418841398496</v>
      </c>
      <c r="I160" s="110"/>
      <c r="J160" s="110"/>
      <c r="K160" s="110"/>
      <c r="L160" s="110"/>
      <c r="M160" s="110"/>
      <c r="N160" s="110"/>
      <c r="O160" s="110"/>
      <c r="P160" s="110"/>
      <c r="Q160" s="110"/>
      <c r="R160" s="110"/>
      <c r="S160" s="110"/>
      <c r="T160" s="110"/>
      <c r="U160" s="110"/>
      <c r="V160" s="110"/>
      <c r="W160" s="110"/>
      <c r="X160" s="110"/>
      <c r="Y160" s="110"/>
    </row>
    <row r="161" spans="1:25" x14ac:dyDescent="0.3">
      <c r="A161" s="110"/>
      <c r="B161" s="122" t="s">
        <v>314</v>
      </c>
      <c r="C161" s="146">
        <f t="shared" si="69"/>
        <v>5.0500000000000003E-2</v>
      </c>
      <c r="D161" s="145">
        <f>VLOOKUP($C$161,$F$55:H86,2)</f>
        <v>-277644.45471415465</v>
      </c>
      <c r="E161" s="146">
        <f t="shared" si="70"/>
        <v>0.15150000000000002</v>
      </c>
      <c r="F161" s="145">
        <f>VLOOKUP($E$161,$F$55:$H$86,2)</f>
        <v>-213336.59136355156</v>
      </c>
      <c r="G161" s="145">
        <f>VLOOKUP($C$161,$F$55:H86,3)</f>
        <v>34947.044438266355</v>
      </c>
      <c r="H161" s="145">
        <f>VLOOKUP($E$161,$F$55:$H$86,3)</f>
        <v>37369.793244530723</v>
      </c>
      <c r="I161" s="110"/>
      <c r="J161" s="110"/>
      <c r="K161" s="110"/>
      <c r="L161" s="110"/>
      <c r="M161" s="110"/>
      <c r="N161" s="110"/>
      <c r="O161" s="110"/>
      <c r="P161" s="110"/>
      <c r="Q161" s="110"/>
      <c r="R161" s="110"/>
      <c r="S161" s="110"/>
      <c r="T161" s="110"/>
      <c r="U161" s="110"/>
      <c r="V161" s="110"/>
      <c r="W161" s="110"/>
      <c r="X161" s="110"/>
      <c r="Y161" s="110"/>
    </row>
    <row r="162" spans="1:25" x14ac:dyDescent="0.3">
      <c r="A162" s="110"/>
      <c r="B162" s="122" t="s">
        <v>646</v>
      </c>
      <c r="C162" s="146">
        <f t="shared" si="69"/>
        <v>0.69</v>
      </c>
      <c r="D162" s="145">
        <f>VLOOKUP($C$162,$J$55:$L$86,2)</f>
        <v>-232948.46787898667</v>
      </c>
      <c r="E162" s="146">
        <f t="shared" si="70"/>
        <v>0.84</v>
      </c>
      <c r="F162" s="145">
        <f>VLOOKUP($E$162,$J$55:$L$86,2)</f>
        <v>-250414.06944827695</v>
      </c>
      <c r="G162" s="145">
        <f>VLOOKUP($C$162,$J$55:$L$86,3)</f>
        <v>37436.485734884453</v>
      </c>
      <c r="H162" s="145">
        <f>VLOOKUP($E$162,$J$55:$L$86,3)</f>
        <v>34789.061455520845</v>
      </c>
      <c r="I162" s="110"/>
      <c r="J162" s="110"/>
      <c r="K162" s="110"/>
      <c r="L162" s="110"/>
      <c r="M162" s="110"/>
      <c r="N162" s="110"/>
      <c r="O162" s="110"/>
      <c r="P162" s="110"/>
      <c r="Q162" s="110"/>
      <c r="R162" s="110"/>
      <c r="S162" s="110"/>
      <c r="T162" s="110"/>
      <c r="U162" s="110"/>
      <c r="V162" s="110"/>
      <c r="W162" s="110"/>
      <c r="X162" s="110"/>
      <c r="Y162" s="110"/>
    </row>
    <row r="163" spans="1:25" x14ac:dyDescent="0.3">
      <c r="A163" s="110"/>
      <c r="B163" s="122" t="s">
        <v>315</v>
      </c>
      <c r="C163" s="146">
        <f t="shared" si="69"/>
        <v>0.63</v>
      </c>
      <c r="D163" s="145">
        <f>VLOOKUP($C$163,$N$55:$P$86,2)</f>
        <v>-288221.87664273253</v>
      </c>
      <c r="E163" s="146">
        <f t="shared" si="70"/>
        <v>0.82</v>
      </c>
      <c r="F163" s="145">
        <f>VLOOKUP($E$163,$N$55:$P$86,2)</f>
        <v>-168165.56081032936</v>
      </c>
      <c r="G163" s="145">
        <f>VLOOKUP($C$163,$N$55:$P$86,3)</f>
        <v>44197.086215098258</v>
      </c>
      <c r="H163" s="145">
        <f>VLOOKUP($E$163,$N$55:$P$86,3)</f>
        <v>25105.251202561441</v>
      </c>
      <c r="I163" s="110"/>
      <c r="J163" s="110"/>
      <c r="K163" s="110"/>
      <c r="L163" s="110"/>
      <c r="M163" s="110"/>
      <c r="N163" s="110"/>
      <c r="O163" s="110"/>
      <c r="P163" s="110"/>
      <c r="Q163" s="110"/>
      <c r="R163" s="110"/>
      <c r="S163" s="110"/>
      <c r="T163" s="110"/>
      <c r="U163" s="110"/>
      <c r="V163" s="110"/>
      <c r="W163" s="110"/>
      <c r="X163" s="110"/>
      <c r="Y163" s="110"/>
    </row>
    <row r="164" spans="1:25" x14ac:dyDescent="0.3">
      <c r="A164" s="110"/>
      <c r="B164" s="122" t="s">
        <v>316</v>
      </c>
      <c r="C164" s="146">
        <f t="shared" si="69"/>
        <v>0.82</v>
      </c>
      <c r="D164" s="145">
        <f>VLOOKUP($C$164,$R$55:$T$86,2)</f>
        <v>-228294.61558035269</v>
      </c>
      <c r="E164" s="146">
        <f t="shared" si="70"/>
        <v>0.99</v>
      </c>
      <c r="F164" s="145">
        <f>VLOOKUP($E$164,$R$55:$T$86,2)</f>
        <v>-255550.66211207933</v>
      </c>
      <c r="G164" s="145">
        <f>VLOOKUP($C$164,$R$55:$T$86,3)</f>
        <v>36448.671011600178</v>
      </c>
      <c r="H164" s="145">
        <f>VLOOKUP($E$164,$R$55:$T$86,3)</f>
        <v>35852.444678644439</v>
      </c>
      <c r="I164" s="110"/>
      <c r="J164" s="110"/>
      <c r="K164" s="110"/>
      <c r="L164" s="110"/>
      <c r="M164" s="110"/>
      <c r="N164" s="110"/>
      <c r="O164" s="110"/>
      <c r="P164" s="110"/>
      <c r="Q164" s="110"/>
      <c r="R164" s="110"/>
      <c r="S164" s="110"/>
      <c r="T164" s="110"/>
      <c r="U164" s="110"/>
      <c r="V164" s="110"/>
      <c r="W164" s="110"/>
      <c r="X164" s="110"/>
      <c r="Y164" s="110"/>
    </row>
    <row r="165" spans="1:25" x14ac:dyDescent="0.3">
      <c r="A165" s="110"/>
      <c r="B165" s="122" t="s">
        <v>675</v>
      </c>
      <c r="C165" s="146">
        <f t="shared" si="69"/>
        <v>4.65E-2</v>
      </c>
      <c r="D165" s="145">
        <f>VLOOKUP($C$165,$V$55:$X$86,2)</f>
        <v>-264099.68182576657</v>
      </c>
      <c r="E165" s="146">
        <f t="shared" si="70"/>
        <v>0.13950000000000001</v>
      </c>
      <c r="F165" s="145">
        <f>VLOOKUP($E$165,$V$55:$X$86,2)</f>
        <v>-222450.24290708321</v>
      </c>
      <c r="G165" s="145">
        <f>VLOOKUP($C$165,$V$55:$X$86,3)</f>
        <v>35734.714229529643</v>
      </c>
      <c r="H165" s="145">
        <f>VLOOKUP($E$165,$V$55:$X$86,3)</f>
        <v>36553.87647914284</v>
      </c>
      <c r="I165" s="110"/>
      <c r="J165" s="110"/>
      <c r="K165" s="110"/>
      <c r="L165" s="110"/>
      <c r="M165" s="110"/>
      <c r="N165" s="110"/>
      <c r="O165" s="110"/>
      <c r="P165" s="110"/>
      <c r="Q165" s="110"/>
      <c r="R165" s="110"/>
      <c r="S165" s="110"/>
      <c r="T165" s="110"/>
      <c r="U165" s="110"/>
      <c r="V165" s="110"/>
      <c r="W165" s="110"/>
      <c r="X165" s="110"/>
      <c r="Y165" s="110"/>
    </row>
    <row r="166" spans="1:25" x14ac:dyDescent="0.3">
      <c r="A166" s="110"/>
      <c r="B166" s="122" t="s">
        <v>750</v>
      </c>
      <c r="C166" s="146">
        <f t="shared" ref="C166:C199" si="71">E17</f>
        <v>8.5999999999999993E-2</v>
      </c>
      <c r="D166" s="145">
        <f>VLOOKUP($C$166,$AD$55:$AF$86,2)</f>
        <v>-252641.92486355494</v>
      </c>
      <c r="E166" s="146">
        <f t="shared" ref="E166:E199" si="72">F17</f>
        <v>0.192</v>
      </c>
      <c r="F166" s="145">
        <f>VLOOKUP($E$166,$AD$55:$AF$86,2)</f>
        <v>-227399.83631267253</v>
      </c>
      <c r="G166" s="145">
        <f>VLOOKUP($C$166,$AD$55:$AF$86,3)</f>
        <v>35924.602381172706</v>
      </c>
      <c r="H166" s="145">
        <f>VLOOKUP($E$166,$AD$55:$AF$86,3)</f>
        <v>36451.933121256618</v>
      </c>
      <c r="I166" s="110"/>
      <c r="J166" s="110"/>
      <c r="K166" s="110"/>
      <c r="L166" s="110"/>
      <c r="M166" s="110"/>
      <c r="N166" s="110"/>
      <c r="O166" s="110"/>
      <c r="P166" s="110"/>
      <c r="Q166" s="110"/>
      <c r="R166" s="110"/>
      <c r="S166" s="110"/>
      <c r="T166" s="110"/>
      <c r="U166" s="110"/>
      <c r="V166" s="110"/>
      <c r="W166" s="110"/>
      <c r="X166" s="110"/>
      <c r="Y166" s="110"/>
    </row>
    <row r="167" spans="1:25" x14ac:dyDescent="0.3">
      <c r="A167" s="110"/>
      <c r="B167" s="122" t="s">
        <v>751</v>
      </c>
      <c r="C167" s="146">
        <f t="shared" si="71"/>
        <v>0.04</v>
      </c>
      <c r="D167" s="145">
        <f>VLOOKUP($C$167,$AH$55:$AJ$86,2)</f>
        <v>-241001.70192445241</v>
      </c>
      <c r="E167" s="146">
        <f t="shared" si="72"/>
        <v>8.8999999999999996E-2</v>
      </c>
      <c r="F167" s="145">
        <f>VLOOKUP(E167,$AH$4:$AJ$86,2)</f>
        <v>-240526.08713253637</v>
      </c>
      <c r="G167" s="145">
        <f>VLOOKUP($C$167,$AH$55:$AJ$86,3)</f>
        <v>36154.052950277932</v>
      </c>
      <c r="H167" s="145">
        <f>VLOOKUP(E167,$AH$4:$AJ$86,3)</f>
        <v>36163.900460250108</v>
      </c>
      <c r="I167" s="110"/>
      <c r="J167" s="110"/>
      <c r="K167" s="110"/>
      <c r="L167" s="110"/>
      <c r="M167" s="110"/>
      <c r="N167" s="110"/>
      <c r="O167" s="110"/>
      <c r="P167" s="110"/>
      <c r="Q167" s="110"/>
      <c r="R167" s="110"/>
      <c r="S167" s="110"/>
      <c r="T167" s="110"/>
      <c r="U167" s="110"/>
      <c r="V167" s="110"/>
      <c r="W167" s="110"/>
      <c r="X167" s="110"/>
      <c r="Y167" s="110"/>
    </row>
    <row r="168" spans="1:25" x14ac:dyDescent="0.3">
      <c r="A168" s="110"/>
      <c r="B168" s="122" t="s">
        <v>202</v>
      </c>
      <c r="C168" s="146">
        <f t="shared" si="71"/>
        <v>0.69</v>
      </c>
      <c r="D168" s="145">
        <f>VLOOKUP($C$168,$B$89:$D$120,2)</f>
        <v>-252739.5522758443</v>
      </c>
      <c r="E168" s="146">
        <f t="shared" si="72"/>
        <v>1</v>
      </c>
      <c r="F168" s="145">
        <f>VLOOKUP(E168,$B$89:$D$120,2)</f>
        <v>-228121.68520577005</v>
      </c>
      <c r="G168" s="145">
        <f>VLOOKUP($C$168,$B$89:$D$120,3)</f>
        <v>35593.250904565706</v>
      </c>
      <c r="H168" s="145">
        <f>VLOOKUP(E168,$B$89:$D$120,3)</f>
        <v>36835.818708949919</v>
      </c>
      <c r="I168" s="110"/>
      <c r="J168" s="110"/>
      <c r="K168" s="110"/>
      <c r="L168" s="110"/>
      <c r="M168" s="110"/>
      <c r="N168" s="110"/>
      <c r="O168" s="110"/>
      <c r="P168" s="110"/>
      <c r="Q168" s="110"/>
      <c r="R168" s="110"/>
      <c r="S168" s="110"/>
      <c r="T168" s="110"/>
      <c r="U168" s="110"/>
      <c r="V168" s="110"/>
      <c r="W168" s="110"/>
      <c r="X168" s="110"/>
      <c r="Y168" s="110"/>
    </row>
    <row r="169" spans="1:25" x14ac:dyDescent="0.3">
      <c r="A169" s="110"/>
      <c r="B169" s="122" t="s">
        <v>364</v>
      </c>
      <c r="C169" s="146">
        <f t="shared" si="71"/>
        <v>0.96715400000000007</v>
      </c>
      <c r="D169" s="145">
        <f>VLOOKUP($C$169,$F$89:$H$120,2)</f>
        <v>-299722.23099884705</v>
      </c>
      <c r="E169" s="146">
        <f t="shared" si="72"/>
        <v>1</v>
      </c>
      <c r="F169" s="145">
        <f>VLOOKUP(E169,$F$89:$H$120,2)</f>
        <v>-204100.95405053452</v>
      </c>
      <c r="G169" s="145">
        <f>VLOOKUP($C$169,$F$89:$H$120,3)</f>
        <v>34802.806837220167</v>
      </c>
      <c r="H169" s="145">
        <f>VLOOKUP(E169,$F$89:$H$120,3)</f>
        <v>37423.65671196513</v>
      </c>
      <c r="I169" s="110"/>
      <c r="J169" s="110"/>
      <c r="K169" s="110"/>
      <c r="L169" s="110"/>
      <c r="M169" s="110"/>
      <c r="N169" s="110"/>
      <c r="O169" s="110"/>
      <c r="P169" s="110"/>
      <c r="Q169" s="110"/>
      <c r="R169" s="110"/>
      <c r="S169" s="110"/>
      <c r="T169" s="110"/>
      <c r="U169" s="110"/>
      <c r="V169" s="110"/>
      <c r="W169" s="110"/>
      <c r="X169" s="110"/>
      <c r="Y169" s="110"/>
    </row>
    <row r="170" spans="1:25" x14ac:dyDescent="0.3">
      <c r="A170" s="110"/>
      <c r="B170" s="122" t="s">
        <v>365</v>
      </c>
      <c r="C170" s="146">
        <f t="shared" si="71"/>
        <v>0.93687405159332315</v>
      </c>
      <c r="D170" s="145">
        <f>VLOOKUP($C$170,$J$89:$L$120,2)</f>
        <v>-243364.41675441913</v>
      </c>
      <c r="E170" s="146">
        <f t="shared" si="72"/>
        <v>1</v>
      </c>
      <c r="F170" s="145">
        <f>VLOOKUP(E170,$J$89:$L$120,2)</f>
        <v>-238499.86148495637</v>
      </c>
      <c r="G170" s="145">
        <f>VLOOKUP($C$170,$J$89:$L$120,3)</f>
        <v>35595.647099350776</v>
      </c>
      <c r="H170" s="145">
        <f>VLOOKUP(E170,$J$89:$L$120,3)</f>
        <v>36683.672467309865</v>
      </c>
      <c r="I170" s="110"/>
      <c r="J170" s="110"/>
      <c r="K170" s="110"/>
      <c r="L170" s="110"/>
      <c r="M170" s="110"/>
      <c r="N170" s="110"/>
      <c r="O170" s="110"/>
      <c r="P170" s="110"/>
      <c r="Q170" s="110"/>
      <c r="R170" s="110"/>
      <c r="S170" s="110"/>
      <c r="T170" s="110"/>
      <c r="U170" s="110"/>
      <c r="V170" s="110"/>
      <c r="W170" s="110"/>
      <c r="X170" s="110"/>
      <c r="Y170" s="110"/>
    </row>
    <row r="171" spans="1:25" x14ac:dyDescent="0.3">
      <c r="A171" s="110"/>
      <c r="B171" s="122" t="s">
        <v>752</v>
      </c>
      <c r="C171" s="146">
        <f t="shared" si="71"/>
        <v>0.65036452004860257</v>
      </c>
      <c r="D171" s="145">
        <f>VLOOKUP($C$171,$N$89:$P$120,2)</f>
        <v>-954339.96335247904</v>
      </c>
      <c r="E171" s="146">
        <f t="shared" si="72"/>
        <v>1</v>
      </c>
      <c r="F171" s="145">
        <f>VLOOKUP(E171,$N$89:$P$120,2)</f>
        <v>-192319.76641001648</v>
      </c>
      <c r="G171" s="145">
        <f>VLOOKUP($C$171,$N$89:$P$120,3)</f>
        <v>16936.215747896669</v>
      </c>
      <c r="H171" s="145">
        <f>VLOOKUP(E171,$N$89:$P$120,3)</f>
        <v>54099.141728667142</v>
      </c>
      <c r="I171" s="110"/>
      <c r="J171" s="110"/>
      <c r="K171" s="110"/>
      <c r="L171" s="110"/>
      <c r="M171" s="110"/>
      <c r="N171" s="110"/>
      <c r="O171" s="110"/>
      <c r="P171" s="110"/>
      <c r="Q171" s="110"/>
      <c r="R171" s="110"/>
      <c r="S171" s="110"/>
      <c r="T171" s="110"/>
      <c r="U171" s="110"/>
      <c r="V171" s="110"/>
      <c r="W171" s="110"/>
      <c r="X171" s="110"/>
      <c r="Y171" s="110"/>
    </row>
    <row r="172" spans="1:25" x14ac:dyDescent="0.3">
      <c r="A172" s="110"/>
      <c r="B172" s="122" t="s">
        <v>753</v>
      </c>
      <c r="C172" s="146">
        <f t="shared" si="71"/>
        <v>0.6532399299474605</v>
      </c>
      <c r="D172" s="145">
        <f>VLOOKUP($C$172,$R$89:$T$120,2)</f>
        <v>-273435.20446759457</v>
      </c>
      <c r="E172" s="146">
        <f t="shared" si="72"/>
        <v>1</v>
      </c>
      <c r="F172" s="145">
        <f>VLOOKUP(E172,$R$89:$T$120,2)</f>
        <v>-219669.49068040773</v>
      </c>
      <c r="G172" s="145">
        <f>VLOOKUP($C$172,$R$89:$T$120,3)</f>
        <v>31729.185797515307</v>
      </c>
      <c r="H172" s="145">
        <f>VLOOKUP(E172,$R$89:$T$120,3)</f>
        <v>40587.651885281841</v>
      </c>
      <c r="I172" s="110"/>
      <c r="J172" s="110"/>
      <c r="K172" s="110"/>
      <c r="L172" s="110"/>
      <c r="M172" s="110"/>
      <c r="N172" s="110"/>
      <c r="O172" s="110"/>
      <c r="P172" s="110"/>
      <c r="Q172" s="110"/>
      <c r="R172" s="110"/>
      <c r="S172" s="110"/>
      <c r="T172" s="110"/>
      <c r="U172" s="110"/>
      <c r="V172" s="110"/>
      <c r="W172" s="110"/>
      <c r="X172" s="110"/>
      <c r="Y172" s="110"/>
    </row>
    <row r="173" spans="1:25" x14ac:dyDescent="0.3">
      <c r="A173" s="110"/>
      <c r="B173" s="122" t="s">
        <v>754</v>
      </c>
      <c r="C173" s="146">
        <f t="shared" si="71"/>
        <v>0.36271186440677972</v>
      </c>
      <c r="D173" s="145">
        <f>VLOOKUP(C173,$V$89:$X$120,2)</f>
        <v>-212292.74108781663</v>
      </c>
      <c r="E173" s="146">
        <f t="shared" si="72"/>
        <v>1</v>
      </c>
      <c r="F173" s="145">
        <f>VLOOKUP(E173,$V$89:$X$120,2)</f>
        <v>-262851.72844636597</v>
      </c>
      <c r="G173" s="145">
        <f>VLOOKUP(C173,$V$89:$X$120,3)</f>
        <v>29347.239643069483</v>
      </c>
      <c r="H173" s="145">
        <f>VLOOKUP(E173,$V$89:$X$120,3)</f>
        <v>42515.519426505765</v>
      </c>
      <c r="I173" s="110"/>
      <c r="J173" s="110"/>
      <c r="K173" s="110"/>
      <c r="L173" s="110"/>
      <c r="M173" s="110"/>
      <c r="N173" s="110"/>
      <c r="O173" s="110"/>
      <c r="P173" s="110"/>
      <c r="Q173" s="110"/>
      <c r="R173" s="110"/>
      <c r="S173" s="110"/>
      <c r="T173" s="110"/>
      <c r="U173" s="110"/>
      <c r="V173" s="110"/>
      <c r="W173" s="110"/>
      <c r="X173" s="110"/>
      <c r="Y173" s="110"/>
    </row>
    <row r="174" spans="1:25" x14ac:dyDescent="0.3">
      <c r="A174" s="110"/>
      <c r="B174" s="122" t="s">
        <v>755</v>
      </c>
      <c r="C174" s="146">
        <f t="shared" si="71"/>
        <v>0.17384615384615384</v>
      </c>
      <c r="D174" s="145">
        <f>VLOOKUP(C174,$Z$89:$AB$120,2)</f>
        <v>-183280.65168475496</v>
      </c>
      <c r="E174" s="146">
        <f t="shared" si="72"/>
        <v>0.52153846153846151</v>
      </c>
      <c r="F174" s="145">
        <f>VLOOKUP(E174,$Z$89:$AB$120,2)</f>
        <v>-291006.01571993774</v>
      </c>
      <c r="G174" s="145">
        <f>VLOOKUP(C174,$Z$89:$AB$120,3)</f>
        <v>26768.608161897049</v>
      </c>
      <c r="H174" s="145">
        <f>VLOOKUP(E174,$Z$89:$AB$120,3)</f>
        <v>45548.229520900219</v>
      </c>
      <c r="I174" s="110"/>
      <c r="J174" s="110"/>
      <c r="K174" s="110"/>
      <c r="L174" s="110"/>
      <c r="M174" s="110"/>
      <c r="N174" s="110"/>
      <c r="O174" s="110"/>
      <c r="P174" s="110"/>
      <c r="Q174" s="110"/>
      <c r="R174" s="110"/>
      <c r="S174" s="110"/>
      <c r="T174" s="110"/>
      <c r="U174" s="110"/>
      <c r="V174" s="110"/>
      <c r="W174" s="110"/>
      <c r="X174" s="110"/>
      <c r="Y174" s="110"/>
    </row>
    <row r="175" spans="1:25" x14ac:dyDescent="0.3">
      <c r="A175" s="110"/>
      <c r="B175" s="122" t="s">
        <v>756</v>
      </c>
      <c r="C175" s="146">
        <f t="shared" si="71"/>
        <v>0.22204773869346733</v>
      </c>
      <c r="D175" s="145">
        <f>VLOOKUP(C175,$AD$89:$AF$120,2)</f>
        <v>-268572.28695228393</v>
      </c>
      <c r="E175" s="146">
        <f t="shared" si="72"/>
        <v>0.66614321608040195</v>
      </c>
      <c r="F175" s="145">
        <f>VLOOKUP(E175,$AD$89:$AF$120,2)</f>
        <v>-218188.04165826176</v>
      </c>
      <c r="G175" s="145">
        <f>VLOOKUP(C175,$AD$89:$AF$120,3)</f>
        <v>35668.650974605262</v>
      </c>
      <c r="H175" s="145">
        <f>VLOOKUP(E175,$AD$89:$AF$120,3)</f>
        <v>36648.186708192159</v>
      </c>
      <c r="I175" s="110"/>
      <c r="J175" s="110"/>
      <c r="K175" s="110"/>
      <c r="L175" s="110"/>
      <c r="M175" s="110"/>
      <c r="N175" s="110"/>
      <c r="O175" s="110"/>
      <c r="P175" s="110"/>
      <c r="Q175" s="110"/>
      <c r="R175" s="110"/>
      <c r="S175" s="110"/>
      <c r="T175" s="110"/>
      <c r="U175" s="110"/>
      <c r="V175" s="110"/>
      <c r="W175" s="110"/>
      <c r="X175" s="110"/>
      <c r="Y175" s="110"/>
    </row>
    <row r="176" spans="1:25" x14ac:dyDescent="0.3">
      <c r="A176" s="110"/>
      <c r="B176" s="122" t="s">
        <v>757</v>
      </c>
      <c r="C176" s="146">
        <f t="shared" si="71"/>
        <v>0.62008720309784437</v>
      </c>
      <c r="D176" s="145">
        <f>VLOOKUP(C176,$AH$88:$AJ$119,2)</f>
        <v>-241975.79400770727</v>
      </c>
      <c r="E176" s="146">
        <f t="shared" si="72"/>
        <v>1</v>
      </c>
      <c r="F176" s="145">
        <f>VLOOKUP(E176,$AH$88:$AJ$119,2)</f>
        <v>-239695.40608265018</v>
      </c>
      <c r="G176" s="145">
        <f>VLOOKUP(C176,$AH$88:$AJ$119,3)</f>
        <v>36124.6168431271</v>
      </c>
      <c r="H176" s="145">
        <f>VLOOKUP(E176,$AH$88:$AJ$119,3)</f>
        <v>36189.967373118627</v>
      </c>
      <c r="I176" s="110"/>
      <c r="J176" s="110"/>
      <c r="K176" s="110"/>
      <c r="L176" s="110"/>
      <c r="M176" s="110"/>
      <c r="N176" s="110"/>
      <c r="O176" s="110"/>
      <c r="P176" s="110"/>
      <c r="Q176" s="110"/>
      <c r="R176" s="110"/>
      <c r="S176" s="110"/>
      <c r="T176" s="110"/>
      <c r="U176" s="110"/>
      <c r="V176" s="110"/>
      <c r="W176" s="110"/>
      <c r="X176" s="110"/>
      <c r="Y176" s="110"/>
    </row>
    <row r="177" spans="1:25" x14ac:dyDescent="0.3">
      <c r="A177" s="110"/>
      <c r="B177" s="122" t="s">
        <v>758</v>
      </c>
      <c r="C177" s="146">
        <f t="shared" si="71"/>
        <v>4.2033333333333332E-2</v>
      </c>
      <c r="D177" s="145">
        <f>VLOOKUP(C177,$B$123:$D$154,2)</f>
        <v>-291648.53425633977</v>
      </c>
      <c r="E177" s="146">
        <f t="shared" si="72"/>
        <v>0.12609999999999999</v>
      </c>
      <c r="F177" s="145">
        <f>VLOOKUP(E177,$B$123:$D$154,2)</f>
        <v>-204951.89519761046</v>
      </c>
      <c r="G177" s="145">
        <f>VLOOKUP(C177,$B$123:$D$154,3)</f>
        <v>35338.050940328787</v>
      </c>
      <c r="H177" s="145">
        <f>VLOOKUP(E177,$B$123:$D$154,3)</f>
        <v>36978.786742468372</v>
      </c>
      <c r="I177" s="110"/>
      <c r="J177" s="110"/>
      <c r="K177" s="110"/>
      <c r="L177" s="110"/>
      <c r="M177" s="110"/>
      <c r="N177" s="110"/>
      <c r="O177" s="110"/>
      <c r="P177" s="110"/>
      <c r="Q177" s="110"/>
      <c r="R177" s="110"/>
      <c r="S177" s="110"/>
      <c r="T177" s="110"/>
      <c r="U177" s="110"/>
      <c r="V177" s="110"/>
      <c r="W177" s="110"/>
      <c r="X177" s="110"/>
      <c r="Y177" s="110"/>
    </row>
    <row r="178" spans="1:25" x14ac:dyDescent="0.3">
      <c r="A178" s="110"/>
      <c r="B178" s="122" t="s">
        <v>759</v>
      </c>
      <c r="C178" s="146">
        <f t="shared" si="71"/>
        <v>6.6000000000000008E-3</v>
      </c>
      <c r="D178" s="145">
        <f>VLOOKUP(C178,$F$123:$H$154,2)</f>
        <v>-268915.29229630233</v>
      </c>
      <c r="E178" s="146">
        <f t="shared" si="72"/>
        <v>1.9800000000000002E-2</v>
      </c>
      <c r="F178" s="145">
        <f>VLOOKUP(E178,$F$123:$H$154,2)</f>
        <v>-217973.58191746342</v>
      </c>
      <c r="G178" s="145">
        <f>VLOOKUP(C178,$F$123:$H$154,3)</f>
        <v>35652.833422457421</v>
      </c>
      <c r="H178" s="145">
        <f>VLOOKUP(E178,$F$123:$H$154,3)</f>
        <v>36664.00426033976</v>
      </c>
      <c r="I178" s="110"/>
      <c r="J178" s="110"/>
      <c r="K178" s="110"/>
      <c r="L178" s="110"/>
      <c r="M178" s="110"/>
      <c r="N178" s="110"/>
      <c r="O178" s="110"/>
      <c r="P178" s="110"/>
      <c r="Q178" s="110"/>
      <c r="R178" s="110"/>
      <c r="S178" s="110"/>
      <c r="T178" s="110"/>
      <c r="U178" s="110"/>
      <c r="V178" s="110"/>
      <c r="W178" s="110"/>
      <c r="X178" s="110"/>
      <c r="Y178" s="110"/>
    </row>
    <row r="179" spans="1:25" x14ac:dyDescent="0.3">
      <c r="A179" s="110"/>
      <c r="B179" s="122" t="s">
        <v>760</v>
      </c>
      <c r="C179" s="146">
        <f t="shared" si="71"/>
        <v>1.7587499999999999E-2</v>
      </c>
      <c r="D179" s="145">
        <f>VLOOKUP(C179,$J$123:$L$154,2)</f>
        <v>-256324.57538820937</v>
      </c>
      <c r="E179" s="146">
        <f t="shared" si="72"/>
        <v>5.2762499999999997E-2</v>
      </c>
      <c r="F179" s="145">
        <f>VLOOKUP(E179,$J$123:$L$154,2)</f>
        <v>-227018.71987194015</v>
      </c>
      <c r="G179" s="145">
        <f>VLOOKUP(C179,$J$123:$L$154,3)</f>
        <v>35874.496042530613</v>
      </c>
      <c r="H179" s="145">
        <f>VLOOKUP(E179,$J$123:$L$154,3)</f>
        <v>36442.341640266546</v>
      </c>
      <c r="I179" s="110"/>
      <c r="J179" s="110"/>
      <c r="K179" s="110"/>
      <c r="L179" s="110"/>
      <c r="M179" s="110"/>
      <c r="N179" s="110"/>
      <c r="O179" s="110"/>
      <c r="P179" s="110"/>
      <c r="Q179" s="110"/>
      <c r="R179" s="110"/>
      <c r="S179" s="110"/>
      <c r="T179" s="110"/>
      <c r="U179" s="110"/>
      <c r="V179" s="110"/>
      <c r="W179" s="110"/>
      <c r="X179" s="110"/>
      <c r="Y179" s="110"/>
    </row>
    <row r="180" spans="1:25" x14ac:dyDescent="0.3">
      <c r="A180" s="110"/>
      <c r="B180" s="122" t="s">
        <v>761</v>
      </c>
      <c r="C180" s="146">
        <f t="shared" si="71"/>
        <v>3.1166666666666669E-3</v>
      </c>
      <c r="D180" s="145">
        <f>VLOOKUP(C180,$N$123:$P$154,2)</f>
        <v>-233058.97971116839</v>
      </c>
      <c r="E180" s="146">
        <f t="shared" si="72"/>
        <v>9.3500000000000007E-3</v>
      </c>
      <c r="F180" s="145">
        <f>VLOOKUP(E180,$N$123:$P$154,2)</f>
        <v>-249051.95784256057</v>
      </c>
      <c r="G180" s="145">
        <f>VLOOKUP(C180,$N$123:$P$154,3)</f>
        <v>36321.93897340828</v>
      </c>
      <c r="H180" s="145">
        <f>VLOOKUP(E180,$N$123:$P$154,3)</f>
        <v>35994.898709388886</v>
      </c>
      <c r="I180" s="110"/>
      <c r="J180" s="110"/>
      <c r="K180" s="110"/>
      <c r="L180" s="110"/>
      <c r="M180" s="110"/>
      <c r="N180" s="110"/>
      <c r="O180" s="110"/>
      <c r="P180" s="110"/>
      <c r="Q180" s="110"/>
      <c r="R180" s="110"/>
      <c r="S180" s="110"/>
      <c r="T180" s="110"/>
      <c r="U180" s="110"/>
      <c r="V180" s="110"/>
      <c r="W180" s="110"/>
      <c r="X180" s="110"/>
      <c r="Y180" s="110"/>
    </row>
    <row r="181" spans="1:25" x14ac:dyDescent="0.3">
      <c r="A181" s="110"/>
      <c r="B181" s="122" t="s">
        <v>762</v>
      </c>
      <c r="C181" s="146">
        <f t="shared" si="71"/>
        <v>0.22500000000000001</v>
      </c>
      <c r="D181" s="145">
        <f>VLOOKUP(C181,$R$123:$T$154,2)</f>
        <v>-239954.86732961255</v>
      </c>
      <c r="E181" s="146">
        <f t="shared" si="72"/>
        <v>0.67500000000000004</v>
      </c>
      <c r="F181" s="145">
        <f>VLOOKUP(E181,$R$123:$T$154,2)</f>
        <v>-241560.06344317875</v>
      </c>
      <c r="G181" s="145">
        <f>VLOOKUP(C181,$R$123:$T$154,3)</f>
        <v>35795.975304675601</v>
      </c>
      <c r="H181" s="145">
        <f>VLOOKUP(E181,$R$123:$T$154,3)</f>
        <v>36496.699475673311</v>
      </c>
      <c r="I181" s="110"/>
      <c r="J181" s="110"/>
      <c r="K181" s="110"/>
      <c r="L181" s="110"/>
      <c r="M181" s="110"/>
      <c r="N181" s="110"/>
      <c r="O181" s="110"/>
      <c r="P181" s="110"/>
      <c r="Q181" s="110"/>
      <c r="R181" s="110"/>
      <c r="S181" s="110"/>
      <c r="T181" s="110"/>
      <c r="U181" s="110"/>
      <c r="V181" s="110"/>
      <c r="W181" s="110"/>
      <c r="X181" s="110"/>
      <c r="Y181" s="110"/>
    </row>
    <row r="182" spans="1:25" x14ac:dyDescent="0.3">
      <c r="A182" s="110"/>
      <c r="B182" s="122" t="s">
        <v>763</v>
      </c>
      <c r="C182" s="146">
        <f t="shared" si="71"/>
        <v>0.10775</v>
      </c>
      <c r="D182" s="145">
        <f>VLOOKUP(C182,$V$123:$X$154,2)</f>
        <v>-242266.79662086852</v>
      </c>
      <c r="E182" s="146">
        <f t="shared" si="72"/>
        <v>0.32324999999999998</v>
      </c>
      <c r="F182" s="145">
        <f>VLOOKUP(E182,$V$123:$X$154,2)</f>
        <v>-239333.01595068202</v>
      </c>
      <c r="G182" s="145">
        <f>VLOOKUP(C182,$V$123:$X$154,3)</f>
        <v>36119.081180014698</v>
      </c>
      <c r="H182" s="145">
        <f>VLOOKUP(E182,$V$123:$X$154,3)</f>
        <v>36197.756502782519</v>
      </c>
      <c r="I182" s="110"/>
      <c r="J182" s="110"/>
      <c r="K182" s="110"/>
      <c r="L182" s="110"/>
      <c r="M182" s="110"/>
      <c r="N182" s="110"/>
      <c r="O182" s="110"/>
      <c r="P182" s="110"/>
      <c r="Q182" s="110"/>
      <c r="R182" s="110"/>
      <c r="S182" s="110"/>
      <c r="T182" s="110"/>
      <c r="U182" s="110"/>
      <c r="V182" s="110"/>
      <c r="W182" s="110"/>
      <c r="X182" s="110"/>
      <c r="Y182" s="110"/>
    </row>
    <row r="183" spans="1:25" x14ac:dyDescent="0.3">
      <c r="A183" s="110"/>
      <c r="B183" s="122" t="s">
        <v>764</v>
      </c>
      <c r="C183" s="146">
        <f t="shared" si="71"/>
        <v>0.13</v>
      </c>
      <c r="D183" s="145">
        <f>VLOOKUP(C183,$Z$123:$AB$154,2)</f>
        <v>-246913.50965955123</v>
      </c>
      <c r="E183" s="146">
        <f t="shared" si="72"/>
        <v>0.39</v>
      </c>
      <c r="F183" s="145">
        <f>VLOOKUP(E183,$Z$123:$AB$154,2)</f>
        <v>-234975.48161785971</v>
      </c>
      <c r="G183" s="145">
        <f>VLOOKUP(C183,$Z$123:$AB$154,3)</f>
        <v>35998.471588198066</v>
      </c>
      <c r="H183" s="145">
        <f>VLOOKUP(E183,$Z$123:$AB$154,3)</f>
        <v>36318.366094599041</v>
      </c>
      <c r="I183" s="110"/>
      <c r="J183" s="110"/>
      <c r="K183" s="110"/>
      <c r="L183" s="110"/>
      <c r="M183" s="110"/>
      <c r="N183" s="110"/>
      <c r="O183" s="110"/>
      <c r="P183" s="110"/>
      <c r="Q183" s="110"/>
      <c r="R183" s="110"/>
      <c r="S183" s="110"/>
      <c r="T183" s="110"/>
      <c r="U183" s="110"/>
      <c r="V183" s="110"/>
      <c r="W183" s="110"/>
      <c r="X183" s="110"/>
      <c r="Y183" s="110"/>
    </row>
    <row r="184" spans="1:25" x14ac:dyDescent="0.3">
      <c r="A184" s="110"/>
      <c r="B184" s="122" t="s">
        <v>763</v>
      </c>
      <c r="C184" s="146">
        <f t="shared" si="71"/>
        <v>7.4999999999999997E-2</v>
      </c>
      <c r="D184" s="145">
        <f>VLOOKUP(C184,$AD$123:$AF$154,2)</f>
        <v>-241357.75899940188</v>
      </c>
      <c r="E184" s="146">
        <f t="shared" si="72"/>
        <v>0.22499999999999998</v>
      </c>
      <c r="F184" s="145">
        <f>VLOOKUP(E184,$AD$123:$AF$154,2)</f>
        <v>-240263.76085148746</v>
      </c>
      <c r="G184" s="145">
        <f>VLOOKUP(C184,$AD$123:$AF$154,3)</f>
        <v>36143.240160915571</v>
      </c>
      <c r="H184" s="145">
        <f>VLOOKUP(E184,$AD$123:$AF$154,3)</f>
        <v>36172.585609849455</v>
      </c>
      <c r="I184" s="110"/>
      <c r="J184" s="110"/>
      <c r="K184" s="110"/>
      <c r="L184" s="110"/>
      <c r="M184" s="110"/>
      <c r="N184" s="110"/>
      <c r="O184" s="110"/>
      <c r="P184" s="110"/>
      <c r="Q184" s="110"/>
      <c r="R184" s="110"/>
      <c r="S184" s="110"/>
      <c r="T184" s="110"/>
      <c r="U184" s="110"/>
      <c r="V184" s="110"/>
      <c r="W184" s="110"/>
      <c r="X184" s="110"/>
      <c r="Y184" s="110"/>
    </row>
    <row r="185" spans="1:25" x14ac:dyDescent="0.3">
      <c r="A185" s="110"/>
      <c r="B185" s="122" t="s">
        <v>765</v>
      </c>
      <c r="C185" s="146">
        <f t="shared" si="71"/>
        <v>0.18049999999999999</v>
      </c>
      <c r="D185" s="145">
        <f>VLOOKUP(C185,$AH$123:$AJ$154,2)</f>
        <v>-252561.3456343688</v>
      </c>
      <c r="E185" s="146">
        <f t="shared" si="72"/>
        <v>0.54149999999999998</v>
      </c>
      <c r="F185" s="145">
        <f>VLOOKUP(E185,$AH$123:$AJ$154,2)</f>
        <v>-231132.06717451065</v>
      </c>
      <c r="G185" s="145">
        <f>VLOOKUP(C185,$AH$123:$AJ$154,3)</f>
        <v>35181.268439153464</v>
      </c>
      <c r="H185" s="145">
        <f>VLOOKUP(E185,$AH$123:$AJ$154,3)</f>
        <v>37070.425883494187</v>
      </c>
      <c r="I185" s="110"/>
      <c r="J185" s="110"/>
      <c r="K185" s="110"/>
      <c r="L185" s="110"/>
      <c r="M185" s="110"/>
      <c r="N185" s="110"/>
      <c r="O185" s="110"/>
      <c r="P185" s="110"/>
      <c r="Q185" s="110"/>
      <c r="R185" s="110"/>
      <c r="S185" s="110"/>
      <c r="T185" s="110"/>
      <c r="U185" s="110"/>
      <c r="V185" s="110"/>
      <c r="W185" s="110"/>
      <c r="X185" s="110"/>
      <c r="Y185" s="110"/>
    </row>
    <row r="186" spans="1:25" x14ac:dyDescent="0.3">
      <c r="A186" s="110"/>
      <c r="B186" s="122" t="s">
        <v>766</v>
      </c>
      <c r="C186" s="146">
        <f t="shared" si="71"/>
        <v>2.5666666666666667E-2</v>
      </c>
      <c r="D186" s="145">
        <f>VLOOKUP(C186,$AL$123:$AN$154,2)</f>
        <v>-266716.04756455519</v>
      </c>
      <c r="E186" s="146">
        <f t="shared" si="72"/>
        <v>7.6999999999999999E-2</v>
      </c>
      <c r="F186" s="145">
        <f>VLOOKUP(E186,$AL$123:$AN$154,2)</f>
        <v>-219460.35140195131</v>
      </c>
      <c r="G186" s="145">
        <f>VLOOKUP(C186,$AL$123:$AN$154,3)</f>
        <v>35672.401082880984</v>
      </c>
      <c r="H186" s="145">
        <f>VLOOKUP(E186,$AL$123:$AN$154,3)</f>
        <v>36644.436599916182</v>
      </c>
      <c r="I186" s="110"/>
      <c r="J186" s="110"/>
      <c r="K186" s="110"/>
      <c r="L186" s="110"/>
      <c r="M186" s="110"/>
      <c r="N186" s="110"/>
      <c r="O186" s="110"/>
      <c r="P186" s="110"/>
      <c r="Q186" s="110"/>
      <c r="R186" s="110"/>
      <c r="S186" s="110"/>
      <c r="T186" s="110"/>
      <c r="U186" s="110"/>
      <c r="V186" s="110"/>
      <c r="W186" s="110"/>
      <c r="X186" s="110"/>
      <c r="Y186" s="110"/>
    </row>
    <row r="187" spans="1:25" x14ac:dyDescent="0.3">
      <c r="A187" s="110"/>
      <c r="B187" s="122" t="s">
        <v>767</v>
      </c>
      <c r="C187" s="146">
        <f t="shared" si="71"/>
        <v>1.6542788268380876E-2</v>
      </c>
      <c r="D187" s="145">
        <f>VLOOKUP(C187,$AP$123:$AR$154,2)</f>
        <v>-224004.18899923161</v>
      </c>
      <c r="E187" s="146">
        <f t="shared" si="72"/>
        <v>4.9628364805142627E-2</v>
      </c>
      <c r="F187" s="145">
        <f>VLOOKUP(E187,$AP$123:$AR$154,2)</f>
        <v>-258898.11994987074</v>
      </c>
      <c r="G187" s="145">
        <f>VLOOKUP(C187,$AP$123:$AR$154,3)</f>
        <v>36531.560653357024</v>
      </c>
      <c r="H187" s="145">
        <f>VLOOKUP(E187,$AP$123:$AR$154,3)</f>
        <v>35810.153150237413</v>
      </c>
      <c r="I187" s="110"/>
      <c r="J187" s="110"/>
      <c r="K187" s="110"/>
      <c r="L187" s="110"/>
      <c r="M187" s="110"/>
      <c r="N187" s="110"/>
      <c r="O187" s="110"/>
      <c r="P187" s="110"/>
      <c r="Q187" s="110"/>
      <c r="R187" s="110"/>
      <c r="S187" s="110"/>
      <c r="T187" s="110"/>
      <c r="U187" s="110"/>
      <c r="V187" s="110"/>
      <c r="W187" s="110"/>
      <c r="X187" s="110"/>
      <c r="Y187" s="110"/>
    </row>
    <row r="188" spans="1:25" x14ac:dyDescent="0.3">
      <c r="A188" s="110"/>
      <c r="B188" s="122" t="s">
        <v>739</v>
      </c>
      <c r="C188" s="123">
        <f t="shared" si="71"/>
        <v>5520</v>
      </c>
      <c r="D188" s="145">
        <f>VLOOKUP(C188,$AL$55:$AN$86,2)</f>
        <v>-241027.33943261922</v>
      </c>
      <c r="E188" s="179">
        <f t="shared" si="72"/>
        <v>11040</v>
      </c>
      <c r="F188" s="123">
        <f>VLOOKUP(E188,$AL$55:$AN$86,2)</f>
        <v>-241027.33943261922</v>
      </c>
      <c r="G188" s="123">
        <f>VLOOKUP(C188,$AL$55:$AN$86,3)</f>
        <v>36189.067544361722</v>
      </c>
      <c r="H188" s="123">
        <f>VLOOKUP(E188,$AL$55:$AN$86,3)</f>
        <v>36189.067544361722</v>
      </c>
      <c r="I188" s="110"/>
      <c r="J188" s="110"/>
      <c r="K188" s="110"/>
      <c r="L188" s="110"/>
      <c r="M188" s="110"/>
      <c r="N188" s="110"/>
      <c r="O188" s="110"/>
      <c r="P188" s="110"/>
      <c r="Q188" s="110"/>
      <c r="R188" s="110"/>
      <c r="S188" s="110"/>
      <c r="T188" s="110"/>
      <c r="U188" s="110"/>
      <c r="V188" s="110"/>
      <c r="W188" s="110"/>
      <c r="X188" s="110"/>
      <c r="Y188" s="110"/>
    </row>
    <row r="189" spans="1:25" x14ac:dyDescent="0.3">
      <c r="A189" s="110"/>
      <c r="B189" s="122" t="s">
        <v>279</v>
      </c>
      <c r="C189" s="123">
        <f t="shared" si="71"/>
        <v>88.5</v>
      </c>
      <c r="D189" s="145">
        <f>VLOOKUP(C189,$AP$55:$AR$86,2)</f>
        <v>-240847.97998709735</v>
      </c>
      <c r="E189" s="179">
        <f t="shared" si="72"/>
        <v>265.5</v>
      </c>
      <c r="F189" s="123">
        <f>VLOOKUP(E189,$AP$55:$AR$86,2)</f>
        <v>-240737.05757505898</v>
      </c>
      <c r="G189" s="123">
        <f>VLOOKUP(C189,$AP$55:$AR$86,3)</f>
        <v>36165.846734898558</v>
      </c>
      <c r="H189" s="123">
        <f>VLOOKUP(E189,$AP$55:$AR$86,3)</f>
        <v>36151.486140798574</v>
      </c>
      <c r="I189" s="110" t="s">
        <v>775</v>
      </c>
      <c r="J189" s="110"/>
      <c r="K189" s="110"/>
      <c r="L189" s="110"/>
      <c r="M189" s="110"/>
      <c r="N189" s="110"/>
      <c r="O189" s="110"/>
      <c r="P189" s="110"/>
      <c r="Q189" s="110"/>
      <c r="R189" s="110"/>
      <c r="S189" s="110"/>
      <c r="T189" s="110"/>
      <c r="U189" s="110"/>
      <c r="V189" s="110"/>
      <c r="W189" s="110"/>
      <c r="X189" s="110"/>
      <c r="Y189" s="110"/>
    </row>
    <row r="190" spans="1:25" x14ac:dyDescent="0.3">
      <c r="A190" s="110"/>
      <c r="B190" s="122" t="s">
        <v>280</v>
      </c>
      <c r="C190" s="123">
        <f t="shared" si="71"/>
        <v>288.95085405405405</v>
      </c>
      <c r="D190" s="145">
        <f>VLOOKUP(C190,$AT$55:$AV$86,2)</f>
        <v>-240699.44351906455</v>
      </c>
      <c r="E190" s="179">
        <f t="shared" si="72"/>
        <v>866.85256216216214</v>
      </c>
      <c r="F190" s="123">
        <f>VLOOKUP(E190,$AT$55:$AV$86,2)</f>
        <v>-240875.69161188928</v>
      </c>
      <c r="G190" s="123">
        <f>VLOOKUP(C190,$AT$55:$AV$86,3)</f>
        <v>36146.616428892172</v>
      </c>
      <c r="H190" s="123">
        <f>VLOOKUP(E190,$AT$55:$AV$86,3)</f>
        <v>36169.434426404492</v>
      </c>
      <c r="I190" s="110"/>
      <c r="J190" s="110"/>
      <c r="K190" s="110"/>
      <c r="L190" s="110"/>
      <c r="M190" s="110"/>
      <c r="N190" s="110"/>
      <c r="O190" s="110"/>
      <c r="P190" s="110"/>
      <c r="Q190" s="110"/>
      <c r="R190" s="110"/>
      <c r="S190" s="110"/>
      <c r="T190" s="110"/>
      <c r="U190" s="110"/>
      <c r="V190" s="110"/>
      <c r="W190" s="110"/>
      <c r="X190" s="110"/>
      <c r="Y190" s="110"/>
    </row>
    <row r="191" spans="1:25" x14ac:dyDescent="0.3">
      <c r="A191" s="110"/>
      <c r="B191" s="122" t="s">
        <v>281</v>
      </c>
      <c r="C191" s="123">
        <f t="shared" si="71"/>
        <v>99325.882799999992</v>
      </c>
      <c r="D191" s="145">
        <f>VLOOKUP(C191,$AX$55:$AZ$86,2)</f>
        <v>-90952.031467198758</v>
      </c>
      <c r="E191" s="179">
        <f t="shared" si="72"/>
        <v>297977.64839999995</v>
      </c>
      <c r="F191" s="123">
        <f>VLOOKUP(E191,$AX$55:$AZ$86,2)</f>
        <v>-276138.72481576662</v>
      </c>
      <c r="G191" s="123">
        <f>VLOOKUP(C191,$AX$55:$AZ$86,3)</f>
        <v>16759.535292792229</v>
      </c>
      <c r="H191" s="123">
        <f>VLOOKUP(E191,$AX$55:$AZ$86,3)</f>
        <v>40734.770658003414</v>
      </c>
      <c r="I191" s="110"/>
      <c r="J191" s="110"/>
      <c r="K191" s="110"/>
      <c r="L191" s="110"/>
      <c r="M191" s="110"/>
      <c r="N191" s="110"/>
      <c r="O191" s="110"/>
      <c r="P191" s="110"/>
      <c r="Q191" s="110"/>
      <c r="R191" s="110"/>
      <c r="S191" s="110"/>
      <c r="T191" s="110"/>
      <c r="U191" s="110"/>
      <c r="V191" s="110"/>
      <c r="W191" s="110"/>
      <c r="X191" s="110"/>
      <c r="Y191" s="110"/>
    </row>
    <row r="192" spans="1:25" x14ac:dyDescent="0.3">
      <c r="B192" s="122" t="s">
        <v>730</v>
      </c>
      <c r="C192" s="123">
        <f t="shared" si="71"/>
        <v>1549.44</v>
      </c>
      <c r="D192" s="145">
        <f>VLOOKUP(C192,$AL$89:$AN$120,2)</f>
        <v>-240503.96412092989</v>
      </c>
      <c r="E192" s="179">
        <f t="shared" si="72"/>
        <v>4648.32</v>
      </c>
      <c r="F192" s="123">
        <f>VLOOKUP(E192,$AL$89:$AN$120,2)</f>
        <v>-237485.10266255416</v>
      </c>
      <c r="G192" s="123">
        <f>VLOOKUP(C192,$AL$89:$AN$120,3)</f>
        <v>36121.30864627246</v>
      </c>
      <c r="H192" s="123">
        <f>VLOOKUP(E192,$AL$89:$AN$120,3)</f>
        <v>35730.471093688218</v>
      </c>
    </row>
    <row r="193" spans="2:8" x14ac:dyDescent="0.3">
      <c r="B193" s="122" t="s">
        <v>339</v>
      </c>
      <c r="C193" s="123">
        <f t="shared" si="71"/>
        <v>896</v>
      </c>
      <c r="D193" s="145">
        <f>VLOOKUP(C193,$AP$89:$AR$120,2)</f>
        <v>-240752.1800822556</v>
      </c>
      <c r="E193" s="179">
        <f t="shared" si="72"/>
        <v>2688</v>
      </c>
      <c r="F193" s="123">
        <f>VLOOKUP(E193,$AP$89:$AR$120,2)</f>
        <v>-240829.0325691406</v>
      </c>
      <c r="G193" s="123">
        <f>VLOOKUP(C193,$AP$89:$AR$120,3)</f>
        <v>36153.443979468269</v>
      </c>
      <c r="H193" s="123">
        <f>VLOOKUP(E193,$AP$89:$AR$120,3)</f>
        <v>36163.393703328838</v>
      </c>
    </row>
    <row r="194" spans="2:8" x14ac:dyDescent="0.3">
      <c r="B194" s="122" t="s">
        <v>282</v>
      </c>
      <c r="C194" s="123">
        <f t="shared" si="71"/>
        <v>15297.805074102818</v>
      </c>
      <c r="D194" s="145">
        <f>VLOOKUP(C194,$AT$89:$AV$120,2)</f>
        <v>-238793.07291064164</v>
      </c>
      <c r="E194" s="179">
        <f t="shared" si="72"/>
        <v>45893.415222308453</v>
      </c>
      <c r="F194" s="123">
        <f>VLOOKUP(E194,$AT$89:$AV$120,2)</f>
        <v>-242654.9708464171</v>
      </c>
      <c r="G194" s="123">
        <f>VLOOKUP(C194,$AT$89:$AV$120,3)</f>
        <v>35899.807745158992</v>
      </c>
      <c r="H194" s="123">
        <f>VLOOKUP(E194,$AT$89:$AV$120,3)</f>
        <v>36399.789197888764</v>
      </c>
    </row>
    <row r="195" spans="2:8" x14ac:dyDescent="0.3">
      <c r="B195" s="122" t="s">
        <v>283</v>
      </c>
      <c r="C195" s="123">
        <f t="shared" si="71"/>
        <v>1468.1302000000001</v>
      </c>
      <c r="D195" s="145">
        <f>VLOOKUP(C195,$AX$89:$AZ$120,2)</f>
        <v>-240468.54258140089</v>
      </c>
      <c r="E195" s="179">
        <f t="shared" si="72"/>
        <v>4404.3906000000006</v>
      </c>
      <c r="F195" s="123">
        <f>VLOOKUP(E195,$AX$89:$AZ$120,2)</f>
        <v>-241112.67006999487</v>
      </c>
      <c r="G195" s="123">
        <f>VLOOKUP(C195,$AX$89:$AZ$120,3)</f>
        <v>36116.722788985149</v>
      </c>
      <c r="H195" s="123">
        <f>VLOOKUP(E195,$AX$89:$AZ$120,3)</f>
        <v>36200.1148938119</v>
      </c>
    </row>
    <row r="196" spans="2:8" x14ac:dyDescent="0.3">
      <c r="B196" s="122" t="s">
        <v>284</v>
      </c>
      <c r="C196" s="123">
        <f t="shared" si="71"/>
        <v>21291.255451199999</v>
      </c>
      <c r="D196" s="145">
        <f>VLOOKUP(C196,$AT$123:$AV$154,2)</f>
        <v>-235504.46267890817</v>
      </c>
      <c r="E196" s="179">
        <f t="shared" si="72"/>
        <v>63873.766353599996</v>
      </c>
      <c r="F196" s="123">
        <f>VLOOKUP(E196,$AT$123:$AV$154,2)</f>
        <v>-245724.34039603596</v>
      </c>
      <c r="G196" s="123">
        <f>VLOOKUP(C196,$AT$123:$AV$154,3)</f>
        <v>35474.047109205276</v>
      </c>
      <c r="H196" s="123">
        <f>VLOOKUP(E196,$AT$123:$AV$154,3)</f>
        <v>36797.165791445688</v>
      </c>
    </row>
    <row r="197" spans="2:8" x14ac:dyDescent="0.3">
      <c r="B197" s="122" t="s">
        <v>285</v>
      </c>
      <c r="C197" s="123">
        <f t="shared" si="71"/>
        <v>1909.5</v>
      </c>
      <c r="D197" s="145">
        <f>VLOOKUP(C197,$AX$123:$AZ$154,2)</f>
        <v>-240785.67200900498</v>
      </c>
      <c r="E197" s="179">
        <f t="shared" si="72"/>
        <v>5728.5</v>
      </c>
      <c r="F197" s="123">
        <f>VLOOKUP(E197,$AX$123:$AZ$154,2)</f>
        <v>-240795.21168794471</v>
      </c>
      <c r="G197" s="123">
        <f>VLOOKUP(C197,$AX$123:$AZ$154,3)</f>
        <v>36157.780019019119</v>
      </c>
      <c r="H197" s="123">
        <f>VLOOKUP(E197,$AX$123:$AZ$154,3)</f>
        <v>36159.015075619318</v>
      </c>
    </row>
    <row r="198" spans="2:8" x14ac:dyDescent="0.3">
      <c r="B198" s="122" t="s">
        <v>286</v>
      </c>
      <c r="C198" s="123">
        <f t="shared" si="71"/>
        <v>453.5</v>
      </c>
      <c r="D198" s="145">
        <f>VLOOKUP(C198,$BB$123:$BD$154,2)</f>
        <v>-240680.90605330296</v>
      </c>
      <c r="E198" s="179">
        <f t="shared" si="72"/>
        <v>1360.5</v>
      </c>
      <c r="F198" s="123">
        <f>VLOOKUP(E198,$BB$123:$BD$154,2)</f>
        <v>-240892.99324660096</v>
      </c>
      <c r="G198" s="123">
        <f>VLOOKUP(C198,$BB$123:$BD$154,3)</f>
        <v>36144.216471872191</v>
      </c>
      <c r="H198" s="123">
        <f>VLOOKUP(E198,$BB$123:$BD$154,3)</f>
        <v>36171.674386289917</v>
      </c>
    </row>
    <row r="199" spans="2:8" x14ac:dyDescent="0.3">
      <c r="B199" s="122" t="s">
        <v>287</v>
      </c>
      <c r="C199" s="123">
        <f t="shared" si="71"/>
        <v>1681.5</v>
      </c>
      <c r="D199" s="145">
        <f>VLOOKUP(C199,$BF$123:$BH$154,2)</f>
        <v>-241269.46960387906</v>
      </c>
      <c r="E199" s="179">
        <f t="shared" si="72"/>
        <v>5044.5</v>
      </c>
      <c r="F199" s="123">
        <f>VLOOKUP(E199,$BF$123:$BH$154,2)</f>
        <v>-240343.66726606304</v>
      </c>
      <c r="G199" s="123">
        <f>VLOOKUP(C199,$BF$123:$BH$154,3)</f>
        <v>36220.414979428489</v>
      </c>
      <c r="H199" s="123">
        <f>VLOOKUP(E199,$BF$123:$BH$154,3)</f>
        <v>36100.555779237344</v>
      </c>
    </row>
    <row r="200" spans="2:8" x14ac:dyDescent="0.3">
      <c r="G200" s="110"/>
    </row>
    <row r="201" spans="2:8" ht="15" thickBot="1" x14ac:dyDescent="0.35">
      <c r="B201" s="110"/>
      <c r="C201" s="110"/>
      <c r="D201" s="110"/>
      <c r="E201" s="110"/>
      <c r="F201" s="110"/>
      <c r="G201" s="110"/>
    </row>
    <row r="202" spans="2:8" x14ac:dyDescent="0.3">
      <c r="B202" s="110"/>
      <c r="C202" s="230" t="s">
        <v>771</v>
      </c>
      <c r="D202" s="230" t="s">
        <v>776</v>
      </c>
      <c r="E202" s="230" t="s">
        <v>773</v>
      </c>
      <c r="F202" s="230" t="s">
        <v>777</v>
      </c>
      <c r="G202" s="110"/>
    </row>
    <row r="203" spans="2:8" ht="15" thickBot="1" x14ac:dyDescent="0.35">
      <c r="B203" s="110"/>
      <c r="C203" s="231"/>
      <c r="D203" s="231"/>
      <c r="E203" s="231"/>
      <c r="F203" s="231"/>
      <c r="G203" s="110"/>
    </row>
    <row r="204" spans="2:8" x14ac:dyDescent="0.3">
      <c r="B204" s="115" t="s">
        <v>278</v>
      </c>
      <c r="C204" s="147">
        <f>$B$56</f>
        <v>1150</v>
      </c>
      <c r="D204" s="147">
        <f>VLOOKUP($C$160,$B$55:$D$86,3)</f>
        <v>37308.418841398539</v>
      </c>
      <c r="E204" s="147">
        <f>$B$86</f>
        <v>3449.9999999999982</v>
      </c>
      <c r="F204" s="148">
        <f>VLOOKUP($E$160,$B$55:$D$86,3)</f>
        <v>35008.418841398496</v>
      </c>
    </row>
    <row r="205" spans="2:8" x14ac:dyDescent="0.3">
      <c r="B205" s="149" t="s">
        <v>314</v>
      </c>
      <c r="C205" s="150">
        <f>$F$56</f>
        <v>5.0500000000000003E-2</v>
      </c>
      <c r="D205" s="151">
        <f>VLOOKUP($C$161,$F$55:H161,3)</f>
        <v>34947.044438266355</v>
      </c>
      <c r="E205" s="150">
        <f>$F$86</f>
        <v>0.15150000000000002</v>
      </c>
      <c r="F205" s="152">
        <f>VLOOKUP($E$161,$F$55:$H$86,3)</f>
        <v>37369.793244530723</v>
      </c>
    </row>
    <row r="206" spans="2:8" x14ac:dyDescent="0.3">
      <c r="B206" s="149" t="s">
        <v>646</v>
      </c>
      <c r="C206" s="150">
        <f>$J$56</f>
        <v>0.69</v>
      </c>
      <c r="D206" s="151">
        <f>VLOOKUP($C$162,$J$55:$L$86,3)</f>
        <v>37436.485734884453</v>
      </c>
      <c r="E206" s="150">
        <f>$J$86</f>
        <v>0.84000000000000008</v>
      </c>
      <c r="F206" s="152">
        <f>VLOOKUP($E$162,$J$55:$L$86,3)</f>
        <v>34789.061455520845</v>
      </c>
    </row>
    <row r="207" spans="2:8" x14ac:dyDescent="0.3">
      <c r="B207" s="149" t="s">
        <v>315</v>
      </c>
      <c r="C207" s="150">
        <f>$N$56</f>
        <v>0.63</v>
      </c>
      <c r="D207" s="151">
        <f>VLOOKUP($C$163,$N$55:$P$86,3)</f>
        <v>44197.086215098258</v>
      </c>
      <c r="E207" s="150">
        <f>$N$86</f>
        <v>0.81999999999999906</v>
      </c>
      <c r="F207" s="152">
        <f>VLOOKUP($E$163,$N$55:$P$86,3)</f>
        <v>25105.251202561441</v>
      </c>
    </row>
    <row r="208" spans="2:8" x14ac:dyDescent="0.3">
      <c r="B208" s="149" t="s">
        <v>316</v>
      </c>
      <c r="C208" s="150">
        <f>$R$56</f>
        <v>0.82</v>
      </c>
      <c r="D208" s="151">
        <f>VLOOKUP($C$164,$R$55:$T$86,3)</f>
        <v>36448.671011600178</v>
      </c>
      <c r="E208" s="150">
        <f>$R$86</f>
        <v>0.99000000000000121</v>
      </c>
      <c r="F208" s="152">
        <f>VLOOKUP($E$164,$R$55:$T$86,3)</f>
        <v>35852.444678644439</v>
      </c>
    </row>
    <row r="209" spans="2:6" ht="15" thickBot="1" x14ac:dyDescent="0.35">
      <c r="B209" s="118" t="s">
        <v>675</v>
      </c>
      <c r="C209" s="153">
        <f>$V$56</f>
        <v>4.65E-2</v>
      </c>
      <c r="D209" s="154">
        <f>VLOOKUP($C$164,$V$55:$X$86,3)</f>
        <v>36582.123453267435</v>
      </c>
      <c r="E209" s="153">
        <f>$V$86</f>
        <v>0.13950000000000007</v>
      </c>
      <c r="F209" s="155">
        <f>VLOOKUP($E$164,$V$55:$X$86,3)</f>
        <v>36582.123453267435</v>
      </c>
    </row>
  </sheetData>
  <mergeCells count="16">
    <mergeCell ref="F202:F203"/>
    <mergeCell ref="B2:T2"/>
    <mergeCell ref="B52:X52"/>
    <mergeCell ref="B156:T156"/>
    <mergeCell ref="C158:C159"/>
    <mergeCell ref="D158:D159"/>
    <mergeCell ref="E158:E159"/>
    <mergeCell ref="F158:F159"/>
    <mergeCell ref="G158:G159"/>
    <mergeCell ref="H158:H159"/>
    <mergeCell ref="H7:K7"/>
    <mergeCell ref="B8:B9"/>
    <mergeCell ref="C8:C9"/>
    <mergeCell ref="C202:C203"/>
    <mergeCell ref="D202:D203"/>
    <mergeCell ref="E202:E203"/>
  </mergeCells>
  <conditionalFormatting sqref="C5:C6 C10:C50">
    <cfRule type="cellIs" dxfId="89" priority="182" stopIfTrue="1" operator="equal">
      <formula>0</formula>
    </cfRule>
  </conditionalFormatting>
  <conditionalFormatting sqref="C55:D55">
    <cfRule type="cellIs" dxfId="88" priority="181" stopIfTrue="1" operator="equal">
      <formula>0</formula>
    </cfRule>
  </conditionalFormatting>
  <conditionalFormatting sqref="C5">
    <cfRule type="cellIs" dxfId="87" priority="180" stopIfTrue="1" operator="equal">
      <formula>0</formula>
    </cfRule>
  </conditionalFormatting>
  <conditionalFormatting sqref="C160:F187 D188:D199">
    <cfRule type="cellIs" dxfId="86" priority="179" stopIfTrue="1" operator="equal">
      <formula>0</formula>
    </cfRule>
  </conditionalFormatting>
  <conditionalFormatting sqref="C56:D86">
    <cfRule type="cellIs" dxfId="85" priority="178" stopIfTrue="1" operator="equal">
      <formula>0</formula>
    </cfRule>
  </conditionalFormatting>
  <conditionalFormatting sqref="G56:H86">
    <cfRule type="cellIs" dxfId="84" priority="177" stopIfTrue="1" operator="equal">
      <formula>0</formula>
    </cfRule>
  </conditionalFormatting>
  <conditionalFormatting sqref="K56:L86">
    <cfRule type="cellIs" dxfId="83" priority="176" stopIfTrue="1" operator="equal">
      <formula>0</formula>
    </cfRule>
  </conditionalFormatting>
  <conditionalFormatting sqref="O56:P86">
    <cfRule type="cellIs" dxfId="82" priority="175" stopIfTrue="1" operator="equal">
      <formula>0</formula>
    </cfRule>
  </conditionalFormatting>
  <conditionalFormatting sqref="S56:T86">
    <cfRule type="cellIs" dxfId="81" priority="174" stopIfTrue="1" operator="equal">
      <formula>0</formula>
    </cfRule>
  </conditionalFormatting>
  <conditionalFormatting sqref="K55:L55">
    <cfRule type="cellIs" dxfId="80" priority="172" stopIfTrue="1" operator="equal">
      <formula>0</formula>
    </cfRule>
  </conditionalFormatting>
  <conditionalFormatting sqref="O55:P55">
    <cfRule type="cellIs" dxfId="79" priority="171" stopIfTrue="1" operator="equal">
      <formula>0</formula>
    </cfRule>
  </conditionalFormatting>
  <conditionalFormatting sqref="S55:T55">
    <cfRule type="cellIs" dxfId="78" priority="170" stopIfTrue="1" operator="equal">
      <formula>0</formula>
    </cfRule>
  </conditionalFormatting>
  <conditionalFormatting sqref="AA55:AB55">
    <cfRule type="cellIs" dxfId="77" priority="169" stopIfTrue="1" operator="equal">
      <formula>0</formula>
    </cfRule>
  </conditionalFormatting>
  <conditionalFormatting sqref="AA56:AB86">
    <cfRule type="cellIs" dxfId="76" priority="168" stopIfTrue="1" operator="equal">
      <formula>0</formula>
    </cfRule>
  </conditionalFormatting>
  <conditionalFormatting sqref="C204:F208 D209 F209">
    <cfRule type="cellIs" dxfId="75" priority="167" stopIfTrue="1" operator="equal">
      <formula>0</formula>
    </cfRule>
  </conditionalFormatting>
  <conditionalFormatting sqref="W55:X55">
    <cfRule type="cellIs" dxfId="74" priority="165" stopIfTrue="1" operator="equal">
      <formula>0</formula>
    </cfRule>
  </conditionalFormatting>
  <conditionalFormatting sqref="W56:X86">
    <cfRule type="cellIs" dxfId="73" priority="166" stopIfTrue="1" operator="equal">
      <formula>0</formula>
    </cfRule>
  </conditionalFormatting>
  <conditionalFormatting sqref="C209 E209">
    <cfRule type="cellIs" dxfId="72" priority="164" stopIfTrue="1" operator="equal">
      <formula>0</formula>
    </cfRule>
  </conditionalFormatting>
  <conditionalFormatting sqref="AE55:AF55">
    <cfRule type="cellIs" dxfId="71" priority="163" stopIfTrue="1" operator="equal">
      <formula>0</formula>
    </cfRule>
  </conditionalFormatting>
  <conditionalFormatting sqref="AE56:AF86">
    <cfRule type="cellIs" dxfId="70" priority="162" stopIfTrue="1" operator="equal">
      <formula>0</formula>
    </cfRule>
  </conditionalFormatting>
  <conditionalFormatting sqref="AI55:AJ55">
    <cfRule type="cellIs" dxfId="69" priority="161" stopIfTrue="1" operator="equal">
      <formula>0</formula>
    </cfRule>
  </conditionalFormatting>
  <conditionalFormatting sqref="AI56:AJ86">
    <cfRule type="cellIs" dxfId="68" priority="160" stopIfTrue="1" operator="equal">
      <formula>0</formula>
    </cfRule>
  </conditionalFormatting>
  <conditionalFormatting sqref="G55:H55">
    <cfRule type="cellIs" dxfId="67" priority="119" stopIfTrue="1" operator="equal">
      <formula>0</formula>
    </cfRule>
  </conditionalFormatting>
  <conditionalFormatting sqref="C89:D89">
    <cfRule type="cellIs" dxfId="66" priority="90" stopIfTrue="1" operator="equal">
      <formula>0</formula>
    </cfRule>
  </conditionalFormatting>
  <conditionalFormatting sqref="C90:D120">
    <cfRule type="cellIs" dxfId="65" priority="89" stopIfTrue="1" operator="equal">
      <formula>0</formula>
    </cfRule>
  </conditionalFormatting>
  <conditionalFormatting sqref="G89:H89">
    <cfRule type="cellIs" dxfId="64" priority="87" stopIfTrue="1" operator="equal">
      <formula>0</formula>
    </cfRule>
  </conditionalFormatting>
  <conditionalFormatting sqref="G90:H120">
    <cfRule type="cellIs" dxfId="63" priority="86" stopIfTrue="1" operator="equal">
      <formula>0</formula>
    </cfRule>
  </conditionalFormatting>
  <conditionalFormatting sqref="K89:L89">
    <cfRule type="cellIs" dxfId="62" priority="84" stopIfTrue="1" operator="equal">
      <formula>0</formula>
    </cfRule>
  </conditionalFormatting>
  <conditionalFormatting sqref="K90:L120">
    <cfRule type="cellIs" dxfId="61" priority="83" stopIfTrue="1" operator="equal">
      <formula>0</formula>
    </cfRule>
  </conditionalFormatting>
  <conditionalFormatting sqref="O89:P89">
    <cfRule type="cellIs" dxfId="60" priority="82" stopIfTrue="1" operator="equal">
      <formula>0</formula>
    </cfRule>
  </conditionalFormatting>
  <conditionalFormatting sqref="O90:P120">
    <cfRule type="cellIs" dxfId="59" priority="81" stopIfTrue="1" operator="equal">
      <formula>0</formula>
    </cfRule>
  </conditionalFormatting>
  <conditionalFormatting sqref="S89:T89">
    <cfRule type="cellIs" dxfId="58" priority="80" stopIfTrue="1" operator="equal">
      <formula>0</formula>
    </cfRule>
  </conditionalFormatting>
  <conditionalFormatting sqref="S90:T120">
    <cfRule type="cellIs" dxfId="57" priority="79" stopIfTrue="1" operator="equal">
      <formula>0</formula>
    </cfRule>
  </conditionalFormatting>
  <conditionalFormatting sqref="W89:X89">
    <cfRule type="cellIs" dxfId="56" priority="78" stopIfTrue="1" operator="equal">
      <formula>0</formula>
    </cfRule>
  </conditionalFormatting>
  <conditionalFormatting sqref="W90:X120">
    <cfRule type="cellIs" dxfId="55" priority="77" stopIfTrue="1" operator="equal">
      <formula>0</formula>
    </cfRule>
  </conditionalFormatting>
  <conditionalFormatting sqref="AA89:AB89">
    <cfRule type="cellIs" dxfId="54" priority="76" stopIfTrue="1" operator="equal">
      <formula>0</formula>
    </cfRule>
  </conditionalFormatting>
  <conditionalFormatting sqref="AA90:AB120">
    <cfRule type="cellIs" dxfId="53" priority="75" stopIfTrue="1" operator="equal">
      <formula>0</formula>
    </cfRule>
  </conditionalFormatting>
  <conditionalFormatting sqref="AE89:AF89">
    <cfRule type="cellIs" dxfId="52" priority="74" stopIfTrue="1" operator="equal">
      <formula>0</formula>
    </cfRule>
  </conditionalFormatting>
  <conditionalFormatting sqref="AE90:AF120">
    <cfRule type="cellIs" dxfId="51" priority="73" stopIfTrue="1" operator="equal">
      <formula>0</formula>
    </cfRule>
  </conditionalFormatting>
  <conditionalFormatting sqref="AI89:AJ89">
    <cfRule type="cellIs" dxfId="50" priority="72" stopIfTrue="1" operator="equal">
      <formula>0</formula>
    </cfRule>
  </conditionalFormatting>
  <conditionalFormatting sqref="AI90:AJ120">
    <cfRule type="cellIs" dxfId="49" priority="71" stopIfTrue="1" operator="equal">
      <formula>0</formula>
    </cfRule>
  </conditionalFormatting>
  <conditionalFormatting sqref="C124:D154">
    <cfRule type="cellIs" dxfId="48" priority="69" stopIfTrue="1" operator="equal">
      <formula>0</formula>
    </cfRule>
  </conditionalFormatting>
  <conditionalFormatting sqref="G124:H154">
    <cfRule type="cellIs" dxfId="47" priority="67" stopIfTrue="1" operator="equal">
      <formula>0</formula>
    </cfRule>
  </conditionalFormatting>
  <conditionalFormatting sqref="K124:L154">
    <cfRule type="cellIs" dxfId="46" priority="65" stopIfTrue="1" operator="equal">
      <formula>0</formula>
    </cfRule>
  </conditionalFormatting>
  <conditionalFormatting sqref="O124:P154">
    <cfRule type="cellIs" dxfId="45" priority="63" stopIfTrue="1" operator="equal">
      <formula>0</formula>
    </cfRule>
  </conditionalFormatting>
  <conditionalFormatting sqref="S124:T154">
    <cfRule type="cellIs" dxfId="44" priority="61" stopIfTrue="1" operator="equal">
      <formula>0</formula>
    </cfRule>
  </conditionalFormatting>
  <conditionalFormatting sqref="W124:X154">
    <cfRule type="cellIs" dxfId="43" priority="59" stopIfTrue="1" operator="equal">
      <formula>0</formula>
    </cfRule>
  </conditionalFormatting>
  <conditionalFormatting sqref="AA124:AB154">
    <cfRule type="cellIs" dxfId="42" priority="57" stopIfTrue="1" operator="equal">
      <formula>0</formula>
    </cfRule>
  </conditionalFormatting>
  <conditionalFormatting sqref="AE124:AF154">
    <cfRule type="cellIs" dxfId="41" priority="55" stopIfTrue="1" operator="equal">
      <formula>0</formula>
    </cfRule>
  </conditionalFormatting>
  <conditionalFormatting sqref="AI124:AJ154">
    <cfRule type="cellIs" dxfId="40" priority="53" stopIfTrue="1" operator="equal">
      <formula>0</formula>
    </cfRule>
  </conditionalFormatting>
  <conditionalFormatting sqref="C123:D123">
    <cfRule type="cellIs" dxfId="39" priority="52" stopIfTrue="1" operator="equal">
      <formula>0</formula>
    </cfRule>
  </conditionalFormatting>
  <conditionalFormatting sqref="G123:H123">
    <cfRule type="cellIs" dxfId="38" priority="51" stopIfTrue="1" operator="equal">
      <formula>0</formula>
    </cfRule>
  </conditionalFormatting>
  <conditionalFormatting sqref="K123:L123">
    <cfRule type="cellIs" dxfId="37" priority="50" stopIfTrue="1" operator="equal">
      <formula>0</formula>
    </cfRule>
  </conditionalFormatting>
  <conditionalFormatting sqref="O123:P123">
    <cfRule type="cellIs" dxfId="36" priority="49" stopIfTrue="1" operator="equal">
      <formula>0</formula>
    </cfRule>
  </conditionalFormatting>
  <conditionalFormatting sqref="S123:T123">
    <cfRule type="cellIs" dxfId="35" priority="48" stopIfTrue="1" operator="equal">
      <formula>0</formula>
    </cfRule>
  </conditionalFormatting>
  <conditionalFormatting sqref="W123:X123">
    <cfRule type="cellIs" dxfId="34" priority="47" stopIfTrue="1" operator="equal">
      <formula>0</formula>
    </cfRule>
  </conditionalFormatting>
  <conditionalFormatting sqref="AA123:AB123">
    <cfRule type="cellIs" dxfId="33" priority="46" stopIfTrue="1" operator="equal">
      <formula>0</formula>
    </cfRule>
  </conditionalFormatting>
  <conditionalFormatting sqref="AE123:AF123">
    <cfRule type="cellIs" dxfId="32" priority="45" stopIfTrue="1" operator="equal">
      <formula>0</formula>
    </cfRule>
  </conditionalFormatting>
  <conditionalFormatting sqref="AI123:AJ123">
    <cfRule type="cellIs" dxfId="31" priority="44" stopIfTrue="1" operator="equal">
      <formula>0</formula>
    </cfRule>
  </conditionalFormatting>
  <conditionalFormatting sqref="AM124:AN154">
    <cfRule type="cellIs" dxfId="30" priority="41" stopIfTrue="1" operator="equal">
      <formula>0</formula>
    </cfRule>
  </conditionalFormatting>
  <conditionalFormatting sqref="AQ124:AR154">
    <cfRule type="cellIs" dxfId="29" priority="40" stopIfTrue="1" operator="equal">
      <formula>0</formula>
    </cfRule>
  </conditionalFormatting>
  <conditionalFormatting sqref="AM123:AN123">
    <cfRule type="cellIs" dxfId="28" priority="39" stopIfTrue="1" operator="equal">
      <formula>0</formula>
    </cfRule>
  </conditionalFormatting>
  <conditionalFormatting sqref="AQ123:AR123">
    <cfRule type="cellIs" dxfId="27" priority="38" stopIfTrue="1" operator="equal">
      <formula>0</formula>
    </cfRule>
  </conditionalFormatting>
  <conditionalFormatting sqref="G160:G187">
    <cfRule type="cellIs" dxfId="26" priority="36" stopIfTrue="1" operator="equal">
      <formula>0</formula>
    </cfRule>
  </conditionalFormatting>
  <conditionalFormatting sqref="H160:H187">
    <cfRule type="cellIs" dxfId="25" priority="35" stopIfTrue="1" operator="equal">
      <formula>0</formula>
    </cfRule>
  </conditionalFormatting>
  <conditionalFormatting sqref="BG124:BH154">
    <cfRule type="cellIs" dxfId="24" priority="2" stopIfTrue="1" operator="equal">
      <formula>0</formula>
    </cfRule>
  </conditionalFormatting>
  <conditionalFormatting sqref="AM55:AN55">
    <cfRule type="cellIs" dxfId="23" priority="10" stopIfTrue="1" operator="equal">
      <formula>0</formula>
    </cfRule>
  </conditionalFormatting>
  <conditionalFormatting sqref="AM56:AN86">
    <cfRule type="cellIs" dxfId="22" priority="33" stopIfTrue="1" operator="equal">
      <formula>0</formula>
    </cfRule>
  </conditionalFormatting>
  <conditionalFormatting sqref="AQ56:AR86">
    <cfRule type="cellIs" dxfId="21" priority="31" stopIfTrue="1" operator="equal">
      <formula>0</formula>
    </cfRule>
  </conditionalFormatting>
  <conditionalFormatting sqref="AU56:AV86">
    <cfRule type="cellIs" dxfId="20" priority="29" stopIfTrue="1" operator="equal">
      <formula>0</formula>
    </cfRule>
  </conditionalFormatting>
  <conditionalFormatting sqref="AY56:AZ86">
    <cfRule type="cellIs" dxfId="19" priority="27" stopIfTrue="1" operator="equal">
      <formula>0</formula>
    </cfRule>
  </conditionalFormatting>
  <conditionalFormatting sqref="AM90:AN120">
    <cfRule type="cellIs" dxfId="18" priority="25" stopIfTrue="1" operator="equal">
      <formula>0</formula>
    </cfRule>
  </conditionalFormatting>
  <conditionalFormatting sqref="AQ55:AR55">
    <cfRule type="cellIs" dxfId="17" priority="32" stopIfTrue="1" operator="equal">
      <formula>0</formula>
    </cfRule>
  </conditionalFormatting>
  <conditionalFormatting sqref="AQ90:AR120">
    <cfRule type="cellIs" dxfId="16" priority="23" stopIfTrue="1" operator="equal">
      <formula>0</formula>
    </cfRule>
  </conditionalFormatting>
  <conditionalFormatting sqref="AU90:AV120">
    <cfRule type="cellIs" dxfId="15" priority="21" stopIfTrue="1" operator="equal">
      <formula>0</formula>
    </cfRule>
  </conditionalFormatting>
  <conditionalFormatting sqref="AU55:AV55">
    <cfRule type="cellIs" dxfId="14" priority="30" stopIfTrue="1" operator="equal">
      <formula>0</formula>
    </cfRule>
  </conditionalFormatting>
  <conditionalFormatting sqref="AY90:AZ120">
    <cfRule type="cellIs" dxfId="13" priority="19" stopIfTrue="1" operator="equal">
      <formula>0</formula>
    </cfRule>
  </conditionalFormatting>
  <conditionalFormatting sqref="AY55:AZ55">
    <cfRule type="cellIs" dxfId="12" priority="28" stopIfTrue="1" operator="equal">
      <formula>0</formula>
    </cfRule>
  </conditionalFormatting>
  <conditionalFormatting sqref="AM89:AN89">
    <cfRule type="cellIs" dxfId="11" priority="26" stopIfTrue="1" operator="equal">
      <formula>0</formula>
    </cfRule>
  </conditionalFormatting>
  <conditionalFormatting sqref="AQ89:AR89">
    <cfRule type="cellIs" dxfId="10" priority="24" stopIfTrue="1" operator="equal">
      <formula>0</formula>
    </cfRule>
  </conditionalFormatting>
  <conditionalFormatting sqref="AU89:AV89">
    <cfRule type="cellIs" dxfId="9" priority="22" stopIfTrue="1" operator="equal">
      <formula>0</formula>
    </cfRule>
  </conditionalFormatting>
  <conditionalFormatting sqref="AY89:AZ89">
    <cfRule type="cellIs" dxfId="8" priority="20" stopIfTrue="1" operator="equal">
      <formula>0</formula>
    </cfRule>
  </conditionalFormatting>
  <conditionalFormatting sqref="AU124:AV154">
    <cfRule type="cellIs" dxfId="7" priority="8" stopIfTrue="1" operator="equal">
      <formula>0</formula>
    </cfRule>
  </conditionalFormatting>
  <conditionalFormatting sqref="AY124:AZ154">
    <cfRule type="cellIs" dxfId="6" priority="6" stopIfTrue="1" operator="equal">
      <formula>0</formula>
    </cfRule>
  </conditionalFormatting>
  <conditionalFormatting sqref="BC124:BD154">
    <cfRule type="cellIs" dxfId="5" priority="4" stopIfTrue="1" operator="equal">
      <formula>0</formula>
    </cfRule>
  </conditionalFormatting>
  <conditionalFormatting sqref="AU123:AV123">
    <cfRule type="cellIs" dxfId="4" priority="9" stopIfTrue="1" operator="equal">
      <formula>0</formula>
    </cfRule>
  </conditionalFormatting>
  <conditionalFormatting sqref="AY123:AZ123">
    <cfRule type="cellIs" dxfId="3" priority="7" stopIfTrue="1" operator="equal">
      <formula>0</formula>
    </cfRule>
  </conditionalFormatting>
  <conditionalFormatting sqref="BC123:BD123">
    <cfRule type="cellIs" dxfId="2" priority="5" stopIfTrue="1" operator="equal">
      <formula>0</formula>
    </cfRule>
  </conditionalFormatting>
  <conditionalFormatting sqref="BG123:BH123">
    <cfRule type="cellIs" dxfId="1" priority="3" stopIfTrue="1" operator="equal">
      <formula>0</formula>
    </cfRule>
  </conditionalFormatting>
  <conditionalFormatting sqref="C188:C199">
    <cfRule type="cellIs" dxfId="0" priority="1" stopIfTrue="1" operator="equal">
      <formula>0</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tabColor theme="9" tint="0.79998168889431442"/>
  </sheetPr>
  <dimension ref="A1:DY1014"/>
  <sheetViews>
    <sheetView topLeftCell="C1" zoomScale="70" zoomScaleNormal="70" workbookViewId="0">
      <pane ySplit="5" topLeftCell="A6" activePane="bottomLeft" state="frozen"/>
      <selection pane="bottomLeft" activeCell="Z10" sqref="Z10"/>
    </sheetView>
  </sheetViews>
  <sheetFormatPr defaultColWidth="8.88671875" defaultRowHeight="14.4" x14ac:dyDescent="0.3"/>
  <cols>
    <col min="1" max="1" width="8.88671875" style="110"/>
    <col min="2" max="2" width="8.88671875" style="190"/>
    <col min="3" max="3" width="27.5546875" style="191" bestFit="1" customWidth="1"/>
    <col min="4" max="4" width="18" style="192" bestFit="1" customWidth="1"/>
    <col min="5" max="5" width="10.77734375" style="192" bestFit="1" customWidth="1"/>
    <col min="6" max="6" width="18" style="192" bestFit="1" customWidth="1"/>
    <col min="7" max="7" width="14.77734375" style="192" bestFit="1" customWidth="1"/>
    <col min="8" max="8" width="9.77734375" style="192" bestFit="1" customWidth="1"/>
    <col min="9" max="9" width="17.6640625" style="192" bestFit="1" customWidth="1"/>
    <col min="10" max="10" width="1.77734375" style="190" customWidth="1"/>
    <col min="11" max="11" width="20.44140625" style="193" bestFit="1" customWidth="1"/>
    <col min="12" max="12" width="12.6640625" style="197" bestFit="1" customWidth="1"/>
    <col min="13" max="13" width="11.5546875" style="197" customWidth="1"/>
    <col min="14" max="14" width="17" style="197" bestFit="1" customWidth="1"/>
    <col min="15" max="15" width="14.109375" style="197" bestFit="1" customWidth="1"/>
    <col min="16" max="16" width="2.77734375" style="190" customWidth="1"/>
    <col min="17" max="17" width="13.21875" style="110" bestFit="1" customWidth="1"/>
    <col min="18" max="18" width="6.33203125" style="110" bestFit="1" customWidth="1"/>
    <col min="19" max="19" width="2.44140625" style="194" customWidth="1"/>
    <col min="20" max="20" width="17.21875" style="110" bestFit="1" customWidth="1"/>
    <col min="21" max="21" width="10.6640625" style="110" bestFit="1" customWidth="1"/>
    <col min="22" max="22" width="6.33203125" style="110" bestFit="1" customWidth="1"/>
    <col min="23" max="23" width="2.44140625" style="110" customWidth="1"/>
    <col min="24" max="16384" width="8.88671875" style="110"/>
  </cols>
  <sheetData>
    <row r="1" spans="1:129" x14ac:dyDescent="0.3">
      <c r="C1" s="191" t="s">
        <v>798</v>
      </c>
      <c r="K1" s="193" t="s">
        <v>799</v>
      </c>
      <c r="L1" s="110">
        <v>0</v>
      </c>
      <c r="M1" s="110"/>
      <c r="N1" s="110"/>
      <c r="O1" s="110"/>
    </row>
    <row r="2" spans="1:129" x14ac:dyDescent="0.3">
      <c r="C2" s="195" t="s">
        <v>5</v>
      </c>
      <c r="D2" s="196"/>
      <c r="E2" s="195" t="s">
        <v>4</v>
      </c>
      <c r="F2" s="196"/>
      <c r="G2" s="191" t="s">
        <v>800</v>
      </c>
      <c r="H2" s="191"/>
      <c r="I2" s="196"/>
      <c r="K2" s="193" t="s">
        <v>801</v>
      </c>
      <c r="Q2" s="110" t="s">
        <v>802</v>
      </c>
      <c r="T2" s="110" t="s">
        <v>803</v>
      </c>
    </row>
    <row r="3" spans="1:129" s="198" customFormat="1" x14ac:dyDescent="0.3">
      <c r="B3" s="199"/>
      <c r="C3" s="200" t="s">
        <v>258</v>
      </c>
      <c r="D3" s="192" t="s">
        <v>67</v>
      </c>
      <c r="E3" s="200" t="s">
        <v>258</v>
      </c>
      <c r="F3" s="192" t="s">
        <v>67</v>
      </c>
      <c r="G3" s="200" t="s">
        <v>810</v>
      </c>
      <c r="H3" s="200" t="s">
        <v>713</v>
      </c>
      <c r="I3" s="192" t="s">
        <v>67</v>
      </c>
      <c r="J3" s="199"/>
      <c r="K3" s="193" t="s">
        <v>4</v>
      </c>
      <c r="L3" s="193" t="s">
        <v>5</v>
      </c>
      <c r="M3" s="193" t="s">
        <v>811</v>
      </c>
      <c r="N3" s="193" t="s">
        <v>272</v>
      </c>
      <c r="O3" s="193" t="s">
        <v>62</v>
      </c>
      <c r="P3" s="199"/>
      <c r="Q3" s="193" t="s">
        <v>5</v>
      </c>
      <c r="R3" s="193" t="s">
        <v>4</v>
      </c>
      <c r="S3" s="194"/>
      <c r="T3" s="198" t="s">
        <v>799</v>
      </c>
      <c r="U3" s="242" t="s">
        <v>804</v>
      </c>
      <c r="V3" s="242"/>
    </row>
    <row r="4" spans="1:129" ht="15" thickBot="1" x14ac:dyDescent="0.35">
      <c r="C4" s="201">
        <f>Output!E4</f>
        <v>1.3097675131226969</v>
      </c>
      <c r="D4" s="202">
        <f>Output!B4</f>
        <v>122246.44656976325</v>
      </c>
      <c r="E4" s="203">
        <f>Output!E3</f>
        <v>1.1803022965259311</v>
      </c>
      <c r="F4" s="202">
        <f>Output!B3</f>
        <v>91072.43856734017</v>
      </c>
      <c r="G4" s="203">
        <f>E4-C4</f>
        <v>-0.1294652165967658</v>
      </c>
      <c r="H4" s="203">
        <f>C4-E4</f>
        <v>0.1294652165967658</v>
      </c>
      <c r="I4" s="202">
        <f>F4-D4</f>
        <v>-31174.008002423085</v>
      </c>
      <c r="K4" s="202">
        <f>(-E4*Threshold)-F4</f>
        <v>-136514.07698358851</v>
      </c>
      <c r="L4" s="202">
        <f>(-C4*Threshold)-D4</f>
        <v>-172672.49582498707</v>
      </c>
      <c r="M4" s="221">
        <f>K4-L4</f>
        <v>36158.418841398554</v>
      </c>
      <c r="N4" s="221">
        <f>(Threshold*Simulation!H4)-Simulation!I4</f>
        <v>36158.418841398568</v>
      </c>
      <c r="O4" s="221">
        <f>(F4-D4)/(C4-E4)</f>
        <v>-240790.60632569823</v>
      </c>
      <c r="Q4" s="204">
        <f>AVERAGE(Q6:Q1005)</f>
        <v>2E-3</v>
      </c>
      <c r="R4" s="204">
        <f>AVERAGE(R5:R1004)</f>
        <v>0.99799799799799804</v>
      </c>
      <c r="U4" s="198" t="s">
        <v>4</v>
      </c>
      <c r="V4" s="198" t="s">
        <v>5</v>
      </c>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c r="DR4" s="198"/>
      <c r="DS4" s="198"/>
      <c r="DT4" s="198"/>
      <c r="DU4" s="198"/>
      <c r="DV4" s="198"/>
      <c r="DW4" s="198"/>
      <c r="DX4" s="198"/>
      <c r="DY4" s="198"/>
    </row>
    <row r="5" spans="1:129" s="190" customFormat="1" ht="15" thickBot="1" x14ac:dyDescent="0.35">
      <c r="A5" s="190" t="s">
        <v>805</v>
      </c>
      <c r="C5" s="205"/>
      <c r="D5" s="206"/>
      <c r="E5" s="206"/>
      <c r="F5" s="206"/>
      <c r="G5" s="206"/>
      <c r="H5" s="206"/>
      <c r="I5" s="206"/>
      <c r="S5" s="194"/>
      <c r="U5" s="207">
        <f>Q4</f>
        <v>2E-3</v>
      </c>
      <c r="V5" s="208">
        <f>R4</f>
        <v>0.99799799799799804</v>
      </c>
    </row>
    <row r="6" spans="1:129" x14ac:dyDescent="0.3">
      <c r="A6" s="110">
        <v>1</v>
      </c>
      <c r="C6" s="191">
        <v>1.3225864293487672</v>
      </c>
      <c r="D6" s="192">
        <v>111844.3280756873</v>
      </c>
      <c r="E6" s="192">
        <v>1.1848119720243717</v>
      </c>
      <c r="F6" s="192">
        <v>85427.275793032226</v>
      </c>
      <c r="G6" s="192">
        <v>-0.13777445732439553</v>
      </c>
      <c r="H6" s="203">
        <v>0.13777445732439553</v>
      </c>
      <c r="I6" s="192">
        <v>-26417.052282655073</v>
      </c>
      <c r="K6" s="202">
        <v>-131042.53671597053</v>
      </c>
      <c r="L6" s="202">
        <v>-162763.90560561483</v>
      </c>
      <c r="M6" s="221">
        <v>31721.368889644291</v>
      </c>
      <c r="N6" s="221">
        <v>31721.368889644302</v>
      </c>
      <c r="O6" s="221">
        <v>-191741.2907710103</v>
      </c>
      <c r="Q6" s="204">
        <f>IF(MAX(K6:L6)=L6,1,0)</f>
        <v>0</v>
      </c>
      <c r="R6" s="204">
        <f>IF(MAX(K7:L7)=K7,1,0)</f>
        <v>1</v>
      </c>
      <c r="T6" s="209">
        <v>0</v>
      </c>
      <c r="U6" s="210">
        <f t="dataTable" ref="U6:V63" dt2D="0" dtr="0" r1="L1"/>
        <v>2E-3</v>
      </c>
      <c r="V6" s="211">
        <v>0.99799799799799804</v>
      </c>
    </row>
    <row r="7" spans="1:129" x14ac:dyDescent="0.3">
      <c r="A7" s="110">
        <v>2</v>
      </c>
      <c r="C7" s="191">
        <v>1.2308565020369178</v>
      </c>
      <c r="D7" s="192">
        <v>156393.00801241837</v>
      </c>
      <c r="E7" s="192">
        <v>0.98656868718473623</v>
      </c>
      <c r="F7" s="192">
        <v>114458.03896401258</v>
      </c>
      <c r="G7" s="192">
        <v>-0.24428781485218154</v>
      </c>
      <c r="H7" s="203">
        <v>0.24428781485218154</v>
      </c>
      <c r="I7" s="192">
        <v>-41934.969048405794</v>
      </c>
      <c r="K7" s="202">
        <v>-152440.93342062493</v>
      </c>
      <c r="L7" s="202">
        <v>-203780.98334083971</v>
      </c>
      <c r="M7" s="221">
        <v>51340.049920214777</v>
      </c>
      <c r="N7" s="221">
        <v>51340.049920214784</v>
      </c>
      <c r="O7" s="221">
        <v>-171662.13989748375</v>
      </c>
      <c r="Q7" s="204">
        <f t="shared" ref="Q7:Q70" si="0">IF(MAX(K7:L7)=L7,1,0)</f>
        <v>0</v>
      </c>
      <c r="R7" s="204">
        <f>IF(MAX(K8:L8)=K8,1,0)</f>
        <v>1</v>
      </c>
      <c r="T7" s="209">
        <v>1000</v>
      </c>
      <c r="U7" s="212">
        <v>2E-3</v>
      </c>
      <c r="V7" s="213">
        <v>0.99799799799799804</v>
      </c>
    </row>
    <row r="8" spans="1:129" x14ac:dyDescent="0.3">
      <c r="A8" s="110">
        <v>3</v>
      </c>
      <c r="C8" s="191">
        <v>1.4511810099060591</v>
      </c>
      <c r="D8" s="192">
        <v>104689.82218636481</v>
      </c>
      <c r="E8" s="192">
        <v>1.2661652552267182</v>
      </c>
      <c r="F8" s="192">
        <v>73201.150154856397</v>
      </c>
      <c r="G8" s="192">
        <v>-0.18501575467934095</v>
      </c>
      <c r="H8" s="203">
        <v>0.18501575467934095</v>
      </c>
      <c r="I8" s="192">
        <v>-31488.672031508409</v>
      </c>
      <c r="K8" s="202">
        <v>-121948.51248108505</v>
      </c>
      <c r="L8" s="202">
        <v>-160560.2910677481</v>
      </c>
      <c r="M8" s="221">
        <v>38611.778586663044</v>
      </c>
      <c r="N8" s="221">
        <v>38611.778586663037</v>
      </c>
      <c r="O8" s="221">
        <v>-170194.5441677809</v>
      </c>
      <c r="Q8" s="204">
        <f t="shared" si="0"/>
        <v>0</v>
      </c>
      <c r="R8" s="204">
        <f>IF(MAX(K9:L9)=K9,1,0)</f>
        <v>1</v>
      </c>
      <c r="T8" s="209">
        <v>2000</v>
      </c>
      <c r="U8" s="212">
        <v>2E-3</v>
      </c>
      <c r="V8" s="213">
        <v>0.99799799799799804</v>
      </c>
    </row>
    <row r="9" spans="1:129" x14ac:dyDescent="0.3">
      <c r="A9" s="110">
        <v>4</v>
      </c>
      <c r="C9" s="191">
        <v>1.2882184905180845</v>
      </c>
      <c r="D9" s="192">
        <v>117997.51643655371</v>
      </c>
      <c r="E9" s="192">
        <v>1.2084779453785466</v>
      </c>
      <c r="F9" s="192">
        <v>104709.36998210475</v>
      </c>
      <c r="G9" s="192">
        <v>-7.9740545139537877E-2</v>
      </c>
      <c r="H9" s="203">
        <v>7.9740545139537877E-2</v>
      </c>
      <c r="I9" s="192">
        <v>-13288.146454448957</v>
      </c>
      <c r="K9" s="202">
        <v>-151235.7708791788</v>
      </c>
      <c r="L9" s="202">
        <v>-167593.92832149996</v>
      </c>
      <c r="M9" s="221">
        <v>16358.157442321157</v>
      </c>
      <c r="N9" s="221">
        <v>16358.157442321166</v>
      </c>
      <c r="O9" s="221">
        <v>-166642.28255771322</v>
      </c>
      <c r="Q9" s="204">
        <f t="shared" si="0"/>
        <v>0</v>
      </c>
      <c r="R9" s="204">
        <f>IF(MAX(K10:L10)=K10,1,0)</f>
        <v>1</v>
      </c>
      <c r="T9" s="209">
        <v>3000</v>
      </c>
      <c r="U9" s="212">
        <v>2E-3</v>
      </c>
      <c r="V9" s="213">
        <v>0.99799799799799804</v>
      </c>
    </row>
    <row r="10" spans="1:129" x14ac:dyDescent="0.3">
      <c r="A10" s="110">
        <v>5</v>
      </c>
      <c r="C10" s="191">
        <v>1.3186774335714804</v>
      </c>
      <c r="D10" s="192">
        <v>123269.98527863878</v>
      </c>
      <c r="E10" s="192">
        <v>1.166185373513362</v>
      </c>
      <c r="F10" s="192">
        <v>83133.214637474361</v>
      </c>
      <c r="G10" s="192">
        <v>-0.15249206005811833</v>
      </c>
      <c r="H10" s="203">
        <v>0.15249206005811833</v>
      </c>
      <c r="I10" s="192">
        <v>-40136.770641164418</v>
      </c>
      <c r="K10" s="202">
        <v>-128031.3515177388</v>
      </c>
      <c r="L10" s="202">
        <v>-174039.06647114077</v>
      </c>
      <c r="M10" s="221">
        <v>46007.71495340197</v>
      </c>
      <c r="N10" s="221">
        <v>46007.71495340197</v>
      </c>
      <c r="O10" s="221">
        <v>-263205.64248307317</v>
      </c>
      <c r="Q10" s="204">
        <f t="shared" si="0"/>
        <v>0</v>
      </c>
      <c r="R10" s="204">
        <f>IF(MAX(K11:L11)=K11,1,0)</f>
        <v>1</v>
      </c>
      <c r="T10" s="209">
        <v>4000</v>
      </c>
      <c r="U10" s="212">
        <v>2E-3</v>
      </c>
      <c r="V10" s="213">
        <v>0.99799799799799804</v>
      </c>
    </row>
    <row r="11" spans="1:129" x14ac:dyDescent="0.3">
      <c r="A11" s="110">
        <v>6</v>
      </c>
      <c r="C11" s="191">
        <v>1.201143803765423</v>
      </c>
      <c r="D11" s="192">
        <v>98951.573981018053</v>
      </c>
      <c r="E11" s="192">
        <v>1.1225392836005876</v>
      </c>
      <c r="F11" s="192">
        <v>77918.622111487799</v>
      </c>
      <c r="G11" s="192">
        <v>-7.8604520164835323E-2</v>
      </c>
      <c r="H11" s="203">
        <v>7.8604520164835323E-2</v>
      </c>
      <c r="I11" s="192">
        <v>-21032.951869530254</v>
      </c>
      <c r="K11" s="202">
        <v>-121136.38453011043</v>
      </c>
      <c r="L11" s="202">
        <v>-145195.61042598684</v>
      </c>
      <c r="M11" s="221">
        <v>24059.225895876414</v>
      </c>
      <c r="N11" s="221">
        <v>24059.225895876414</v>
      </c>
      <c r="O11" s="221">
        <v>-267579.41942045715</v>
      </c>
      <c r="Q11" s="204">
        <f t="shared" si="0"/>
        <v>0</v>
      </c>
      <c r="R11" s="204">
        <f>IF(MAX(K12:L12)=K12,1,0)</f>
        <v>1</v>
      </c>
      <c r="T11" s="209">
        <v>5000</v>
      </c>
      <c r="U11" s="212">
        <v>2E-3</v>
      </c>
      <c r="V11" s="213">
        <v>0.99799799799799804</v>
      </c>
    </row>
    <row r="12" spans="1:129" x14ac:dyDescent="0.3">
      <c r="A12" s="110">
        <v>7</v>
      </c>
      <c r="C12" s="191">
        <v>1.3195954198715343</v>
      </c>
      <c r="D12" s="192">
        <v>102631.63226301294</v>
      </c>
      <c r="E12" s="192">
        <v>1.1272362899229431</v>
      </c>
      <c r="F12" s="192">
        <v>73680.641151671574</v>
      </c>
      <c r="G12" s="192">
        <v>-0.19235912994859117</v>
      </c>
      <c r="H12" s="203">
        <v>0.19235912994859117</v>
      </c>
      <c r="I12" s="192">
        <v>-28950.991111341369</v>
      </c>
      <c r="K12" s="202">
        <v>-117079.23831370487</v>
      </c>
      <c r="L12" s="202">
        <v>-153436.05592806701</v>
      </c>
      <c r="M12" s="221">
        <v>36356.817614362139</v>
      </c>
      <c r="N12" s="221">
        <v>36356.817614362131</v>
      </c>
      <c r="O12" s="221">
        <v>-150504.89737127969</v>
      </c>
      <c r="Q12" s="204">
        <f t="shared" si="0"/>
        <v>0</v>
      </c>
      <c r="R12" s="204">
        <f>IF(MAX(K13:L13)=K13,1,0)</f>
        <v>1</v>
      </c>
      <c r="T12" s="209">
        <v>6000</v>
      </c>
      <c r="U12" s="212">
        <v>2E-3</v>
      </c>
      <c r="V12" s="213">
        <v>0.99799799799799804</v>
      </c>
    </row>
    <row r="13" spans="1:129" x14ac:dyDescent="0.3">
      <c r="A13" s="110">
        <v>8</v>
      </c>
      <c r="C13" s="191">
        <v>1.2027138048627011</v>
      </c>
      <c r="D13" s="192">
        <v>120598.15082148708</v>
      </c>
      <c r="E13" s="192">
        <v>1.0173254060994366</v>
      </c>
      <c r="F13" s="192">
        <v>85291.282305648303</v>
      </c>
      <c r="G13" s="192">
        <v>-0.18538839876326452</v>
      </c>
      <c r="H13" s="203">
        <v>0.18538839876326452</v>
      </c>
      <c r="I13" s="192">
        <v>-35306.868515838782</v>
      </c>
      <c r="K13" s="202">
        <v>-124458.31044047661</v>
      </c>
      <c r="L13" s="202">
        <v>-166902.63230870108</v>
      </c>
      <c r="M13" s="221">
        <v>42444.321868224477</v>
      </c>
      <c r="N13" s="221">
        <v>42444.321868224462</v>
      </c>
      <c r="O13" s="221">
        <v>-190448.10112915753</v>
      </c>
      <c r="Q13" s="204">
        <f t="shared" si="0"/>
        <v>0</v>
      </c>
      <c r="R13" s="204">
        <f>IF(MAX(K14:L14)=K14,1,0)</f>
        <v>1</v>
      </c>
      <c r="T13" s="209">
        <v>7000</v>
      </c>
      <c r="U13" s="212">
        <v>2E-3</v>
      </c>
      <c r="V13" s="213">
        <v>0.99799799799799804</v>
      </c>
    </row>
    <row r="14" spans="1:129" x14ac:dyDescent="0.3">
      <c r="A14" s="110">
        <v>9</v>
      </c>
      <c r="C14" s="191">
        <v>1.2800696322712151</v>
      </c>
      <c r="D14" s="192">
        <v>109812.98628591932</v>
      </c>
      <c r="E14" s="192">
        <v>1.1026711745445745</v>
      </c>
      <c r="F14" s="192">
        <v>79441.60036614805</v>
      </c>
      <c r="G14" s="192">
        <v>-0.17739845772664053</v>
      </c>
      <c r="H14" s="203">
        <v>0.17739845772664053</v>
      </c>
      <c r="I14" s="192">
        <v>-30371.385919771274</v>
      </c>
      <c r="K14" s="202">
        <v>-121894.44058611417</v>
      </c>
      <c r="L14" s="202">
        <v>-159095.66712836112</v>
      </c>
      <c r="M14" s="221">
        <v>37201.22654224695</v>
      </c>
      <c r="N14" s="221">
        <v>37201.226542246935</v>
      </c>
      <c r="O14" s="221">
        <v>-171204.3402686826</v>
      </c>
      <c r="Q14" s="204">
        <f t="shared" si="0"/>
        <v>0</v>
      </c>
      <c r="R14" s="204">
        <f>IF(MAX(K15:L15)=K15,1,0)</f>
        <v>1</v>
      </c>
      <c r="T14" s="209">
        <v>8000</v>
      </c>
      <c r="U14" s="212">
        <v>2E-3</v>
      </c>
      <c r="V14" s="213">
        <v>0.99799799799799804</v>
      </c>
    </row>
    <row r="15" spans="1:129" x14ac:dyDescent="0.3">
      <c r="A15" s="110">
        <v>10</v>
      </c>
      <c r="C15" s="191">
        <v>1.0472681045305288</v>
      </c>
      <c r="D15" s="192">
        <v>119362.07610273609</v>
      </c>
      <c r="E15" s="192">
        <v>0.92482559966239997</v>
      </c>
      <c r="F15" s="192">
        <v>89435.761315171185</v>
      </c>
      <c r="G15" s="192">
        <v>-0.1224425048681288</v>
      </c>
      <c r="H15" s="203">
        <v>0.1224425048681288</v>
      </c>
      <c r="I15" s="192">
        <v>-29926.314787564901</v>
      </c>
      <c r="K15" s="202">
        <v>-125041.54690217358</v>
      </c>
      <c r="L15" s="202">
        <v>-159681.89812716143</v>
      </c>
      <c r="M15" s="221">
        <v>34640.351224987855</v>
      </c>
      <c r="N15" s="221">
        <v>34640.351224987862</v>
      </c>
      <c r="O15" s="221">
        <v>-244411.16113881936</v>
      </c>
      <c r="Q15" s="204">
        <f t="shared" si="0"/>
        <v>0</v>
      </c>
      <c r="R15" s="204">
        <f>IF(MAX(K16:L16)=K16,1,0)</f>
        <v>1</v>
      </c>
      <c r="T15" s="209">
        <v>9000</v>
      </c>
      <c r="U15" s="212">
        <v>2E-3</v>
      </c>
      <c r="V15" s="213">
        <v>0.99799799799799804</v>
      </c>
    </row>
    <row r="16" spans="1:129" x14ac:dyDescent="0.3">
      <c r="A16" s="110">
        <v>11</v>
      </c>
      <c r="C16" s="191">
        <v>1.2870807377136264</v>
      </c>
      <c r="D16" s="192">
        <v>139215.74075821714</v>
      </c>
      <c r="E16" s="192">
        <v>1.2071709263935331</v>
      </c>
      <c r="F16" s="192">
        <v>101023.49593393186</v>
      </c>
      <c r="G16" s="192">
        <v>-7.9909811320093338E-2</v>
      </c>
      <c r="H16" s="203">
        <v>7.9909811320093338E-2</v>
      </c>
      <c r="I16" s="192">
        <v>-38192.244824285284</v>
      </c>
      <c r="K16" s="202">
        <v>-147499.57660008289</v>
      </c>
      <c r="L16" s="202">
        <v>-188768.34916019178</v>
      </c>
      <c r="M16" s="221">
        <v>41268.77256010889</v>
      </c>
      <c r="N16" s="221">
        <v>41268.772560108875</v>
      </c>
      <c r="O16" s="221">
        <v>-477941.87213506579</v>
      </c>
      <c r="Q16" s="204">
        <f t="shared" si="0"/>
        <v>0</v>
      </c>
      <c r="R16" s="204">
        <f>IF(MAX(K17:L17)=K17,1,0)</f>
        <v>1</v>
      </c>
      <c r="T16" s="209">
        <v>10000</v>
      </c>
      <c r="U16" s="212">
        <v>2E-3</v>
      </c>
      <c r="V16" s="213">
        <v>0.99799799799799804</v>
      </c>
    </row>
    <row r="17" spans="1:22" x14ac:dyDescent="0.3">
      <c r="A17" s="110">
        <v>12</v>
      </c>
      <c r="C17" s="191">
        <v>1.1060351212922905</v>
      </c>
      <c r="D17" s="192">
        <v>93832.828541857161</v>
      </c>
      <c r="E17" s="192">
        <v>0.96187112320762358</v>
      </c>
      <c r="F17" s="192">
        <v>64858.331447787234</v>
      </c>
      <c r="G17" s="192">
        <v>-0.14416399808466696</v>
      </c>
      <c r="H17" s="203">
        <v>0.14416399808466696</v>
      </c>
      <c r="I17" s="192">
        <v>-28974.497094069928</v>
      </c>
      <c r="K17" s="202">
        <v>-101890.36969128074</v>
      </c>
      <c r="L17" s="202">
        <v>-136415.18071161036</v>
      </c>
      <c r="M17" s="221">
        <v>34524.811020329624</v>
      </c>
      <c r="N17" s="221">
        <v>34524.811020329609</v>
      </c>
      <c r="O17" s="221">
        <v>-200982.89086747801</v>
      </c>
      <c r="Q17" s="204">
        <f t="shared" si="0"/>
        <v>0</v>
      </c>
      <c r="R17" s="204">
        <f>IF(MAX(K18:L18)=K18,1,0)</f>
        <v>1</v>
      </c>
      <c r="T17" s="209">
        <v>11000</v>
      </c>
      <c r="U17" s="212">
        <v>2E-3</v>
      </c>
      <c r="V17" s="213">
        <v>0.99799799799799804</v>
      </c>
    </row>
    <row r="18" spans="1:22" x14ac:dyDescent="0.3">
      <c r="A18" s="110">
        <v>13</v>
      </c>
      <c r="C18" s="191">
        <v>1.3845692137879575</v>
      </c>
      <c r="D18" s="192">
        <v>126364.05948901123</v>
      </c>
      <c r="E18" s="192">
        <v>1.2007132080684322</v>
      </c>
      <c r="F18" s="192">
        <v>94285.402299354188</v>
      </c>
      <c r="G18" s="192">
        <v>-0.18385600571952532</v>
      </c>
      <c r="H18" s="203">
        <v>0.18385600571952532</v>
      </c>
      <c r="I18" s="192">
        <v>-32078.657189657039</v>
      </c>
      <c r="K18" s="202">
        <v>-140512.86080998884</v>
      </c>
      <c r="L18" s="202">
        <v>-179669.97421984759</v>
      </c>
      <c r="M18" s="221">
        <v>39157.11340985875</v>
      </c>
      <c r="N18" s="221">
        <v>39157.113409858764</v>
      </c>
      <c r="O18" s="221">
        <v>-174477.07005336252</v>
      </c>
      <c r="Q18" s="204">
        <f t="shared" si="0"/>
        <v>0</v>
      </c>
      <c r="R18" s="204">
        <f>IF(MAX(K19:L19)=K19,1,0)</f>
        <v>1</v>
      </c>
      <c r="T18" s="209">
        <v>12000</v>
      </c>
      <c r="U18" s="212">
        <v>2E-3</v>
      </c>
      <c r="V18" s="213">
        <v>0.99799799799799804</v>
      </c>
    </row>
    <row r="19" spans="1:22" x14ac:dyDescent="0.3">
      <c r="A19" s="110">
        <v>14</v>
      </c>
      <c r="C19" s="191">
        <v>1.139234440424024</v>
      </c>
      <c r="D19" s="192">
        <v>132831.97829857466</v>
      </c>
      <c r="E19" s="192">
        <v>1.0150815748699487</v>
      </c>
      <c r="F19" s="192">
        <v>103637.45127305663</v>
      </c>
      <c r="G19" s="192">
        <v>-0.12415286555407534</v>
      </c>
      <c r="H19" s="203">
        <v>0.12415286555407534</v>
      </c>
      <c r="I19" s="192">
        <v>-29194.527025518022</v>
      </c>
      <c r="K19" s="202">
        <v>-142718.09190554966</v>
      </c>
      <c r="L19" s="202">
        <v>-176692.50425489957</v>
      </c>
      <c r="M19" s="221">
        <v>33974.412349349906</v>
      </c>
      <c r="N19" s="221">
        <v>33974.412349349921</v>
      </c>
      <c r="O19" s="221">
        <v>-235149.84446977757</v>
      </c>
      <c r="Q19" s="204">
        <f t="shared" si="0"/>
        <v>0</v>
      </c>
      <c r="R19" s="204">
        <f>IF(MAX(K20:L20)=K20,1,0)</f>
        <v>1</v>
      </c>
      <c r="T19" s="209">
        <v>13000</v>
      </c>
      <c r="U19" s="212">
        <v>2E-3</v>
      </c>
      <c r="V19" s="213">
        <v>0.99799799799799804</v>
      </c>
    </row>
    <row r="20" spans="1:22" x14ac:dyDescent="0.3">
      <c r="A20" s="110">
        <v>15</v>
      </c>
      <c r="C20" s="191">
        <v>1.1279154857677598</v>
      </c>
      <c r="D20" s="192">
        <v>101470.56345182277</v>
      </c>
      <c r="E20" s="192">
        <v>1.0951298064580164</v>
      </c>
      <c r="F20" s="192">
        <v>79646.52929960654</v>
      </c>
      <c r="G20" s="192">
        <v>-3.278567930974341E-2</v>
      </c>
      <c r="H20" s="203">
        <v>3.278567930974341E-2</v>
      </c>
      <c r="I20" s="192">
        <v>-21824.034152216234</v>
      </c>
      <c r="K20" s="202">
        <v>-121809.02684824017</v>
      </c>
      <c r="L20" s="202">
        <v>-144895.30965388153</v>
      </c>
      <c r="M20" s="221">
        <v>23086.282805641356</v>
      </c>
      <c r="N20" s="221">
        <v>23086.282805641356</v>
      </c>
      <c r="O20" s="221">
        <v>-665657.52522719454</v>
      </c>
      <c r="Q20" s="204">
        <f t="shared" si="0"/>
        <v>0</v>
      </c>
      <c r="R20" s="204">
        <f>IF(MAX(K21:L21)=K21,1,0)</f>
        <v>1</v>
      </c>
      <c r="T20" s="209">
        <v>14000</v>
      </c>
      <c r="U20" s="212">
        <v>2E-3</v>
      </c>
      <c r="V20" s="213">
        <v>0.99799799799799804</v>
      </c>
    </row>
    <row r="21" spans="1:22" x14ac:dyDescent="0.3">
      <c r="A21" s="110">
        <v>16</v>
      </c>
      <c r="C21" s="191">
        <v>1.3560897230013731</v>
      </c>
      <c r="D21" s="192">
        <v>107008.55171430729</v>
      </c>
      <c r="E21" s="192">
        <v>1.2816164706173852</v>
      </c>
      <c r="F21" s="192">
        <v>81755.205562411938</v>
      </c>
      <c r="G21" s="192">
        <v>-7.4473252383987942E-2</v>
      </c>
      <c r="H21" s="203">
        <v>7.4473252383987942E-2</v>
      </c>
      <c r="I21" s="192">
        <v>-25253.346151895355</v>
      </c>
      <c r="K21" s="202">
        <v>-131097.43968118128</v>
      </c>
      <c r="L21" s="202">
        <v>-159218.00604986015</v>
      </c>
      <c r="M21" s="221">
        <v>28120.566368678876</v>
      </c>
      <c r="N21" s="221">
        <v>28120.56636867889</v>
      </c>
      <c r="O21" s="221">
        <v>-339092.83324552281</v>
      </c>
      <c r="Q21" s="204">
        <f t="shared" si="0"/>
        <v>0</v>
      </c>
      <c r="R21" s="204">
        <f>IF(MAX(K22:L22)=K22,1,0)</f>
        <v>1</v>
      </c>
      <c r="T21" s="209">
        <v>15000</v>
      </c>
      <c r="U21" s="212">
        <v>2E-3</v>
      </c>
      <c r="V21" s="213">
        <v>0.99799799799799804</v>
      </c>
    </row>
    <row r="22" spans="1:22" x14ac:dyDescent="0.3">
      <c r="A22" s="110">
        <v>17</v>
      </c>
      <c r="C22" s="191">
        <v>1.0759289143468997</v>
      </c>
      <c r="D22" s="192">
        <v>109899.97183041806</v>
      </c>
      <c r="E22" s="192">
        <v>0.92924292744414416</v>
      </c>
      <c r="F22" s="192">
        <v>79473.78958904554</v>
      </c>
      <c r="G22" s="192">
        <v>-0.14668598690275558</v>
      </c>
      <c r="H22" s="203">
        <v>0.14668598690275558</v>
      </c>
      <c r="I22" s="192">
        <v>-30426.182241372517</v>
      </c>
      <c r="K22" s="202">
        <v>-115249.64229564508</v>
      </c>
      <c r="L22" s="202">
        <v>-151323.23503277369</v>
      </c>
      <c r="M22" s="221">
        <v>36073.592737128609</v>
      </c>
      <c r="N22" s="221">
        <v>36073.592737128609</v>
      </c>
      <c r="O22" s="221">
        <v>-207423.91883379655</v>
      </c>
      <c r="Q22" s="204">
        <f t="shared" si="0"/>
        <v>0</v>
      </c>
      <c r="R22" s="204">
        <f>IF(MAX(K23:L23)=K23,1,0)</f>
        <v>1</v>
      </c>
      <c r="T22" s="209">
        <v>16000</v>
      </c>
      <c r="U22" s="212">
        <v>2E-3</v>
      </c>
      <c r="V22" s="213">
        <v>0.99799799799799804</v>
      </c>
    </row>
    <row r="23" spans="1:22" x14ac:dyDescent="0.3">
      <c r="A23" s="110">
        <v>18</v>
      </c>
      <c r="C23" s="191">
        <v>1.5368177157734866</v>
      </c>
      <c r="D23" s="192">
        <v>134611.20609087692</v>
      </c>
      <c r="E23" s="192">
        <v>1.3533074718358267</v>
      </c>
      <c r="F23" s="192">
        <v>94742.070597604281</v>
      </c>
      <c r="G23" s="192">
        <v>-0.18351024393765991</v>
      </c>
      <c r="H23" s="203">
        <v>0.18351024393765991</v>
      </c>
      <c r="I23" s="192">
        <v>-39869.135493272639</v>
      </c>
      <c r="K23" s="202">
        <v>-146844.40826328361</v>
      </c>
      <c r="L23" s="202">
        <v>-193778.68814815616</v>
      </c>
      <c r="M23" s="221">
        <v>46934.279884872551</v>
      </c>
      <c r="N23" s="221">
        <v>46934.279884872543</v>
      </c>
      <c r="O23" s="221">
        <v>-217258.36464375549</v>
      </c>
      <c r="Q23" s="204">
        <f t="shared" si="0"/>
        <v>0</v>
      </c>
      <c r="R23" s="204">
        <f>IF(MAX(K24:L24)=K24,1,0)</f>
        <v>1</v>
      </c>
      <c r="T23" s="209">
        <v>17000</v>
      </c>
      <c r="U23" s="212">
        <v>2E-3</v>
      </c>
      <c r="V23" s="213">
        <v>0.99799799799799804</v>
      </c>
    </row>
    <row r="24" spans="1:22" x14ac:dyDescent="0.3">
      <c r="A24" s="110">
        <v>19</v>
      </c>
      <c r="C24" s="191">
        <v>1.3668419823646649</v>
      </c>
      <c r="D24" s="192">
        <v>114018.08499234462</v>
      </c>
      <c r="E24" s="192">
        <v>1.3213212606287978</v>
      </c>
      <c r="F24" s="192">
        <v>86875.284146074948</v>
      </c>
      <c r="G24" s="192">
        <v>-4.5520721735867076E-2</v>
      </c>
      <c r="H24" s="203">
        <v>4.5520721735867076E-2</v>
      </c>
      <c r="I24" s="192">
        <v>-27142.800846269674</v>
      </c>
      <c r="K24" s="202">
        <v>-137746.15268028367</v>
      </c>
      <c r="L24" s="202">
        <v>-166641.50131338421</v>
      </c>
      <c r="M24" s="221">
        <v>28895.348633100541</v>
      </c>
      <c r="N24" s="221">
        <v>28895.348633100555</v>
      </c>
      <c r="O24" s="221">
        <v>-596273.51700979483</v>
      </c>
      <c r="Q24" s="204">
        <f t="shared" si="0"/>
        <v>0</v>
      </c>
      <c r="R24" s="204">
        <f>IF(MAX(K25:L25)=K25,1,0)</f>
        <v>1</v>
      </c>
      <c r="T24" s="209">
        <v>18000</v>
      </c>
      <c r="U24" s="212">
        <v>2E-3</v>
      </c>
      <c r="V24" s="213">
        <v>0.99799799799799804</v>
      </c>
    </row>
    <row r="25" spans="1:22" x14ac:dyDescent="0.3">
      <c r="A25" s="110">
        <v>20</v>
      </c>
      <c r="C25" s="191">
        <v>1.3096930728830061</v>
      </c>
      <c r="D25" s="192">
        <v>142214.73095279906</v>
      </c>
      <c r="E25" s="192">
        <v>1.0260513503258233</v>
      </c>
      <c r="F25" s="192">
        <v>91227.809068755902</v>
      </c>
      <c r="G25" s="192">
        <v>-0.28364172255718278</v>
      </c>
      <c r="H25" s="203">
        <v>0.28364172255718278</v>
      </c>
      <c r="I25" s="192">
        <v>-50986.921884043157</v>
      </c>
      <c r="K25" s="202">
        <v>-130730.7860563001</v>
      </c>
      <c r="L25" s="202">
        <v>-192637.9142587948</v>
      </c>
      <c r="M25" s="221">
        <v>61907.1282024947</v>
      </c>
      <c r="N25" s="221">
        <v>61907.128202494692</v>
      </c>
      <c r="O25" s="221">
        <v>-179758.18728066032</v>
      </c>
      <c r="Q25" s="204">
        <f t="shared" si="0"/>
        <v>0</v>
      </c>
      <c r="R25" s="204">
        <f>IF(MAX(K26:L26)=K26,1,0)</f>
        <v>1</v>
      </c>
      <c r="T25" s="209">
        <v>19000</v>
      </c>
      <c r="U25" s="212">
        <v>2E-3</v>
      </c>
      <c r="V25" s="213">
        <v>0.99799799799799804</v>
      </c>
    </row>
    <row r="26" spans="1:22" x14ac:dyDescent="0.3">
      <c r="A26" s="110">
        <v>21</v>
      </c>
      <c r="C26" s="191">
        <v>1.1604436383857133</v>
      </c>
      <c r="D26" s="192">
        <v>136507.57257074982</v>
      </c>
      <c r="E26" s="192">
        <v>0.95794890209751049</v>
      </c>
      <c r="F26" s="192">
        <v>94393.052931184284</v>
      </c>
      <c r="G26" s="192">
        <v>-0.2024947362882028</v>
      </c>
      <c r="H26" s="203">
        <v>0.2024947362882028</v>
      </c>
      <c r="I26" s="192">
        <v>-42114.519639565537</v>
      </c>
      <c r="K26" s="202">
        <v>-131274.08566193844</v>
      </c>
      <c r="L26" s="202">
        <v>-181184.65264859979</v>
      </c>
      <c r="M26" s="221">
        <v>49910.566986661346</v>
      </c>
      <c r="N26" s="221">
        <v>49910.566986661346</v>
      </c>
      <c r="O26" s="221">
        <v>-207978.34260553616</v>
      </c>
      <c r="Q26" s="204">
        <f t="shared" si="0"/>
        <v>0</v>
      </c>
      <c r="R26" s="204">
        <f>IF(MAX(K27:L27)=K27,1,0)</f>
        <v>1</v>
      </c>
      <c r="T26" s="209">
        <v>20000</v>
      </c>
      <c r="U26" s="212">
        <v>2E-3</v>
      </c>
      <c r="V26" s="213">
        <v>0.99799799799799804</v>
      </c>
    </row>
    <row r="27" spans="1:22" x14ac:dyDescent="0.3">
      <c r="A27" s="110">
        <v>22</v>
      </c>
      <c r="C27" s="191">
        <v>1.7762182331093128</v>
      </c>
      <c r="D27" s="192">
        <v>96214.496083080507</v>
      </c>
      <c r="E27" s="192">
        <v>1.6154602564219274</v>
      </c>
      <c r="F27" s="192">
        <v>64120.671717265308</v>
      </c>
      <c r="G27" s="192">
        <v>-0.16075797668738545</v>
      </c>
      <c r="H27" s="203">
        <v>0.16075797668738545</v>
      </c>
      <c r="I27" s="192">
        <v>-32093.824365815199</v>
      </c>
      <c r="K27" s="202">
        <v>-126315.89158950951</v>
      </c>
      <c r="L27" s="202">
        <v>-164598.89805778905</v>
      </c>
      <c r="M27" s="221">
        <v>38283.006468279535</v>
      </c>
      <c r="N27" s="221">
        <v>38283.006468279535</v>
      </c>
      <c r="O27" s="221">
        <v>-199640.63387178458</v>
      </c>
      <c r="Q27" s="204">
        <f t="shared" si="0"/>
        <v>0</v>
      </c>
      <c r="R27" s="204">
        <f>IF(MAX(K28:L28)=K28,1,0)</f>
        <v>1</v>
      </c>
      <c r="T27" s="209">
        <v>21000</v>
      </c>
      <c r="U27" s="212">
        <v>2E-3</v>
      </c>
      <c r="V27" s="213">
        <v>0.99799799799799804</v>
      </c>
    </row>
    <row r="28" spans="1:22" x14ac:dyDescent="0.3">
      <c r="A28" s="110">
        <v>23</v>
      </c>
      <c r="C28" s="191">
        <v>1.4317867071314407</v>
      </c>
      <c r="D28" s="192">
        <v>137144.39704439041</v>
      </c>
      <c r="E28" s="192">
        <v>1.2146901204845355</v>
      </c>
      <c r="F28" s="192">
        <v>95887.678043679247</v>
      </c>
      <c r="G28" s="192">
        <v>-0.21709658664690523</v>
      </c>
      <c r="H28" s="203">
        <v>0.21709658664690523</v>
      </c>
      <c r="I28" s="192">
        <v>-41256.719000711164</v>
      </c>
      <c r="K28" s="202">
        <v>-142653.24768233387</v>
      </c>
      <c r="L28" s="202">
        <v>-192268.18526895088</v>
      </c>
      <c r="M28" s="221">
        <v>49614.937586617016</v>
      </c>
      <c r="N28" s="221">
        <v>49614.937586617016</v>
      </c>
      <c r="O28" s="221">
        <v>-190038.54292657663</v>
      </c>
      <c r="Q28" s="204">
        <f t="shared" si="0"/>
        <v>0</v>
      </c>
      <c r="R28" s="204">
        <f>IF(MAX(K29:L29)=K29,1,0)</f>
        <v>1</v>
      </c>
      <c r="T28" s="209">
        <v>22000</v>
      </c>
      <c r="U28" s="212">
        <v>2E-3</v>
      </c>
      <c r="V28" s="213">
        <v>0.99799799799799804</v>
      </c>
    </row>
    <row r="29" spans="1:22" x14ac:dyDescent="0.3">
      <c r="A29" s="110">
        <v>24</v>
      </c>
      <c r="C29" s="191">
        <v>1.0408745327887716</v>
      </c>
      <c r="D29" s="192">
        <v>100585.36200693902</v>
      </c>
      <c r="E29" s="192">
        <v>0.97277868424759573</v>
      </c>
      <c r="F29" s="192">
        <v>75244.191037888537</v>
      </c>
      <c r="G29" s="192">
        <v>-6.8095848541175896E-2</v>
      </c>
      <c r="H29" s="203">
        <v>6.8095848541175896E-2</v>
      </c>
      <c r="I29" s="192">
        <v>-25341.170969050479</v>
      </c>
      <c r="K29" s="202">
        <v>-112696.17038142098</v>
      </c>
      <c r="L29" s="202">
        <v>-140659.03151930671</v>
      </c>
      <c r="M29" s="221">
        <v>27962.861137885731</v>
      </c>
      <c r="N29" s="221">
        <v>27962.861137885753</v>
      </c>
      <c r="O29" s="221">
        <v>-372139.73409446969</v>
      </c>
      <c r="Q29" s="204">
        <f t="shared" si="0"/>
        <v>0</v>
      </c>
      <c r="R29" s="204">
        <f>IF(MAX(K30:L30)=K30,1,0)</f>
        <v>1</v>
      </c>
      <c r="T29" s="209">
        <v>23000</v>
      </c>
      <c r="U29" s="212">
        <v>2E-3</v>
      </c>
      <c r="V29" s="213">
        <v>0.99799799799799804</v>
      </c>
    </row>
    <row r="30" spans="1:22" x14ac:dyDescent="0.3">
      <c r="A30" s="110">
        <v>25</v>
      </c>
      <c r="C30" s="191">
        <v>1.2483254047562242</v>
      </c>
      <c r="D30" s="192">
        <v>114807.66609378612</v>
      </c>
      <c r="E30" s="192">
        <v>1.17626523297727</v>
      </c>
      <c r="F30" s="192">
        <v>84804.686295040534</v>
      </c>
      <c r="G30" s="192">
        <v>-7.2060171778954185E-2</v>
      </c>
      <c r="H30" s="203">
        <v>7.2060171778954185E-2</v>
      </c>
      <c r="I30" s="192">
        <v>-30002.979798745582</v>
      </c>
      <c r="K30" s="202">
        <v>-130090.89776466542</v>
      </c>
      <c r="L30" s="202">
        <v>-162868.19417690075</v>
      </c>
      <c r="M30" s="221">
        <v>32777.29641223533</v>
      </c>
      <c r="N30" s="221">
        <v>32777.296412235315</v>
      </c>
      <c r="O30" s="221">
        <v>-416360.09265673469</v>
      </c>
      <c r="Q30" s="204">
        <f t="shared" si="0"/>
        <v>0</v>
      </c>
      <c r="R30" s="204">
        <f>IF(MAX(K31:L31)=K31,1,0)</f>
        <v>1</v>
      </c>
      <c r="T30" s="209">
        <v>24000</v>
      </c>
      <c r="U30" s="212">
        <v>2E-3</v>
      </c>
      <c r="V30" s="213">
        <v>0.99799799799799804</v>
      </c>
    </row>
    <row r="31" spans="1:22" x14ac:dyDescent="0.3">
      <c r="A31" s="110">
        <v>26</v>
      </c>
      <c r="C31" s="191">
        <v>1.7298709462381467</v>
      </c>
      <c r="D31" s="192">
        <v>130171.95018919569</v>
      </c>
      <c r="E31" s="192">
        <v>1.5063330543405735</v>
      </c>
      <c r="F31" s="192">
        <v>96680.249529508015</v>
      </c>
      <c r="G31" s="192">
        <v>-0.22353789189757323</v>
      </c>
      <c r="H31" s="203">
        <v>0.22353789189757323</v>
      </c>
      <c r="I31" s="192">
        <v>-33491.700659687674</v>
      </c>
      <c r="K31" s="202">
        <v>-154674.07212162009</v>
      </c>
      <c r="L31" s="202">
        <v>-196771.98161936435</v>
      </c>
      <c r="M31" s="221">
        <v>42097.909497744258</v>
      </c>
      <c r="N31" s="221">
        <v>42097.909497744244</v>
      </c>
      <c r="O31" s="221">
        <v>-149825.60842541108</v>
      </c>
      <c r="Q31" s="204">
        <f t="shared" si="0"/>
        <v>0</v>
      </c>
      <c r="R31" s="204">
        <f>IF(MAX(K32:L32)=K32,1,0)</f>
        <v>1</v>
      </c>
      <c r="T31" s="209">
        <v>25000</v>
      </c>
      <c r="U31" s="212">
        <v>2E-3</v>
      </c>
      <c r="V31" s="213">
        <v>0.99799799799799804</v>
      </c>
    </row>
    <row r="32" spans="1:22" x14ac:dyDescent="0.3">
      <c r="A32" s="110">
        <v>27</v>
      </c>
      <c r="C32" s="191">
        <v>1.3274576774062972</v>
      </c>
      <c r="D32" s="192">
        <v>124067.88836990648</v>
      </c>
      <c r="E32" s="192">
        <v>1.151278925443693</v>
      </c>
      <c r="F32" s="192">
        <v>87644.871210210287</v>
      </c>
      <c r="G32" s="192">
        <v>-0.17617875196260413</v>
      </c>
      <c r="H32" s="203">
        <v>0.17617875196260413</v>
      </c>
      <c r="I32" s="192">
        <v>-36423.017159696188</v>
      </c>
      <c r="K32" s="202">
        <v>-131969.10983979248</v>
      </c>
      <c r="L32" s="202">
        <v>-175175.00895004891</v>
      </c>
      <c r="M32" s="221">
        <v>43205.899110256432</v>
      </c>
      <c r="N32" s="221">
        <v>43205.899110256447</v>
      </c>
      <c r="O32" s="221">
        <v>-206738.98954300329</v>
      </c>
      <c r="Q32" s="204">
        <f t="shared" si="0"/>
        <v>0</v>
      </c>
      <c r="R32" s="204">
        <f>IF(MAX(K33:L33)=K33,1,0)</f>
        <v>1</v>
      </c>
      <c r="T32" s="209">
        <v>26000</v>
      </c>
      <c r="U32" s="212">
        <v>2E-3</v>
      </c>
      <c r="V32" s="213">
        <v>0.99799799799799804</v>
      </c>
    </row>
    <row r="33" spans="1:22" x14ac:dyDescent="0.3">
      <c r="A33" s="110">
        <v>28</v>
      </c>
      <c r="C33" s="191">
        <v>1.0531862774293783</v>
      </c>
      <c r="D33" s="192">
        <v>115579.62197744286</v>
      </c>
      <c r="E33" s="192">
        <v>0.92954780703744977</v>
      </c>
      <c r="F33" s="192">
        <v>88129.651935097485</v>
      </c>
      <c r="G33" s="192">
        <v>-0.12363847039192855</v>
      </c>
      <c r="H33" s="203">
        <v>0.12363847039192855</v>
      </c>
      <c r="I33" s="192">
        <v>-27449.970042345376</v>
      </c>
      <c r="K33" s="202">
        <v>-123917.2425060393</v>
      </c>
      <c r="L33" s="202">
        <v>-156127.29365847394</v>
      </c>
      <c r="M33" s="221">
        <v>32210.051152434637</v>
      </c>
      <c r="N33" s="221">
        <v>32210.051152434626</v>
      </c>
      <c r="O33" s="221">
        <v>-222018.03334617591</v>
      </c>
      <c r="Q33" s="204">
        <f t="shared" si="0"/>
        <v>0</v>
      </c>
      <c r="R33" s="204">
        <f>IF(MAX(K34:L34)=K34,1,0)</f>
        <v>1</v>
      </c>
      <c r="T33" s="209">
        <v>27000</v>
      </c>
      <c r="U33" s="212">
        <v>2E-3</v>
      </c>
      <c r="V33" s="213">
        <v>0.99799799799799804</v>
      </c>
    </row>
    <row r="34" spans="1:22" x14ac:dyDescent="0.3">
      <c r="A34" s="110">
        <v>29</v>
      </c>
      <c r="C34" s="191">
        <v>1.6610246707360599</v>
      </c>
      <c r="D34" s="192">
        <v>103300.90866346293</v>
      </c>
      <c r="E34" s="192">
        <v>1.6507862471574037</v>
      </c>
      <c r="F34" s="192">
        <v>83165.046075088743</v>
      </c>
      <c r="G34" s="192">
        <v>-1.023842357865612E-2</v>
      </c>
      <c r="H34" s="203">
        <v>1.023842357865612E-2</v>
      </c>
      <c r="I34" s="192">
        <v>-20135.862588374192</v>
      </c>
      <c r="K34" s="202">
        <v>-146720.31659064878</v>
      </c>
      <c r="L34" s="202">
        <v>-167250.35848680124</v>
      </c>
      <c r="M34" s="221">
        <v>20530.041896152456</v>
      </c>
      <c r="N34" s="221">
        <v>20530.041896152452</v>
      </c>
      <c r="O34" s="221">
        <v>-1966695.5985637386</v>
      </c>
      <c r="Q34" s="204">
        <f t="shared" si="0"/>
        <v>0</v>
      </c>
      <c r="R34" s="204">
        <f>IF(MAX(K35:L35)=K35,1,0)</f>
        <v>1</v>
      </c>
      <c r="T34" s="209">
        <v>28000</v>
      </c>
      <c r="U34" s="212">
        <v>2E-3</v>
      </c>
      <c r="V34" s="213">
        <v>0.99799799799799804</v>
      </c>
    </row>
    <row r="35" spans="1:22" x14ac:dyDescent="0.3">
      <c r="A35" s="110">
        <v>30</v>
      </c>
      <c r="C35" s="191">
        <v>1.9237604898540566</v>
      </c>
      <c r="D35" s="192">
        <v>164672.23261945511</v>
      </c>
      <c r="E35" s="192">
        <v>1.7128647927854534</v>
      </c>
      <c r="F35" s="192">
        <v>125775.16894877676</v>
      </c>
      <c r="G35" s="192">
        <v>-0.21089569706860312</v>
      </c>
      <c r="H35" s="203">
        <v>0.21089569706860312</v>
      </c>
      <c r="I35" s="192">
        <v>-38897.063670678355</v>
      </c>
      <c r="K35" s="202">
        <v>-191720.46347101673</v>
      </c>
      <c r="L35" s="202">
        <v>-238737.0114788363</v>
      </c>
      <c r="M35" s="221">
        <v>47016.548007819569</v>
      </c>
      <c r="N35" s="221">
        <v>47016.548007819576</v>
      </c>
      <c r="O35" s="221">
        <v>-184437.4456726131</v>
      </c>
      <c r="Q35" s="204">
        <f t="shared" si="0"/>
        <v>0</v>
      </c>
      <c r="R35" s="204">
        <f>IF(MAX(K36:L36)=K36,1,0)</f>
        <v>1</v>
      </c>
      <c r="T35" s="209">
        <v>29000</v>
      </c>
      <c r="U35" s="212">
        <v>2E-3</v>
      </c>
      <c r="V35" s="213">
        <v>0.99799799799799804</v>
      </c>
    </row>
    <row r="36" spans="1:22" x14ac:dyDescent="0.3">
      <c r="A36" s="110">
        <v>31</v>
      </c>
      <c r="C36" s="191">
        <v>1.2367303325690475</v>
      </c>
      <c r="D36" s="192">
        <v>108646.52138416962</v>
      </c>
      <c r="E36" s="192">
        <v>1.0659264698719173</v>
      </c>
      <c r="F36" s="192">
        <v>75929.059346290524</v>
      </c>
      <c r="G36" s="192">
        <v>-0.17080386269713022</v>
      </c>
      <c r="H36" s="203">
        <v>0.17080386269713022</v>
      </c>
      <c r="I36" s="192">
        <v>-32717.462037879101</v>
      </c>
      <c r="K36" s="202">
        <v>-116967.22843635935</v>
      </c>
      <c r="L36" s="202">
        <v>-156260.63918807794</v>
      </c>
      <c r="M36" s="221">
        <v>39293.410751718591</v>
      </c>
      <c r="N36" s="221">
        <v>39293.410751718613</v>
      </c>
      <c r="O36" s="221">
        <v>-191549.89542533809</v>
      </c>
      <c r="Q36" s="204">
        <f t="shared" si="0"/>
        <v>0</v>
      </c>
      <c r="R36" s="204">
        <f>IF(MAX(K37:L37)=K37,1,0)</f>
        <v>1</v>
      </c>
      <c r="T36" s="209">
        <v>30000</v>
      </c>
      <c r="U36" s="212">
        <v>2E-3</v>
      </c>
      <c r="V36" s="213">
        <v>0.99799799799799804</v>
      </c>
    </row>
    <row r="37" spans="1:22" x14ac:dyDescent="0.3">
      <c r="A37" s="110">
        <v>32</v>
      </c>
      <c r="C37" s="191">
        <v>1.3394927360279865</v>
      </c>
      <c r="D37" s="192">
        <v>128592.4766778437</v>
      </c>
      <c r="E37" s="192">
        <v>1.2498653367192536</v>
      </c>
      <c r="F37" s="192">
        <v>96978.059802146119</v>
      </c>
      <c r="G37" s="192">
        <v>-8.9627399308732869E-2</v>
      </c>
      <c r="H37" s="203">
        <v>8.9627399308732869E-2</v>
      </c>
      <c r="I37" s="192">
        <v>-31614.416875697585</v>
      </c>
      <c r="K37" s="202">
        <v>-145097.87526583739</v>
      </c>
      <c r="L37" s="202">
        <v>-180162.94701492117</v>
      </c>
      <c r="M37" s="221">
        <v>35065.071749083785</v>
      </c>
      <c r="N37" s="221">
        <v>35065.0717490838</v>
      </c>
      <c r="O37" s="221">
        <v>-352731.61019430833</v>
      </c>
      <c r="Q37" s="204">
        <f t="shared" si="0"/>
        <v>0</v>
      </c>
      <c r="R37" s="204">
        <f>IF(MAX(K38:L38)=K38,1,0)</f>
        <v>1</v>
      </c>
      <c r="T37" s="209">
        <v>31000</v>
      </c>
      <c r="U37" s="212">
        <v>2E-3</v>
      </c>
      <c r="V37" s="213">
        <v>0.99799799799799804</v>
      </c>
    </row>
    <row r="38" spans="1:22" x14ac:dyDescent="0.3">
      <c r="A38" s="110">
        <v>33</v>
      </c>
      <c r="C38" s="191">
        <v>1.2257783990484934</v>
      </c>
      <c r="D38" s="192">
        <v>115219.96046602944</v>
      </c>
      <c r="E38" s="192">
        <v>1.1052844140610689</v>
      </c>
      <c r="F38" s="192">
        <v>83702.48879878741</v>
      </c>
      <c r="G38" s="192">
        <v>-0.12049398498742447</v>
      </c>
      <c r="H38" s="203">
        <v>0.12049398498742447</v>
      </c>
      <c r="I38" s="192">
        <v>-31517.471667242033</v>
      </c>
      <c r="K38" s="202">
        <v>-126255.93874013856</v>
      </c>
      <c r="L38" s="202">
        <v>-162412.42882939643</v>
      </c>
      <c r="M38" s="221">
        <v>36156.490089257873</v>
      </c>
      <c r="N38" s="221">
        <v>36156.490089257873</v>
      </c>
      <c r="O38" s="221">
        <v>-261568.83823314001</v>
      </c>
      <c r="Q38" s="204">
        <f t="shared" si="0"/>
        <v>0</v>
      </c>
      <c r="R38" s="204">
        <f>IF(MAX(K39:L39)=K39,1,0)</f>
        <v>1</v>
      </c>
      <c r="T38" s="209">
        <v>32000</v>
      </c>
      <c r="U38" s="212">
        <v>2E-3</v>
      </c>
      <c r="V38" s="213">
        <v>0.99799799799799804</v>
      </c>
    </row>
    <row r="39" spans="1:22" x14ac:dyDescent="0.3">
      <c r="A39" s="110">
        <v>34</v>
      </c>
      <c r="C39" s="191">
        <v>1.3012998464925774</v>
      </c>
      <c r="D39" s="192">
        <v>119137.15815969495</v>
      </c>
      <c r="E39" s="192">
        <v>1.2481566415275083</v>
      </c>
      <c r="F39" s="192">
        <v>95352.563557720568</v>
      </c>
      <c r="G39" s="192">
        <v>-5.314320496506908E-2</v>
      </c>
      <c r="H39" s="203">
        <v>5.314320496506908E-2</v>
      </c>
      <c r="I39" s="192">
        <v>-23784.594601974386</v>
      </c>
      <c r="K39" s="202">
        <v>-143406.59425652964</v>
      </c>
      <c r="L39" s="202">
        <v>-169237.20224965917</v>
      </c>
      <c r="M39" s="221">
        <v>25830.607993129524</v>
      </c>
      <c r="N39" s="221">
        <v>25830.607993129546</v>
      </c>
      <c r="O39" s="221">
        <v>-447556.64656672382</v>
      </c>
      <c r="Q39" s="204">
        <f t="shared" si="0"/>
        <v>0</v>
      </c>
      <c r="R39" s="204">
        <f>IF(MAX(K40:L40)=K40,1,0)</f>
        <v>1</v>
      </c>
      <c r="T39" s="209">
        <v>33000</v>
      </c>
      <c r="U39" s="212">
        <v>2E-3</v>
      </c>
      <c r="V39" s="213">
        <v>0.99799799799799804</v>
      </c>
    </row>
    <row r="40" spans="1:22" x14ac:dyDescent="0.3">
      <c r="A40" s="110">
        <v>35</v>
      </c>
      <c r="C40" s="191">
        <v>1.269813689426982</v>
      </c>
      <c r="D40" s="192">
        <v>147137.42566301484</v>
      </c>
      <c r="E40" s="192">
        <v>1.0948921734928689</v>
      </c>
      <c r="F40" s="192">
        <v>111682.88699389341</v>
      </c>
      <c r="G40" s="192">
        <v>-0.17492151593411309</v>
      </c>
      <c r="H40" s="203">
        <v>0.17492151593411309</v>
      </c>
      <c r="I40" s="192">
        <v>-35454.538669121437</v>
      </c>
      <c r="K40" s="202">
        <v>-153836.23567336885</v>
      </c>
      <c r="L40" s="202">
        <v>-196025.25270595367</v>
      </c>
      <c r="M40" s="221">
        <v>42189.017032584816</v>
      </c>
      <c r="N40" s="221">
        <v>42189.017032584794</v>
      </c>
      <c r="O40" s="221">
        <v>-202688.26553318885</v>
      </c>
      <c r="Q40" s="204">
        <f t="shared" si="0"/>
        <v>0</v>
      </c>
      <c r="R40" s="204">
        <f>IF(MAX(K41:L41)=K41,1,0)</f>
        <v>1</v>
      </c>
      <c r="T40" s="209">
        <v>34000</v>
      </c>
      <c r="U40" s="212">
        <v>2E-3</v>
      </c>
      <c r="V40" s="213">
        <v>0.99799799799799804</v>
      </c>
    </row>
    <row r="41" spans="1:22" x14ac:dyDescent="0.3">
      <c r="A41" s="110">
        <v>36</v>
      </c>
      <c r="C41" s="191">
        <v>1.1986060597248718</v>
      </c>
      <c r="D41" s="192">
        <v>111546.65693882265</v>
      </c>
      <c r="E41" s="192">
        <v>1.0965027476926938</v>
      </c>
      <c r="F41" s="192">
        <v>81284.222265182209</v>
      </c>
      <c r="G41" s="192">
        <v>-0.10210331203217793</v>
      </c>
      <c r="H41" s="203">
        <v>0.10210331203217793</v>
      </c>
      <c r="I41" s="192">
        <v>-30262.43467364044</v>
      </c>
      <c r="K41" s="202">
        <v>-123499.57805135092</v>
      </c>
      <c r="L41" s="202">
        <v>-157692.99023823021</v>
      </c>
      <c r="M41" s="221">
        <v>34193.412186879286</v>
      </c>
      <c r="N41" s="221">
        <v>34193.412186879294</v>
      </c>
      <c r="O41" s="221">
        <v>-296390.33319607901</v>
      </c>
      <c r="Q41" s="204">
        <f t="shared" si="0"/>
        <v>0</v>
      </c>
      <c r="R41" s="204">
        <f>IF(MAX(K42:L42)=K42,1,0)</f>
        <v>1</v>
      </c>
      <c r="T41" s="209">
        <v>35000</v>
      </c>
      <c r="U41" s="212">
        <v>2E-3</v>
      </c>
      <c r="V41" s="213">
        <v>0.99799799799799804</v>
      </c>
    </row>
    <row r="42" spans="1:22" x14ac:dyDescent="0.3">
      <c r="A42" s="110">
        <v>37</v>
      </c>
      <c r="C42" s="191">
        <v>1.4935696857521845</v>
      </c>
      <c r="D42" s="192">
        <v>118744.65149761268</v>
      </c>
      <c r="E42" s="192">
        <v>1.4073305605312818</v>
      </c>
      <c r="F42" s="192">
        <v>84776.626817875833</v>
      </c>
      <c r="G42" s="192">
        <v>-8.6239125220902713E-2</v>
      </c>
      <c r="H42" s="203">
        <v>8.6239125220902713E-2</v>
      </c>
      <c r="I42" s="192">
        <v>-33968.024679736845</v>
      </c>
      <c r="K42" s="202">
        <v>-138958.85339833019</v>
      </c>
      <c r="L42" s="202">
        <v>-176247.08439907178</v>
      </c>
      <c r="M42" s="221">
        <v>37288.231000741594</v>
      </c>
      <c r="N42" s="221">
        <v>37288.231000741602</v>
      </c>
      <c r="O42" s="221">
        <v>-393881.83255253668</v>
      </c>
      <c r="Q42" s="204">
        <f t="shared" si="0"/>
        <v>0</v>
      </c>
      <c r="R42" s="204">
        <f>IF(MAX(K43:L43)=K43,1,0)</f>
        <v>1</v>
      </c>
      <c r="T42" s="209">
        <v>36000</v>
      </c>
      <c r="U42" s="212">
        <v>2E-3</v>
      </c>
      <c r="V42" s="213">
        <v>0.99799799799799804</v>
      </c>
    </row>
    <row r="43" spans="1:22" x14ac:dyDescent="0.3">
      <c r="A43" s="110">
        <v>38</v>
      </c>
      <c r="C43" s="191">
        <v>1.6381870152254956</v>
      </c>
      <c r="D43" s="192">
        <v>110618.34069333748</v>
      </c>
      <c r="E43" s="192">
        <v>1.3901501332229482</v>
      </c>
      <c r="F43" s="192">
        <v>76286.440710364084</v>
      </c>
      <c r="G43" s="192">
        <v>-0.24803688200254737</v>
      </c>
      <c r="H43" s="203">
        <v>0.24803688200254737</v>
      </c>
      <c r="I43" s="192">
        <v>-34331.899982973395</v>
      </c>
      <c r="K43" s="202">
        <v>-129807.22083944759</v>
      </c>
      <c r="L43" s="202">
        <v>-173688.54077951907</v>
      </c>
      <c r="M43" s="221">
        <v>43881.31994007148</v>
      </c>
      <c r="N43" s="221">
        <v>43881.319940071466</v>
      </c>
      <c r="O43" s="221">
        <v>-138414.49588380489</v>
      </c>
      <c r="Q43" s="204">
        <f t="shared" si="0"/>
        <v>0</v>
      </c>
      <c r="R43" s="204">
        <f>IF(MAX(K44:L44)=K44,1,0)</f>
        <v>1</v>
      </c>
      <c r="T43" s="209">
        <v>37000</v>
      </c>
      <c r="U43" s="212">
        <v>2E-3</v>
      </c>
      <c r="V43" s="213">
        <v>0.99799799799799804</v>
      </c>
    </row>
    <row r="44" spans="1:22" x14ac:dyDescent="0.3">
      <c r="A44" s="110">
        <v>39</v>
      </c>
      <c r="C44" s="191">
        <v>1.2461197101825723</v>
      </c>
      <c r="D44" s="192">
        <v>95092.805643714673</v>
      </c>
      <c r="E44" s="192">
        <v>1.1386818930942215</v>
      </c>
      <c r="F44" s="192">
        <v>70382.823765681926</v>
      </c>
      <c r="G44" s="192">
        <v>-0.10743781708835076</v>
      </c>
      <c r="H44" s="203">
        <v>0.10743781708835076</v>
      </c>
      <c r="I44" s="192">
        <v>-24709.981878032748</v>
      </c>
      <c r="K44" s="202">
        <v>-114222.07664980946</v>
      </c>
      <c r="L44" s="202">
        <v>-143068.41448574371</v>
      </c>
      <c r="M44" s="221">
        <v>28846.337835934246</v>
      </c>
      <c r="N44" s="221">
        <v>28846.337835934253</v>
      </c>
      <c r="O44" s="221">
        <v>-229993.33519325565</v>
      </c>
      <c r="Q44" s="204">
        <f t="shared" si="0"/>
        <v>0</v>
      </c>
      <c r="R44" s="204">
        <f>IF(MAX(K45:L45)=K45,1,0)</f>
        <v>1</v>
      </c>
      <c r="T44" s="209">
        <v>38000</v>
      </c>
      <c r="U44" s="212">
        <v>2E-3</v>
      </c>
      <c r="V44" s="213">
        <v>0.99799799799799804</v>
      </c>
    </row>
    <row r="45" spans="1:22" x14ac:dyDescent="0.3">
      <c r="A45" s="110">
        <v>40</v>
      </c>
      <c r="C45" s="191">
        <v>1.2450034406904282</v>
      </c>
      <c r="D45" s="192">
        <v>129816.99290693412</v>
      </c>
      <c r="E45" s="192">
        <v>0.98379008588088546</v>
      </c>
      <c r="F45" s="192">
        <v>82910.135176508309</v>
      </c>
      <c r="G45" s="192">
        <v>-0.26121335480954277</v>
      </c>
      <c r="H45" s="203">
        <v>0.26121335480954277</v>
      </c>
      <c r="I45" s="192">
        <v>-46906.857730425807</v>
      </c>
      <c r="K45" s="202">
        <v>-120786.05348292241</v>
      </c>
      <c r="L45" s="202">
        <v>-177749.62537351559</v>
      </c>
      <c r="M45" s="221">
        <v>56963.571890593186</v>
      </c>
      <c r="N45" s="221">
        <v>56963.571890593201</v>
      </c>
      <c r="O45" s="221">
        <v>-179572.96924817178</v>
      </c>
      <c r="Q45" s="204">
        <f t="shared" si="0"/>
        <v>0</v>
      </c>
      <c r="R45" s="204">
        <f>IF(MAX(K46:L46)=K46,1,0)</f>
        <v>1</v>
      </c>
      <c r="T45" s="209">
        <v>39000</v>
      </c>
      <c r="U45" s="212">
        <v>2E-3</v>
      </c>
      <c r="V45" s="213">
        <v>0.99799799799799804</v>
      </c>
    </row>
    <row r="46" spans="1:22" x14ac:dyDescent="0.3">
      <c r="A46" s="110">
        <v>41</v>
      </c>
      <c r="C46" s="191">
        <v>1.2189255109209745</v>
      </c>
      <c r="D46" s="192">
        <v>130806.2597978219</v>
      </c>
      <c r="E46" s="192">
        <v>1.0974362281432839</v>
      </c>
      <c r="F46" s="192">
        <v>93447.260596239561</v>
      </c>
      <c r="G46" s="192">
        <v>-0.12148928277769055</v>
      </c>
      <c r="H46" s="203">
        <v>0.12148928277769055</v>
      </c>
      <c r="I46" s="192">
        <v>-37358.999201582337</v>
      </c>
      <c r="K46" s="202">
        <v>-135698.555379756</v>
      </c>
      <c r="L46" s="202">
        <v>-177734.89196827941</v>
      </c>
      <c r="M46" s="221">
        <v>42036.336588523409</v>
      </c>
      <c r="N46" s="221">
        <v>42036.336588523423</v>
      </c>
      <c r="O46" s="221">
        <v>-307508.59950292407</v>
      </c>
      <c r="Q46" s="204">
        <f t="shared" si="0"/>
        <v>0</v>
      </c>
      <c r="R46" s="204">
        <f>IF(MAX(K47:L47)=K47,1,0)</f>
        <v>1</v>
      </c>
      <c r="T46" s="209">
        <v>40000</v>
      </c>
      <c r="U46" s="212">
        <v>2E-3</v>
      </c>
      <c r="V46" s="213">
        <v>0.99799799799799804</v>
      </c>
    </row>
    <row r="47" spans="1:22" x14ac:dyDescent="0.3">
      <c r="A47" s="110">
        <v>42</v>
      </c>
      <c r="C47" s="191">
        <v>1.7079013927053093</v>
      </c>
      <c r="D47" s="192">
        <v>114451.60390765859</v>
      </c>
      <c r="E47" s="192">
        <v>1.5772367942387553</v>
      </c>
      <c r="F47" s="192">
        <v>83251.997546250903</v>
      </c>
      <c r="G47" s="192">
        <v>-0.13066459846655398</v>
      </c>
      <c r="H47" s="203">
        <v>0.13066459846655398</v>
      </c>
      <c r="I47" s="192">
        <v>-31199.606361407685</v>
      </c>
      <c r="K47" s="202">
        <v>-143975.61412444297</v>
      </c>
      <c r="L47" s="202">
        <v>-180205.80752681301</v>
      </c>
      <c r="M47" s="221">
        <v>36230.193402370031</v>
      </c>
      <c r="N47" s="221">
        <v>36230.193402370016</v>
      </c>
      <c r="O47" s="221">
        <v>-238776.27702957203</v>
      </c>
      <c r="Q47" s="204">
        <f t="shared" si="0"/>
        <v>0</v>
      </c>
      <c r="R47" s="204">
        <f>IF(MAX(K48:L48)=K48,1,0)</f>
        <v>1</v>
      </c>
      <c r="T47" s="209">
        <v>41000</v>
      </c>
      <c r="U47" s="212">
        <v>2E-3</v>
      </c>
      <c r="V47" s="213">
        <v>0.99799799799799804</v>
      </c>
    </row>
    <row r="48" spans="1:22" x14ac:dyDescent="0.3">
      <c r="A48" s="110">
        <v>43</v>
      </c>
      <c r="C48" s="191">
        <v>1.2344277332057216</v>
      </c>
      <c r="D48" s="192">
        <v>126070.77360802604</v>
      </c>
      <c r="E48" s="192">
        <v>1.0204833582225534</v>
      </c>
      <c r="F48" s="192">
        <v>90388.738868230794</v>
      </c>
      <c r="G48" s="192">
        <v>-0.21394437498316821</v>
      </c>
      <c r="H48" s="203">
        <v>0.21394437498316821</v>
      </c>
      <c r="I48" s="192">
        <v>-35682.034739795243</v>
      </c>
      <c r="K48" s="202">
        <v>-129677.34815979909</v>
      </c>
      <c r="L48" s="202">
        <v>-173596.24133644631</v>
      </c>
      <c r="M48" s="221">
        <v>43918.893176647223</v>
      </c>
      <c r="N48" s="221">
        <v>43918.893176647216</v>
      </c>
      <c r="O48" s="221">
        <v>-166781.83169154357</v>
      </c>
      <c r="Q48" s="204">
        <f t="shared" si="0"/>
        <v>0</v>
      </c>
      <c r="R48" s="204">
        <f>IF(MAX(K49:L49)=K49,1,0)</f>
        <v>1</v>
      </c>
      <c r="T48" s="209">
        <v>42000</v>
      </c>
      <c r="U48" s="212">
        <v>2E-3</v>
      </c>
      <c r="V48" s="213">
        <v>0.99799799799799804</v>
      </c>
    </row>
    <row r="49" spans="1:22" x14ac:dyDescent="0.3">
      <c r="A49" s="110">
        <v>44</v>
      </c>
      <c r="C49" s="191">
        <v>1.3803274781993862</v>
      </c>
      <c r="D49" s="192">
        <v>147327.11409364434</v>
      </c>
      <c r="E49" s="192">
        <v>1.2359259798381099</v>
      </c>
      <c r="F49" s="192">
        <v>110056.30002480077</v>
      </c>
      <c r="G49" s="192">
        <v>-0.14440149836127625</v>
      </c>
      <c r="H49" s="203">
        <v>0.14440149836127625</v>
      </c>
      <c r="I49" s="192">
        <v>-37270.814068843567</v>
      </c>
      <c r="K49" s="202">
        <v>-157639.450248568</v>
      </c>
      <c r="L49" s="202">
        <v>-200469.72200432071</v>
      </c>
      <c r="M49" s="221">
        <v>42830.271755752707</v>
      </c>
      <c r="N49" s="221">
        <v>42830.271755752699</v>
      </c>
      <c r="O49" s="221">
        <v>-258105.45244895035</v>
      </c>
      <c r="Q49" s="204">
        <f t="shared" si="0"/>
        <v>0</v>
      </c>
      <c r="R49" s="204">
        <f>IF(MAX(K50:L50)=K50,1,0)</f>
        <v>1</v>
      </c>
      <c r="T49" s="209">
        <v>43000</v>
      </c>
      <c r="U49" s="212">
        <v>2E-3</v>
      </c>
      <c r="V49" s="213">
        <v>0.99799799799799804</v>
      </c>
    </row>
    <row r="50" spans="1:22" x14ac:dyDescent="0.3">
      <c r="A50" s="110">
        <v>45</v>
      </c>
      <c r="C50" s="191">
        <v>1.55720072139405</v>
      </c>
      <c r="D50" s="192">
        <v>121383.33187805305</v>
      </c>
      <c r="E50" s="192">
        <v>1.4734028767496483</v>
      </c>
      <c r="F50" s="192">
        <v>88645.211889522077</v>
      </c>
      <c r="G50" s="192">
        <v>-8.3797844644401653E-2</v>
      </c>
      <c r="H50" s="203">
        <v>8.3797844644401653E-2</v>
      </c>
      <c r="I50" s="192">
        <v>-32738.119988530976</v>
      </c>
      <c r="K50" s="202">
        <v>-145371.22264438355</v>
      </c>
      <c r="L50" s="202">
        <v>-181335.55965172398</v>
      </c>
      <c r="M50" s="221">
        <v>35964.337007340422</v>
      </c>
      <c r="N50" s="221">
        <v>35964.337007340437</v>
      </c>
      <c r="O50" s="221">
        <v>-390679.73797483748</v>
      </c>
      <c r="Q50" s="204">
        <f t="shared" si="0"/>
        <v>0</v>
      </c>
      <c r="R50" s="204">
        <f>IF(MAX(K51:L51)=K51,1,0)</f>
        <v>1</v>
      </c>
      <c r="T50" s="209">
        <v>44000</v>
      </c>
      <c r="U50" s="212">
        <v>2E-3</v>
      </c>
      <c r="V50" s="213">
        <v>0.99799799799799804</v>
      </c>
    </row>
    <row r="51" spans="1:22" x14ac:dyDescent="0.3">
      <c r="A51" s="110">
        <v>46</v>
      </c>
      <c r="C51" s="191">
        <v>1.1950187103176553</v>
      </c>
      <c r="D51" s="192">
        <v>148607.88449514334</v>
      </c>
      <c r="E51" s="192">
        <v>1.0702528195920362</v>
      </c>
      <c r="F51" s="192">
        <v>126798.38585379471</v>
      </c>
      <c r="G51" s="192">
        <v>-0.12476589072561906</v>
      </c>
      <c r="H51" s="203">
        <v>0.12476589072561906</v>
      </c>
      <c r="I51" s="192">
        <v>-21809.498641348633</v>
      </c>
      <c r="K51" s="202">
        <v>-168003.1194080881</v>
      </c>
      <c r="L51" s="202">
        <v>-194616.10484237305</v>
      </c>
      <c r="M51" s="221">
        <v>26612.985434284958</v>
      </c>
      <c r="N51" s="221">
        <v>26612.985434284965</v>
      </c>
      <c r="O51" s="221">
        <v>-174803.37385889664</v>
      </c>
      <c r="Q51" s="204">
        <f t="shared" si="0"/>
        <v>0</v>
      </c>
      <c r="R51" s="204">
        <f>IF(MAX(K52:L52)=K52,1,0)</f>
        <v>1</v>
      </c>
      <c r="T51" s="209">
        <v>45000</v>
      </c>
      <c r="U51" s="212">
        <v>2E-3</v>
      </c>
      <c r="V51" s="213">
        <v>0.99799799799799804</v>
      </c>
    </row>
    <row r="52" spans="1:22" x14ac:dyDescent="0.3">
      <c r="A52" s="110">
        <v>47</v>
      </c>
      <c r="C52" s="191">
        <v>1.3611194726675657</v>
      </c>
      <c r="D52" s="192">
        <v>86099.301694499081</v>
      </c>
      <c r="E52" s="192">
        <v>1.175642292355829</v>
      </c>
      <c r="F52" s="192">
        <v>58311.386154346888</v>
      </c>
      <c r="G52" s="192">
        <v>-0.18547718031173677</v>
      </c>
      <c r="H52" s="203">
        <v>0.18547718031173677</v>
      </c>
      <c r="I52" s="192">
        <v>-27787.915540152193</v>
      </c>
      <c r="K52" s="202">
        <v>-103573.61441004631</v>
      </c>
      <c r="L52" s="202">
        <v>-138502.40139220038</v>
      </c>
      <c r="M52" s="221">
        <v>34928.786982154066</v>
      </c>
      <c r="N52" s="221">
        <v>34928.786982154059</v>
      </c>
      <c r="O52" s="221">
        <v>-149818.51402662179</v>
      </c>
      <c r="Q52" s="204">
        <f t="shared" si="0"/>
        <v>0</v>
      </c>
      <c r="R52" s="204">
        <f>IF(MAX(K53:L53)=K53,1,0)</f>
        <v>1</v>
      </c>
      <c r="T52" s="209">
        <v>46000</v>
      </c>
      <c r="U52" s="212">
        <v>2E-3</v>
      </c>
      <c r="V52" s="213">
        <v>0.99799799799799804</v>
      </c>
    </row>
    <row r="53" spans="1:22" x14ac:dyDescent="0.3">
      <c r="A53" s="110">
        <v>48</v>
      </c>
      <c r="C53" s="191">
        <v>1.3482748231637551</v>
      </c>
      <c r="D53" s="192">
        <v>110644.96628937387</v>
      </c>
      <c r="E53" s="192">
        <v>1.354211949692568</v>
      </c>
      <c r="F53" s="192">
        <v>89045.930338777238</v>
      </c>
      <c r="G53" s="192">
        <v>5.9371265288128416E-3</v>
      </c>
      <c r="H53" s="203">
        <v>-5.9371265288128416E-3</v>
      </c>
      <c r="I53" s="192">
        <v>-21599.035950596633</v>
      </c>
      <c r="K53" s="202">
        <v>-141183.0904019411</v>
      </c>
      <c r="L53" s="202">
        <v>-162553.54698117846</v>
      </c>
      <c r="M53" s="221">
        <v>21370.456579237361</v>
      </c>
      <c r="N53" s="221">
        <v>21370.45657923734</v>
      </c>
      <c r="O53" s="221">
        <v>3637961.1998795434</v>
      </c>
      <c r="Q53" s="204">
        <f t="shared" si="0"/>
        <v>0</v>
      </c>
      <c r="R53" s="204">
        <f>IF(MAX(K54:L54)=K54,1,0)</f>
        <v>1</v>
      </c>
      <c r="T53" s="209">
        <v>47000</v>
      </c>
      <c r="U53" s="212">
        <v>2E-3</v>
      </c>
      <c r="V53" s="213">
        <v>0.99799799799799804</v>
      </c>
    </row>
    <row r="54" spans="1:22" x14ac:dyDescent="0.3">
      <c r="A54" s="110">
        <v>49</v>
      </c>
      <c r="C54" s="191">
        <v>1.228825411851961</v>
      </c>
      <c r="D54" s="192">
        <v>150818.39761292838</v>
      </c>
      <c r="E54" s="192">
        <v>0.95641974828625076</v>
      </c>
      <c r="F54" s="192">
        <v>103955.13487098519</v>
      </c>
      <c r="G54" s="192">
        <v>-0.27240566356571028</v>
      </c>
      <c r="H54" s="203">
        <v>0.27240566356571028</v>
      </c>
      <c r="I54" s="192">
        <v>-46863.262741943196</v>
      </c>
      <c r="K54" s="202">
        <v>-140777.29518000584</v>
      </c>
      <c r="L54" s="202">
        <v>-198128.17596922888</v>
      </c>
      <c r="M54" s="221">
        <v>57350.88078922304</v>
      </c>
      <c r="N54" s="221">
        <v>57350.88078922304</v>
      </c>
      <c r="O54" s="221">
        <v>-172034.8326408373</v>
      </c>
      <c r="Q54" s="204">
        <f t="shared" si="0"/>
        <v>0</v>
      </c>
      <c r="R54" s="204">
        <f>IF(MAX(K55:L55)=K55,1,0)</f>
        <v>1</v>
      </c>
      <c r="T54" s="209">
        <v>48000</v>
      </c>
      <c r="U54" s="212">
        <v>2E-3</v>
      </c>
      <c r="V54" s="213">
        <v>0.99799799799799804</v>
      </c>
    </row>
    <row r="55" spans="1:22" x14ac:dyDescent="0.3">
      <c r="A55" s="110">
        <v>50</v>
      </c>
      <c r="C55" s="191">
        <v>1.3723895880757433</v>
      </c>
      <c r="D55" s="192">
        <v>134393.22315590765</v>
      </c>
      <c r="E55" s="192">
        <v>1.1706579639182975</v>
      </c>
      <c r="F55" s="192">
        <v>89240.991193994923</v>
      </c>
      <c r="G55" s="192">
        <v>-0.20173162415744583</v>
      </c>
      <c r="H55" s="203">
        <v>0.20173162415744583</v>
      </c>
      <c r="I55" s="192">
        <v>-45152.231961912723</v>
      </c>
      <c r="K55" s="202">
        <v>-134311.32280484936</v>
      </c>
      <c r="L55" s="202">
        <v>-187230.22229682375</v>
      </c>
      <c r="M55" s="221">
        <v>52918.899491974385</v>
      </c>
      <c r="N55" s="221">
        <v>52918.899491974385</v>
      </c>
      <c r="O55" s="221">
        <v>-223823.27089516059</v>
      </c>
      <c r="Q55" s="204">
        <f t="shared" si="0"/>
        <v>0</v>
      </c>
      <c r="R55" s="204">
        <f>IF(MAX(K56:L56)=K56,1,0)</f>
        <v>1</v>
      </c>
      <c r="T55" s="209">
        <v>49000</v>
      </c>
      <c r="U55" s="212">
        <v>2E-3</v>
      </c>
      <c r="V55" s="213">
        <v>0.99799799799799804</v>
      </c>
    </row>
    <row r="56" spans="1:22" x14ac:dyDescent="0.3">
      <c r="A56" s="110">
        <v>51</v>
      </c>
      <c r="C56" s="191">
        <v>1.3536295701296976</v>
      </c>
      <c r="D56" s="192">
        <v>119454.06860203069</v>
      </c>
      <c r="E56" s="192">
        <v>1.2195239758993615</v>
      </c>
      <c r="F56" s="192">
        <v>94915.228883380216</v>
      </c>
      <c r="G56" s="192">
        <v>-0.13410559423033619</v>
      </c>
      <c r="H56" s="203">
        <v>0.13410559423033619</v>
      </c>
      <c r="I56" s="192">
        <v>-24538.839718650474</v>
      </c>
      <c r="K56" s="202">
        <v>-141866.90195550563</v>
      </c>
      <c r="L56" s="202">
        <v>-171568.80705202406</v>
      </c>
      <c r="M56" s="221">
        <v>29701.905096518429</v>
      </c>
      <c r="N56" s="221">
        <v>29701.905096518418</v>
      </c>
      <c r="O56" s="221">
        <v>-182981.47709262013</v>
      </c>
      <c r="Q56" s="204">
        <f t="shared" si="0"/>
        <v>0</v>
      </c>
      <c r="R56" s="204">
        <f>IF(MAX(K57:L57)=K57,1,0)</f>
        <v>1</v>
      </c>
      <c r="T56" s="209">
        <v>50000</v>
      </c>
      <c r="U56" s="212">
        <v>2E-3</v>
      </c>
      <c r="V56" s="213">
        <v>0.99799799799799804</v>
      </c>
    </row>
    <row r="57" spans="1:22" x14ac:dyDescent="0.3">
      <c r="A57" s="110">
        <v>52</v>
      </c>
      <c r="C57" s="191">
        <v>1.4224890588724</v>
      </c>
      <c r="D57" s="192">
        <v>118844.04834617522</v>
      </c>
      <c r="E57" s="192">
        <v>1.1993343491871773</v>
      </c>
      <c r="F57" s="192">
        <v>79741.896248558172</v>
      </c>
      <c r="G57" s="192">
        <v>-0.22315470968522266</v>
      </c>
      <c r="H57" s="203">
        <v>0.22315470968522266</v>
      </c>
      <c r="I57" s="192">
        <v>-39102.152097617043</v>
      </c>
      <c r="K57" s="202">
        <v>-125916.26869226451</v>
      </c>
      <c r="L57" s="202">
        <v>-173609.87711276262</v>
      </c>
      <c r="M57" s="221">
        <v>47693.608420498116</v>
      </c>
      <c r="N57" s="221">
        <v>47693.608420498116</v>
      </c>
      <c r="O57" s="221">
        <v>-175224.40889898187</v>
      </c>
      <c r="Q57" s="204">
        <f t="shared" si="0"/>
        <v>0</v>
      </c>
      <c r="R57" s="204">
        <f>IF(MAX(K58:L58)=K58,1,0)</f>
        <v>1</v>
      </c>
      <c r="T57" s="209">
        <v>51000</v>
      </c>
      <c r="U57" s="212">
        <v>2E-3</v>
      </c>
      <c r="V57" s="213">
        <v>0.99799799799799804</v>
      </c>
    </row>
    <row r="58" spans="1:22" x14ac:dyDescent="0.3">
      <c r="A58" s="110">
        <v>53</v>
      </c>
      <c r="C58" s="191">
        <v>1.4703701506889895</v>
      </c>
      <c r="D58" s="192">
        <v>121949.27396123766</v>
      </c>
      <c r="E58" s="192">
        <v>1.2922436978599876</v>
      </c>
      <c r="F58" s="192">
        <v>95712.182973502873</v>
      </c>
      <c r="G58" s="192">
        <v>-0.17812645282900186</v>
      </c>
      <c r="H58" s="203">
        <v>0.17812645282900186</v>
      </c>
      <c r="I58" s="192">
        <v>-26237.090987734788</v>
      </c>
      <c r="K58" s="202">
        <v>-145463.56534111238</v>
      </c>
      <c r="L58" s="202">
        <v>-178558.52476276376</v>
      </c>
      <c r="M58" s="221">
        <v>33094.95942165138</v>
      </c>
      <c r="N58" s="221">
        <v>33094.959421651358</v>
      </c>
      <c r="O58" s="221">
        <v>-147294.74803454327</v>
      </c>
      <c r="Q58" s="204">
        <f t="shared" si="0"/>
        <v>0</v>
      </c>
      <c r="R58" s="204">
        <f>IF(MAX(K59:L59)=K59,1,0)</f>
        <v>1</v>
      </c>
      <c r="T58" s="209">
        <v>52000</v>
      </c>
      <c r="U58" s="212">
        <v>2E-3</v>
      </c>
      <c r="V58" s="213">
        <v>0.99799799799799804</v>
      </c>
    </row>
    <row r="59" spans="1:22" x14ac:dyDescent="0.3">
      <c r="A59" s="110">
        <v>54</v>
      </c>
      <c r="C59" s="191">
        <v>1.4749410699098984</v>
      </c>
      <c r="D59" s="192">
        <v>128732.47146601851</v>
      </c>
      <c r="E59" s="192">
        <v>1.4129014562758369</v>
      </c>
      <c r="F59" s="192">
        <v>98779.369819908941</v>
      </c>
      <c r="G59" s="192">
        <v>-6.2039613634061519E-2</v>
      </c>
      <c r="H59" s="203">
        <v>6.2039613634061519E-2</v>
      </c>
      <c r="I59" s="192">
        <v>-29953.101646109571</v>
      </c>
      <c r="K59" s="202">
        <v>-153176.07588652865</v>
      </c>
      <c r="L59" s="202">
        <v>-185517.70265754958</v>
      </c>
      <c r="M59" s="221">
        <v>32341.626771020936</v>
      </c>
      <c r="N59" s="221">
        <v>32341.626771020939</v>
      </c>
      <c r="O59" s="221">
        <v>-482806.06360295683</v>
      </c>
      <c r="Q59" s="204">
        <f t="shared" si="0"/>
        <v>0</v>
      </c>
      <c r="R59" s="204">
        <f>IF(MAX(K60:L60)=K60,1,0)</f>
        <v>1</v>
      </c>
      <c r="T59" s="209">
        <v>53000</v>
      </c>
      <c r="U59" s="212">
        <v>2E-3</v>
      </c>
      <c r="V59" s="213">
        <v>0.99799799799799804</v>
      </c>
    </row>
    <row r="60" spans="1:22" x14ac:dyDescent="0.3">
      <c r="A60" s="110">
        <v>55</v>
      </c>
      <c r="C60" s="191">
        <v>1.3819172812911689</v>
      </c>
      <c r="D60" s="192">
        <v>112931.7923012228</v>
      </c>
      <c r="E60" s="192">
        <v>1.2089421701667045</v>
      </c>
      <c r="F60" s="192">
        <v>80122.695226534008</v>
      </c>
      <c r="G60" s="192">
        <v>-0.1729751111244644</v>
      </c>
      <c r="H60" s="203">
        <v>0.1729751111244644</v>
      </c>
      <c r="I60" s="192">
        <v>-32809.097074688791</v>
      </c>
      <c r="K60" s="202">
        <v>-126666.96877795213</v>
      </c>
      <c r="L60" s="202">
        <v>-166135.60763093279</v>
      </c>
      <c r="M60" s="221">
        <v>39468.638852980657</v>
      </c>
      <c r="N60" s="221">
        <v>39468.638852980672</v>
      </c>
      <c r="O60" s="221">
        <v>-189675.24785158818</v>
      </c>
      <c r="Q60" s="204">
        <f t="shared" si="0"/>
        <v>0</v>
      </c>
      <c r="R60" s="204">
        <f>IF(MAX(K61:L61)=K61,1,0)</f>
        <v>1</v>
      </c>
      <c r="T60" s="209">
        <v>54000</v>
      </c>
      <c r="U60" s="212">
        <v>2E-3</v>
      </c>
      <c r="V60" s="213">
        <v>0.99799799799799804</v>
      </c>
    </row>
    <row r="61" spans="1:22" x14ac:dyDescent="0.3">
      <c r="A61" s="110">
        <v>56</v>
      </c>
      <c r="C61" s="191">
        <v>1.2357733027568243</v>
      </c>
      <c r="D61" s="192">
        <v>100694.45246275527</v>
      </c>
      <c r="E61" s="192">
        <v>1.1451015491137215</v>
      </c>
      <c r="F61" s="192">
        <v>71926.274128004865</v>
      </c>
      <c r="G61" s="192">
        <v>-9.0671753643102759E-2</v>
      </c>
      <c r="H61" s="203">
        <v>9.0671753643102759E-2</v>
      </c>
      <c r="I61" s="192">
        <v>-28768.17833475041</v>
      </c>
      <c r="K61" s="202">
        <v>-116012.68376888314</v>
      </c>
      <c r="L61" s="202">
        <v>-148271.724618893</v>
      </c>
      <c r="M61" s="221">
        <v>32259.040850009857</v>
      </c>
      <c r="N61" s="221">
        <v>32259.040850009867</v>
      </c>
      <c r="O61" s="221">
        <v>-317278.28324558662</v>
      </c>
      <c r="Q61" s="204">
        <f t="shared" si="0"/>
        <v>0</v>
      </c>
      <c r="R61" s="204">
        <f>IF(MAX(K62:L62)=K62,1,0)</f>
        <v>1</v>
      </c>
      <c r="T61" s="209">
        <v>55000</v>
      </c>
      <c r="U61" s="212">
        <v>2E-3</v>
      </c>
      <c r="V61" s="213">
        <v>0.99799799799799804</v>
      </c>
    </row>
    <row r="62" spans="1:22" x14ac:dyDescent="0.3">
      <c r="A62" s="110">
        <v>57</v>
      </c>
      <c r="C62" s="191">
        <v>1.6769233453521237</v>
      </c>
      <c r="D62" s="192">
        <v>116770.49999249313</v>
      </c>
      <c r="E62" s="192">
        <v>1.4415345304988461</v>
      </c>
      <c r="F62" s="192">
        <v>81861.760562062977</v>
      </c>
      <c r="G62" s="192">
        <v>-0.23538881485327767</v>
      </c>
      <c r="H62" s="203">
        <v>0.23538881485327767</v>
      </c>
      <c r="I62" s="192">
        <v>-34908.739430430156</v>
      </c>
      <c r="K62" s="202">
        <v>-137360.83998626855</v>
      </c>
      <c r="L62" s="202">
        <v>-181332.0487885499</v>
      </c>
      <c r="M62" s="221">
        <v>43971.208802281355</v>
      </c>
      <c r="N62" s="221">
        <v>43971.208802281348</v>
      </c>
      <c r="O62" s="221">
        <v>-148302.45630910475</v>
      </c>
      <c r="Q62" s="204">
        <f t="shared" si="0"/>
        <v>0</v>
      </c>
      <c r="R62" s="204">
        <f>IF(MAX(K63:L63)=K63,1,0)</f>
        <v>1</v>
      </c>
      <c r="T62" s="209">
        <v>56000</v>
      </c>
      <c r="U62" s="212">
        <v>2E-3</v>
      </c>
      <c r="V62" s="213">
        <v>0.99799799799799804</v>
      </c>
    </row>
    <row r="63" spans="1:22" ht="15" thickBot="1" x14ac:dyDescent="0.35">
      <c r="A63" s="110">
        <v>58</v>
      </c>
      <c r="C63" s="191">
        <v>1.4541373777151296</v>
      </c>
      <c r="D63" s="192">
        <v>113443.59207617986</v>
      </c>
      <c r="E63" s="192">
        <v>1.3437623243447128</v>
      </c>
      <c r="F63" s="192">
        <v>82321.978849949926</v>
      </c>
      <c r="G63" s="192">
        <v>-0.11037505337041686</v>
      </c>
      <c r="H63" s="203">
        <v>0.11037505337041686</v>
      </c>
      <c r="I63" s="192">
        <v>-31121.613226229936</v>
      </c>
      <c r="K63" s="202">
        <v>-134056.82833722138</v>
      </c>
      <c r="L63" s="202">
        <v>-169427.88111821236</v>
      </c>
      <c r="M63" s="221">
        <v>35371.052780990984</v>
      </c>
      <c r="N63" s="221">
        <v>35371.052780990984</v>
      </c>
      <c r="O63" s="221">
        <v>-281962.38439664728</v>
      </c>
      <c r="Q63" s="204">
        <f t="shared" si="0"/>
        <v>0</v>
      </c>
      <c r="R63" s="204">
        <f>IF(MAX(K64:L64)=K64,1,0)</f>
        <v>1</v>
      </c>
      <c r="T63" s="209">
        <v>57000</v>
      </c>
      <c r="U63" s="214">
        <v>2E-3</v>
      </c>
      <c r="V63" s="215">
        <v>0.99799799799799804</v>
      </c>
    </row>
    <row r="64" spans="1:22" x14ac:dyDescent="0.3">
      <c r="A64" s="110">
        <v>59</v>
      </c>
      <c r="C64" s="191">
        <v>1.4715506437128993</v>
      </c>
      <c r="D64" s="192">
        <v>141409.11061860496</v>
      </c>
      <c r="E64" s="192">
        <v>1.4067360091549896</v>
      </c>
      <c r="F64" s="192">
        <v>108602.89072985061</v>
      </c>
      <c r="G64" s="192">
        <v>-6.4814634557909701E-2</v>
      </c>
      <c r="H64" s="203">
        <v>6.4814634557909701E-2</v>
      </c>
      <c r="I64" s="192">
        <v>-32806.219888754349</v>
      </c>
      <c r="K64" s="202">
        <v>-162762.2270823177</v>
      </c>
      <c r="L64" s="202">
        <v>-198063.8104015516</v>
      </c>
      <c r="M64" s="221">
        <v>35301.583319233905</v>
      </c>
      <c r="N64" s="221">
        <v>35301.583319233876</v>
      </c>
      <c r="O64" s="221">
        <v>-506154.5145246957</v>
      </c>
      <c r="Q64" s="204">
        <f t="shared" si="0"/>
        <v>0</v>
      </c>
      <c r="R64" s="204">
        <f>IF(MAX(K65:L65)=K65,1,0)</f>
        <v>1</v>
      </c>
    </row>
    <row r="65" spans="1:18" x14ac:dyDescent="0.3">
      <c r="A65" s="110">
        <v>60</v>
      </c>
      <c r="C65" s="191">
        <v>1.4005784616576846</v>
      </c>
      <c r="D65" s="192">
        <v>148577.23398064129</v>
      </c>
      <c r="E65" s="192">
        <v>1.221132793295763</v>
      </c>
      <c r="F65" s="192">
        <v>112942.97584684566</v>
      </c>
      <c r="G65" s="192">
        <v>-0.17944566836192166</v>
      </c>
      <c r="H65" s="203">
        <v>0.17944566836192166</v>
      </c>
      <c r="I65" s="192">
        <v>-35634.258133795636</v>
      </c>
      <c r="K65" s="202">
        <v>-159956.58838873252</v>
      </c>
      <c r="L65" s="202">
        <v>-202499.50475446216</v>
      </c>
      <c r="M65" s="221">
        <v>42542.916365729645</v>
      </c>
      <c r="N65" s="221">
        <v>42542.916365729623</v>
      </c>
      <c r="O65" s="221">
        <v>-198579.6506490497</v>
      </c>
      <c r="Q65" s="204">
        <f t="shared" si="0"/>
        <v>0</v>
      </c>
      <c r="R65" s="204">
        <f>IF(MAX(K66:L66)=K66,1,0)</f>
        <v>1</v>
      </c>
    </row>
    <row r="66" spans="1:18" x14ac:dyDescent="0.3">
      <c r="A66" s="110">
        <v>61</v>
      </c>
      <c r="C66" s="191">
        <v>1.104244171650733</v>
      </c>
      <c r="D66" s="192">
        <v>113060.36612073939</v>
      </c>
      <c r="E66" s="192">
        <v>1.1550324176478468</v>
      </c>
      <c r="F66" s="192">
        <v>106670.60764970358</v>
      </c>
      <c r="G66" s="192">
        <v>5.0788245997113846E-2</v>
      </c>
      <c r="H66" s="203">
        <v>-5.0788245997113846E-2</v>
      </c>
      <c r="I66" s="192">
        <v>-6389.758471035806</v>
      </c>
      <c r="K66" s="202">
        <v>-151139.3557291457</v>
      </c>
      <c r="L66" s="202">
        <v>-155573.76672929261</v>
      </c>
      <c r="M66" s="221">
        <v>4434.4110001469089</v>
      </c>
      <c r="N66" s="221">
        <v>4434.4110001469235</v>
      </c>
      <c r="O66" s="221">
        <v>125811.7571415819</v>
      </c>
      <c r="Q66" s="204">
        <f t="shared" si="0"/>
        <v>0</v>
      </c>
      <c r="R66" s="204">
        <f>IF(MAX(K67:L67)=K67,1,0)</f>
        <v>1</v>
      </c>
    </row>
    <row r="67" spans="1:18" x14ac:dyDescent="0.3">
      <c r="A67" s="110">
        <v>62</v>
      </c>
      <c r="C67" s="191">
        <v>1.1669007378602667</v>
      </c>
      <c r="D67" s="192">
        <v>113360.8225928068</v>
      </c>
      <c r="E67" s="192">
        <v>1.0670800257897399</v>
      </c>
      <c r="F67" s="192">
        <v>87688.497097615007</v>
      </c>
      <c r="G67" s="192">
        <v>-9.9820712070526785E-2</v>
      </c>
      <c r="H67" s="203">
        <v>9.9820712070526785E-2</v>
      </c>
      <c r="I67" s="192">
        <v>-25672.325495191792</v>
      </c>
      <c r="K67" s="202">
        <v>-128771.07809051999</v>
      </c>
      <c r="L67" s="202">
        <v>-158286.50100042706</v>
      </c>
      <c r="M67" s="221">
        <v>29515.422909907065</v>
      </c>
      <c r="N67" s="221">
        <v>29515.422909907073</v>
      </c>
      <c r="O67" s="221">
        <v>-257184.35545774715</v>
      </c>
      <c r="Q67" s="204">
        <f t="shared" si="0"/>
        <v>0</v>
      </c>
      <c r="R67" s="204">
        <f>IF(MAX(K68:L68)=K68,1,0)</f>
        <v>1</v>
      </c>
    </row>
    <row r="68" spans="1:18" x14ac:dyDescent="0.3">
      <c r="A68" s="110">
        <v>63</v>
      </c>
      <c r="C68" s="191">
        <v>1.7713004111202886</v>
      </c>
      <c r="D68" s="192">
        <v>112521.66866130766</v>
      </c>
      <c r="E68" s="192">
        <v>1.7821869065753402</v>
      </c>
      <c r="F68" s="192">
        <v>93451.359181542168</v>
      </c>
      <c r="G68" s="192">
        <v>1.0886495455051604E-2</v>
      </c>
      <c r="H68" s="203">
        <v>-1.0886495455051604E-2</v>
      </c>
      <c r="I68" s="192">
        <v>-19070.309479765492</v>
      </c>
      <c r="K68" s="202">
        <v>-162065.55508469278</v>
      </c>
      <c r="L68" s="202">
        <v>-180716.73448943876</v>
      </c>
      <c r="M68" s="221">
        <v>18651.179404745984</v>
      </c>
      <c r="N68" s="221">
        <v>18651.179404746006</v>
      </c>
      <c r="O68" s="221">
        <v>1751739.9936924968</v>
      </c>
      <c r="Q68" s="204">
        <f t="shared" si="0"/>
        <v>0</v>
      </c>
      <c r="R68" s="204">
        <f>IF(MAX(K69:L69)=K69,1,0)</f>
        <v>1</v>
      </c>
    </row>
    <row r="69" spans="1:18" x14ac:dyDescent="0.3">
      <c r="A69" s="110">
        <v>64</v>
      </c>
      <c r="C69" s="191">
        <v>1.2383867553729573</v>
      </c>
      <c r="D69" s="192">
        <v>142978.58237166164</v>
      </c>
      <c r="E69" s="192">
        <v>1.0440270050613008</v>
      </c>
      <c r="F69" s="192">
        <v>108912.53339016727</v>
      </c>
      <c r="G69" s="192">
        <v>-0.19435975031165653</v>
      </c>
      <c r="H69" s="203">
        <v>0.19435975031165653</v>
      </c>
      <c r="I69" s="192">
        <v>-34066.048981494372</v>
      </c>
      <c r="K69" s="202">
        <v>-149107.57308502734</v>
      </c>
      <c r="L69" s="202">
        <v>-190656.47245352049</v>
      </c>
      <c r="M69" s="221">
        <v>41548.899368493148</v>
      </c>
      <c r="N69" s="221">
        <v>41548.899368493148</v>
      </c>
      <c r="O69" s="221">
        <v>-175273.16703622713</v>
      </c>
      <c r="Q69" s="204">
        <f t="shared" si="0"/>
        <v>0</v>
      </c>
      <c r="R69" s="204">
        <f>IF(MAX(K70:L70)=K70,1,0)</f>
        <v>1</v>
      </c>
    </row>
    <row r="70" spans="1:18" x14ac:dyDescent="0.3">
      <c r="A70" s="110">
        <v>65</v>
      </c>
      <c r="C70" s="191">
        <v>1.2623226484304337</v>
      </c>
      <c r="D70" s="192">
        <v>122152.05179303445</v>
      </c>
      <c r="E70" s="192">
        <v>1.1604748089420129</v>
      </c>
      <c r="F70" s="192">
        <v>89837.38376978146</v>
      </c>
      <c r="G70" s="192">
        <v>-0.1018478394884208</v>
      </c>
      <c r="H70" s="203">
        <v>0.1018478394884208</v>
      </c>
      <c r="I70" s="192">
        <v>-32314.668023252991</v>
      </c>
      <c r="K70" s="202">
        <v>-134515.66391404896</v>
      </c>
      <c r="L70" s="202">
        <v>-170751.47375760615</v>
      </c>
      <c r="M70" s="221">
        <v>36235.809843557188</v>
      </c>
      <c r="N70" s="221">
        <v>36235.809843557188</v>
      </c>
      <c r="O70" s="221">
        <v>-317283.78515998746</v>
      </c>
      <c r="Q70" s="204">
        <f t="shared" si="0"/>
        <v>0</v>
      </c>
      <c r="R70" s="204">
        <f>IF(MAX(K71:L71)=K71,1,0)</f>
        <v>1</v>
      </c>
    </row>
    <row r="71" spans="1:18" x14ac:dyDescent="0.3">
      <c r="A71" s="110">
        <v>66</v>
      </c>
      <c r="C71" s="191">
        <v>1.1210657272478428</v>
      </c>
      <c r="D71" s="192">
        <v>87360.939836380421</v>
      </c>
      <c r="E71" s="192">
        <v>0.96125933700875865</v>
      </c>
      <c r="F71" s="192">
        <v>60001.094280418045</v>
      </c>
      <c r="G71" s="192">
        <v>-0.15980639023908416</v>
      </c>
      <c r="H71" s="203">
        <v>0.15980639023908416</v>
      </c>
      <c r="I71" s="192">
        <v>-27359.845555962376</v>
      </c>
      <c r="K71" s="202">
        <v>-97009.57875525525</v>
      </c>
      <c r="L71" s="202">
        <v>-130521.97033542237</v>
      </c>
      <c r="M71" s="221">
        <v>33512.391580167125</v>
      </c>
      <c r="N71" s="221">
        <v>33512.391580167117</v>
      </c>
      <c r="O71" s="221">
        <v>-171206.20467698248</v>
      </c>
      <c r="Q71" s="204">
        <f t="shared" ref="Q71:Q134" si="1">IF(MAX(K71:L71)=L71,1,0)</f>
        <v>0</v>
      </c>
      <c r="R71" s="204">
        <f>IF(MAX(K72:L72)=K72,1,0)</f>
        <v>1</v>
      </c>
    </row>
    <row r="72" spans="1:18" x14ac:dyDescent="0.3">
      <c r="A72" s="110">
        <v>67</v>
      </c>
      <c r="C72" s="191">
        <v>1.0380555529880058</v>
      </c>
      <c r="D72" s="192">
        <v>131041.0167776203</v>
      </c>
      <c r="E72" s="192">
        <v>0.96357863049384018</v>
      </c>
      <c r="F72" s="192">
        <v>93525.028375014124</v>
      </c>
      <c r="G72" s="192">
        <v>-7.4476922494165598E-2</v>
      </c>
      <c r="H72" s="203">
        <v>7.4476922494165598E-2</v>
      </c>
      <c r="I72" s="192">
        <v>-37515.988402606177</v>
      </c>
      <c r="K72" s="202">
        <v>-130622.80564902697</v>
      </c>
      <c r="L72" s="202">
        <v>-171006.15556765854</v>
      </c>
      <c r="M72" s="221">
        <v>40383.349918631575</v>
      </c>
      <c r="N72" s="221">
        <v>40383.349918631553</v>
      </c>
      <c r="O72" s="221">
        <v>-503726.35101222288</v>
      </c>
      <c r="Q72" s="204">
        <f t="shared" si="1"/>
        <v>0</v>
      </c>
      <c r="R72" s="204">
        <f>IF(MAX(K73:L73)=K73,1,0)</f>
        <v>1</v>
      </c>
    </row>
    <row r="73" spans="1:18" x14ac:dyDescent="0.3">
      <c r="A73" s="110">
        <v>68</v>
      </c>
      <c r="C73" s="191">
        <v>1.4763062224476549</v>
      </c>
      <c r="D73" s="192">
        <v>106147.79715007113</v>
      </c>
      <c r="E73" s="192">
        <v>1.3238528429758778</v>
      </c>
      <c r="F73" s="192">
        <v>72282.144017933329</v>
      </c>
      <c r="G73" s="192">
        <v>-0.15245337947177706</v>
      </c>
      <c r="H73" s="203">
        <v>0.15245337947177706</v>
      </c>
      <c r="I73" s="192">
        <v>-33865.653132137799</v>
      </c>
      <c r="K73" s="202">
        <v>-123250.47847250462</v>
      </c>
      <c r="L73" s="202">
        <v>-162985.58671430586</v>
      </c>
      <c r="M73" s="221">
        <v>39735.108241801237</v>
      </c>
      <c r="N73" s="221">
        <v>39735.108241801216</v>
      </c>
      <c r="O73" s="221">
        <v>-222137.76598115478</v>
      </c>
      <c r="Q73" s="204">
        <f t="shared" si="1"/>
        <v>0</v>
      </c>
      <c r="R73" s="204">
        <f>IF(MAX(K74:L74)=K74,1,0)</f>
        <v>1</v>
      </c>
    </row>
    <row r="74" spans="1:18" x14ac:dyDescent="0.3">
      <c r="A74" s="110">
        <v>69</v>
      </c>
      <c r="C74" s="191">
        <v>0.99696557389041895</v>
      </c>
      <c r="D74" s="192">
        <v>114328.59114474006</v>
      </c>
      <c r="E74" s="192">
        <v>0.94234585798533455</v>
      </c>
      <c r="F74" s="192">
        <v>93190.007931987013</v>
      </c>
      <c r="G74" s="192">
        <v>-5.4619715905084409E-2</v>
      </c>
      <c r="H74" s="203">
        <v>5.4619715905084409E-2</v>
      </c>
      <c r="I74" s="192">
        <v>-21138.583212753045</v>
      </c>
      <c r="K74" s="202">
        <v>-129470.3234644224</v>
      </c>
      <c r="L74" s="202">
        <v>-152711.76573952119</v>
      </c>
      <c r="M74" s="221">
        <v>23241.442275098787</v>
      </c>
      <c r="N74" s="221">
        <v>23241.442275098794</v>
      </c>
      <c r="O74" s="221">
        <v>-387013.78911392885</v>
      </c>
      <c r="Q74" s="204">
        <f t="shared" si="1"/>
        <v>0</v>
      </c>
      <c r="R74" s="204">
        <f>IF(MAX(K75:L75)=K75,1,0)</f>
        <v>1</v>
      </c>
    </row>
    <row r="75" spans="1:18" x14ac:dyDescent="0.3">
      <c r="A75" s="110">
        <v>70</v>
      </c>
      <c r="C75" s="191">
        <v>1.538005084030684</v>
      </c>
      <c r="D75" s="192">
        <v>110178.5600014732</v>
      </c>
      <c r="E75" s="192">
        <v>1.448786493187991</v>
      </c>
      <c r="F75" s="192">
        <v>87542.785775927186</v>
      </c>
      <c r="G75" s="192">
        <v>-8.9218590842693013E-2</v>
      </c>
      <c r="H75" s="203">
        <v>8.9218590842693013E-2</v>
      </c>
      <c r="I75" s="192">
        <v>-22635.774225546018</v>
      </c>
      <c r="K75" s="202">
        <v>-143321.06576366484</v>
      </c>
      <c r="L75" s="202">
        <v>-169391.75573665454</v>
      </c>
      <c r="M75" s="221">
        <v>26070.689972989698</v>
      </c>
      <c r="N75" s="221">
        <v>26070.689972989698</v>
      </c>
      <c r="O75" s="221">
        <v>-253711.40713774101</v>
      </c>
      <c r="Q75" s="204">
        <f t="shared" si="1"/>
        <v>0</v>
      </c>
      <c r="R75" s="204">
        <f>IF(MAX(K76:L76)=K76,1,0)</f>
        <v>1</v>
      </c>
    </row>
    <row r="76" spans="1:18" x14ac:dyDescent="0.3">
      <c r="A76" s="110">
        <v>71</v>
      </c>
      <c r="C76" s="191">
        <v>1.1885121221592059</v>
      </c>
      <c r="D76" s="192">
        <v>135772.96054279894</v>
      </c>
      <c r="E76" s="192">
        <v>1.0818534671630864</v>
      </c>
      <c r="F76" s="192">
        <v>104702.75806323774</v>
      </c>
      <c r="G76" s="192">
        <v>-0.10665865499611948</v>
      </c>
      <c r="H76" s="203">
        <v>0.10665865499611948</v>
      </c>
      <c r="I76" s="192">
        <v>-31070.202479561209</v>
      </c>
      <c r="K76" s="202">
        <v>-146354.11654901656</v>
      </c>
      <c r="L76" s="202">
        <v>-181530.67724592838</v>
      </c>
      <c r="M76" s="221">
        <v>35176.560696911823</v>
      </c>
      <c r="N76" s="221">
        <v>35176.560696911809</v>
      </c>
      <c r="O76" s="221">
        <v>-291305.02799507102</v>
      </c>
      <c r="Q76" s="204">
        <f t="shared" si="1"/>
        <v>0</v>
      </c>
      <c r="R76" s="204">
        <f>IF(MAX(K77:L77)=K77,1,0)</f>
        <v>1</v>
      </c>
    </row>
    <row r="77" spans="1:18" x14ac:dyDescent="0.3">
      <c r="A77" s="110">
        <v>72</v>
      </c>
      <c r="C77" s="191">
        <v>1.3594647607098544</v>
      </c>
      <c r="D77" s="192">
        <v>117247.73058992418</v>
      </c>
      <c r="E77" s="192">
        <v>1.2409639008103301</v>
      </c>
      <c r="F77" s="192">
        <v>86209.754780289819</v>
      </c>
      <c r="G77" s="192">
        <v>-0.1185008598995243</v>
      </c>
      <c r="H77" s="203">
        <v>0.1185008598995243</v>
      </c>
      <c r="I77" s="192">
        <v>-31037.975809634358</v>
      </c>
      <c r="K77" s="202">
        <v>-133986.86496148753</v>
      </c>
      <c r="L77" s="202">
        <v>-169587.12387725356</v>
      </c>
      <c r="M77" s="221">
        <v>35600.258915766026</v>
      </c>
      <c r="N77" s="221">
        <v>35600.25891576604</v>
      </c>
      <c r="O77" s="221">
        <v>-261921.94584875711</v>
      </c>
      <c r="Q77" s="204">
        <f t="shared" si="1"/>
        <v>0</v>
      </c>
      <c r="R77" s="204">
        <f>IF(MAX(K78:L78)=K78,1,0)</f>
        <v>1</v>
      </c>
    </row>
    <row r="78" spans="1:18" x14ac:dyDescent="0.3">
      <c r="A78" s="110">
        <v>73</v>
      </c>
      <c r="C78" s="191">
        <v>0.9709645747498532</v>
      </c>
      <c r="D78" s="192">
        <v>122070.92251684132</v>
      </c>
      <c r="E78" s="192">
        <v>0.92338589793416914</v>
      </c>
      <c r="F78" s="192">
        <v>107778.80641663556</v>
      </c>
      <c r="G78" s="192">
        <v>-4.7578676815684062E-2</v>
      </c>
      <c r="H78" s="203">
        <v>4.7578676815684062E-2</v>
      </c>
      <c r="I78" s="192">
        <v>-14292.116100205763</v>
      </c>
      <c r="K78" s="202">
        <v>-143329.16348710109</v>
      </c>
      <c r="L78" s="202">
        <v>-159453.05864471069</v>
      </c>
      <c r="M78" s="221">
        <v>16123.895157609601</v>
      </c>
      <c r="N78" s="221">
        <v>16123.895157609601</v>
      </c>
      <c r="O78" s="221">
        <v>-300389.10404281027</v>
      </c>
      <c r="Q78" s="204">
        <f t="shared" si="1"/>
        <v>0</v>
      </c>
      <c r="R78" s="204">
        <f>IF(MAX(K79:L79)=K79,1,0)</f>
        <v>1</v>
      </c>
    </row>
    <row r="79" spans="1:18" x14ac:dyDescent="0.3">
      <c r="A79" s="110">
        <v>74</v>
      </c>
      <c r="C79" s="191">
        <v>1.3300318666714364</v>
      </c>
      <c r="D79" s="192">
        <v>107422.06671378673</v>
      </c>
      <c r="E79" s="192">
        <v>1.1045962398173677</v>
      </c>
      <c r="F79" s="192">
        <v>69973.745320708913</v>
      </c>
      <c r="G79" s="192">
        <v>-0.2254356268540687</v>
      </c>
      <c r="H79" s="203">
        <v>0.2254356268540687</v>
      </c>
      <c r="I79" s="192">
        <v>-37448.321393077815</v>
      </c>
      <c r="K79" s="202">
        <v>-112500.70055367757</v>
      </c>
      <c r="L79" s="202">
        <v>-158628.29358063702</v>
      </c>
      <c r="M79" s="221">
        <v>46127.593026959454</v>
      </c>
      <c r="N79" s="221">
        <v>46127.593026959461</v>
      </c>
      <c r="O79" s="221">
        <v>-166115.36479688389</v>
      </c>
      <c r="Q79" s="204">
        <f t="shared" si="1"/>
        <v>0</v>
      </c>
      <c r="R79" s="204">
        <f>IF(MAX(K80:L80)=K80,1,0)</f>
        <v>1</v>
      </c>
    </row>
    <row r="80" spans="1:18" x14ac:dyDescent="0.3">
      <c r="A80" s="110">
        <v>75</v>
      </c>
      <c r="C80" s="191">
        <v>1.2163701043222788</v>
      </c>
      <c r="D80" s="192">
        <v>142856.64313172825</v>
      </c>
      <c r="E80" s="192">
        <v>1.026918613019838</v>
      </c>
      <c r="F80" s="192">
        <v>93213.821901701871</v>
      </c>
      <c r="G80" s="192">
        <v>-0.18945149130244077</v>
      </c>
      <c r="H80" s="203">
        <v>0.18945149130244077</v>
      </c>
      <c r="I80" s="192">
        <v>-49642.821230026384</v>
      </c>
      <c r="K80" s="202">
        <v>-132750.18850296564</v>
      </c>
      <c r="L80" s="202">
        <v>-189686.89214813599</v>
      </c>
      <c r="M80" s="221">
        <v>56936.703645170346</v>
      </c>
      <c r="N80" s="221">
        <v>56936.703645170353</v>
      </c>
      <c r="O80" s="221">
        <v>-262034.47061166956</v>
      </c>
      <c r="Q80" s="204">
        <f t="shared" si="1"/>
        <v>0</v>
      </c>
      <c r="R80" s="204">
        <f>IF(MAX(K81:L81)=K81,1,0)</f>
        <v>1</v>
      </c>
    </row>
    <row r="81" spans="1:18" x14ac:dyDescent="0.3">
      <c r="A81" s="110">
        <v>76</v>
      </c>
      <c r="C81" s="191">
        <v>1.4800793516387474</v>
      </c>
      <c r="D81" s="192">
        <v>181721.40575979502</v>
      </c>
      <c r="E81" s="192">
        <v>1.2877582346074223</v>
      </c>
      <c r="F81" s="192">
        <v>119543.90601022923</v>
      </c>
      <c r="G81" s="192">
        <v>-0.19232111703132504</v>
      </c>
      <c r="H81" s="203">
        <v>0.19232111703132504</v>
      </c>
      <c r="I81" s="192">
        <v>-62177.499749565788</v>
      </c>
      <c r="K81" s="202">
        <v>-169122.59804261499</v>
      </c>
      <c r="L81" s="202">
        <v>-238704.4607978868</v>
      </c>
      <c r="M81" s="221">
        <v>69581.86275527181</v>
      </c>
      <c r="N81" s="221">
        <v>69581.862755271795</v>
      </c>
      <c r="O81" s="221">
        <v>-323300.42955937277</v>
      </c>
      <c r="Q81" s="204">
        <f t="shared" si="1"/>
        <v>0</v>
      </c>
      <c r="R81" s="204">
        <f>IF(MAX(K82:L82)=K82,1,0)</f>
        <v>1</v>
      </c>
    </row>
    <row r="82" spans="1:18" x14ac:dyDescent="0.3">
      <c r="A82" s="110">
        <v>77</v>
      </c>
      <c r="C82" s="191">
        <v>1.452546129877893</v>
      </c>
      <c r="D82" s="192">
        <v>149946.48344411867</v>
      </c>
      <c r="E82" s="192">
        <v>1.3122785118553226</v>
      </c>
      <c r="F82" s="192">
        <v>103551.28445489504</v>
      </c>
      <c r="G82" s="192">
        <v>-0.14026761802257037</v>
      </c>
      <c r="H82" s="203">
        <v>0.14026761802257037</v>
      </c>
      <c r="I82" s="192">
        <v>-46395.198989223631</v>
      </c>
      <c r="K82" s="202">
        <v>-154074.00716132496</v>
      </c>
      <c r="L82" s="202">
        <v>-205869.50944441755</v>
      </c>
      <c r="M82" s="221">
        <v>51795.502283092588</v>
      </c>
      <c r="N82" s="221">
        <v>51795.502283092588</v>
      </c>
      <c r="O82" s="221">
        <v>-330762.00796222407</v>
      </c>
      <c r="Q82" s="204">
        <f t="shared" si="1"/>
        <v>0</v>
      </c>
      <c r="R82" s="204">
        <f>IF(MAX(K83:L83)=K83,1,0)</f>
        <v>1</v>
      </c>
    </row>
    <row r="83" spans="1:18" x14ac:dyDescent="0.3">
      <c r="A83" s="110">
        <v>78</v>
      </c>
      <c r="C83" s="191">
        <v>1.3390586130482935</v>
      </c>
      <c r="D83" s="192">
        <v>144688.85893498885</v>
      </c>
      <c r="E83" s="192">
        <v>1.1939270284179035</v>
      </c>
      <c r="F83" s="192">
        <v>100392.17666404469</v>
      </c>
      <c r="G83" s="192">
        <v>-0.14513158463039</v>
      </c>
      <c r="H83" s="203">
        <v>0.14513158463039</v>
      </c>
      <c r="I83" s="192">
        <v>-44296.682270944162</v>
      </c>
      <c r="K83" s="202">
        <v>-146358.36725813398</v>
      </c>
      <c r="L83" s="202">
        <v>-196242.61553734815</v>
      </c>
      <c r="M83" s="221">
        <v>49884.248279214167</v>
      </c>
      <c r="N83" s="221">
        <v>49884.248279214175</v>
      </c>
      <c r="O83" s="221">
        <v>-305217.38175570505</v>
      </c>
      <c r="Q83" s="204">
        <f t="shared" si="1"/>
        <v>0</v>
      </c>
      <c r="R83" s="204">
        <f>IF(MAX(K84:L84)=K84,1,0)</f>
        <v>1</v>
      </c>
    </row>
    <row r="84" spans="1:18" x14ac:dyDescent="0.3">
      <c r="A84" s="110">
        <v>79</v>
      </c>
      <c r="C84" s="191">
        <v>1.3439131462424558</v>
      </c>
      <c r="D84" s="192">
        <v>131094.70412450048</v>
      </c>
      <c r="E84" s="192">
        <v>1.2543425661428866</v>
      </c>
      <c r="F84" s="192">
        <v>111309.83801000369</v>
      </c>
      <c r="G84" s="192">
        <v>-8.9570580099569197E-2</v>
      </c>
      <c r="H84" s="203">
        <v>8.9570580099569197E-2</v>
      </c>
      <c r="I84" s="192">
        <v>-19784.866114496792</v>
      </c>
      <c r="K84" s="202">
        <v>-159602.02680650481</v>
      </c>
      <c r="L84" s="202">
        <v>-182835.36025483505</v>
      </c>
      <c r="M84" s="221">
        <v>23233.333448330231</v>
      </c>
      <c r="N84" s="221">
        <v>23233.333448330206</v>
      </c>
      <c r="O84" s="221">
        <v>-220885.76508607372</v>
      </c>
      <c r="Q84" s="204">
        <f t="shared" si="1"/>
        <v>0</v>
      </c>
      <c r="R84" s="204">
        <f>IF(MAX(K85:L85)=K85,1,0)</f>
        <v>1</v>
      </c>
    </row>
    <row r="85" spans="1:18" x14ac:dyDescent="0.3">
      <c r="A85" s="110">
        <v>80</v>
      </c>
      <c r="C85" s="191">
        <v>1.0656472208237937</v>
      </c>
      <c r="D85" s="192">
        <v>99841.731874606659</v>
      </c>
      <c r="E85" s="192">
        <v>0.95065038928486612</v>
      </c>
      <c r="F85" s="192">
        <v>77796.694809490305</v>
      </c>
      <c r="G85" s="192">
        <v>-0.11499683153892759</v>
      </c>
      <c r="H85" s="203">
        <v>0.11499683153892759</v>
      </c>
      <c r="I85" s="192">
        <v>-22045.037065116354</v>
      </c>
      <c r="K85" s="202">
        <v>-114396.73479695765</v>
      </c>
      <c r="L85" s="202">
        <v>-140869.14987632271</v>
      </c>
      <c r="M85" s="221">
        <v>26472.415079365062</v>
      </c>
      <c r="N85" s="221">
        <v>26472.415079365066</v>
      </c>
      <c r="O85" s="221">
        <v>-191701.25620073182</v>
      </c>
      <c r="Q85" s="204">
        <f t="shared" si="1"/>
        <v>0</v>
      </c>
      <c r="R85" s="204">
        <f>IF(MAX(K86:L86)=K86,1,0)</f>
        <v>1</v>
      </c>
    </row>
    <row r="86" spans="1:18" x14ac:dyDescent="0.3">
      <c r="A86" s="110">
        <v>81</v>
      </c>
      <c r="C86" s="191">
        <v>1.1691113499318768</v>
      </c>
      <c r="D86" s="192">
        <v>68006.848634518043</v>
      </c>
      <c r="E86" s="192">
        <v>1.1666747830055393</v>
      </c>
      <c r="F86" s="192">
        <v>57288.946902821393</v>
      </c>
      <c r="G86" s="192">
        <v>-2.4365669263375356E-3</v>
      </c>
      <c r="H86" s="203">
        <v>2.4365669263375356E-3</v>
      </c>
      <c r="I86" s="192">
        <v>-10717.901731696649</v>
      </c>
      <c r="K86" s="202">
        <v>-102205.92604853466</v>
      </c>
      <c r="L86" s="202">
        <v>-113017.6356068953</v>
      </c>
      <c r="M86" s="221">
        <v>10811.709558360642</v>
      </c>
      <c r="N86" s="221">
        <v>10811.709558360644</v>
      </c>
      <c r="O86" s="221">
        <v>-4398771.7373341331</v>
      </c>
      <c r="Q86" s="204">
        <f t="shared" si="1"/>
        <v>0</v>
      </c>
      <c r="R86" s="204">
        <f>IF(MAX(K87:L87)=K87,1,0)</f>
        <v>1</v>
      </c>
    </row>
    <row r="87" spans="1:18" x14ac:dyDescent="0.3">
      <c r="A87" s="110">
        <v>82</v>
      </c>
      <c r="C87" s="191">
        <v>1.3006941480913699</v>
      </c>
      <c r="D87" s="192">
        <v>102782.38845818388</v>
      </c>
      <c r="E87" s="192">
        <v>1.1503529491435003</v>
      </c>
      <c r="F87" s="192">
        <v>72913.705675189645</v>
      </c>
      <c r="G87" s="192">
        <v>-0.15034119894786957</v>
      </c>
      <c r="H87" s="203">
        <v>0.15034119894786957</v>
      </c>
      <c r="I87" s="192">
        <v>-29868.682782994234</v>
      </c>
      <c r="K87" s="202">
        <v>-117202.2942172144</v>
      </c>
      <c r="L87" s="202">
        <v>-152859.11315970164</v>
      </c>
      <c r="M87" s="221">
        <v>35656.81894248724</v>
      </c>
      <c r="N87" s="221">
        <v>35656.818942487211</v>
      </c>
      <c r="O87" s="221">
        <v>-198672.63925007757</v>
      </c>
      <c r="Q87" s="204">
        <f t="shared" si="1"/>
        <v>0</v>
      </c>
      <c r="R87" s="204">
        <f>IF(MAX(K88:L88)=K88,1,0)</f>
        <v>1</v>
      </c>
    </row>
    <row r="88" spans="1:18" x14ac:dyDescent="0.3">
      <c r="A88" s="110">
        <v>83</v>
      </c>
      <c r="C88" s="191">
        <v>1.0274690479549637</v>
      </c>
      <c r="D88" s="192">
        <v>117331.3033647282</v>
      </c>
      <c r="E88" s="192">
        <v>0.86121160455263179</v>
      </c>
      <c r="F88" s="192">
        <v>87019.113163450937</v>
      </c>
      <c r="G88" s="192">
        <v>-0.16625744340233195</v>
      </c>
      <c r="H88" s="203">
        <v>0.16625744340233195</v>
      </c>
      <c r="I88" s="192">
        <v>-30312.190201277263</v>
      </c>
      <c r="K88" s="202">
        <v>-120175.75993872726</v>
      </c>
      <c r="L88" s="202">
        <v>-156888.8617109943</v>
      </c>
      <c r="M88" s="221">
        <v>36713.101772267037</v>
      </c>
      <c r="N88" s="221">
        <v>36713.101772267044</v>
      </c>
      <c r="O88" s="221">
        <v>-182320.80068694297</v>
      </c>
      <c r="Q88" s="204">
        <f t="shared" si="1"/>
        <v>0</v>
      </c>
      <c r="R88" s="204">
        <f>IF(MAX(K89:L89)=K89,1,0)</f>
        <v>1</v>
      </c>
    </row>
    <row r="89" spans="1:18" x14ac:dyDescent="0.3">
      <c r="A89" s="110">
        <v>84</v>
      </c>
      <c r="C89" s="191">
        <v>1.8361005293629526</v>
      </c>
      <c r="D89" s="192">
        <v>118298.43093880051</v>
      </c>
      <c r="E89" s="192">
        <v>1.7202762165086742</v>
      </c>
      <c r="F89" s="192">
        <v>90499.021482921322</v>
      </c>
      <c r="G89" s="192">
        <v>-0.11582431285427841</v>
      </c>
      <c r="H89" s="203">
        <v>0.11582431285427841</v>
      </c>
      <c r="I89" s="192">
        <v>-27799.409455879184</v>
      </c>
      <c r="K89" s="202">
        <v>-156729.65581850527</v>
      </c>
      <c r="L89" s="202">
        <v>-188988.30131927418</v>
      </c>
      <c r="M89" s="221">
        <v>32258.645500768907</v>
      </c>
      <c r="N89" s="221">
        <v>32258.645500768904</v>
      </c>
      <c r="O89" s="221">
        <v>-240013.59274934224</v>
      </c>
      <c r="Q89" s="204">
        <f t="shared" si="1"/>
        <v>0</v>
      </c>
      <c r="R89" s="204">
        <f>IF(MAX(K90:L90)=K90,1,0)</f>
        <v>1</v>
      </c>
    </row>
    <row r="90" spans="1:18" x14ac:dyDescent="0.3">
      <c r="A90" s="110">
        <v>85</v>
      </c>
      <c r="C90" s="191">
        <v>0.97834121551204922</v>
      </c>
      <c r="D90" s="192">
        <v>129338.03346956479</v>
      </c>
      <c r="E90" s="192">
        <v>0.83335706546444288</v>
      </c>
      <c r="F90" s="192">
        <v>102999.22621060965</v>
      </c>
      <c r="G90" s="192">
        <v>-0.14498415004760634</v>
      </c>
      <c r="H90" s="203">
        <v>0.14498415004760634</v>
      </c>
      <c r="I90" s="192">
        <v>-26338.807258955145</v>
      </c>
      <c r="K90" s="202">
        <v>-135083.4732309907</v>
      </c>
      <c r="L90" s="202">
        <v>-167004.17026677867</v>
      </c>
      <c r="M90" s="221">
        <v>31920.697035787976</v>
      </c>
      <c r="N90" s="221">
        <v>31920.697035787991</v>
      </c>
      <c r="O90" s="221">
        <v>-181666.80461489517</v>
      </c>
      <c r="Q90" s="204">
        <f t="shared" si="1"/>
        <v>0</v>
      </c>
      <c r="R90" s="204">
        <f>IF(MAX(K91:L91)=K91,1,0)</f>
        <v>1</v>
      </c>
    </row>
    <row r="91" spans="1:18" x14ac:dyDescent="0.3">
      <c r="A91" s="110">
        <v>86</v>
      </c>
      <c r="C91" s="191">
        <v>1.254549778235031</v>
      </c>
      <c r="D91" s="192">
        <v>128754.89605128618</v>
      </c>
      <c r="E91" s="192">
        <v>1.1127761834442229</v>
      </c>
      <c r="F91" s="192">
        <v>87175.089978745731</v>
      </c>
      <c r="G91" s="192">
        <v>-0.14177359479080809</v>
      </c>
      <c r="H91" s="203">
        <v>0.14177359479080809</v>
      </c>
      <c r="I91" s="192">
        <v>-41579.80607254045</v>
      </c>
      <c r="K91" s="202">
        <v>-130016.9730413483</v>
      </c>
      <c r="L91" s="202">
        <v>-177055.06251333488</v>
      </c>
      <c r="M91" s="221">
        <v>47038.089471986576</v>
      </c>
      <c r="N91" s="221">
        <v>47038.089471986561</v>
      </c>
      <c r="O91" s="221">
        <v>-293283.14721717336</v>
      </c>
      <c r="Q91" s="204">
        <f t="shared" si="1"/>
        <v>0</v>
      </c>
      <c r="R91" s="204">
        <f>IF(MAX(K92:L92)=K92,1,0)</f>
        <v>1</v>
      </c>
    </row>
    <row r="92" spans="1:18" x14ac:dyDescent="0.3">
      <c r="A92" s="110">
        <v>87</v>
      </c>
      <c r="C92" s="191">
        <v>1.2032273657715278</v>
      </c>
      <c r="D92" s="192">
        <v>106427.01545076515</v>
      </c>
      <c r="E92" s="192">
        <v>1.0061382831502252</v>
      </c>
      <c r="F92" s="192">
        <v>76144.387153463322</v>
      </c>
      <c r="G92" s="192">
        <v>-0.19708908262130254</v>
      </c>
      <c r="H92" s="203">
        <v>0.19708908262130254</v>
      </c>
      <c r="I92" s="192">
        <v>-30282.628297301824</v>
      </c>
      <c r="K92" s="202">
        <v>-114880.71105474699</v>
      </c>
      <c r="L92" s="202">
        <v>-152751.26903296896</v>
      </c>
      <c r="M92" s="221">
        <v>37870.557978221972</v>
      </c>
      <c r="N92" s="221">
        <v>37870.557978221972</v>
      </c>
      <c r="O92" s="221">
        <v>-153649.44569501336</v>
      </c>
      <c r="Q92" s="204">
        <f t="shared" si="1"/>
        <v>0</v>
      </c>
      <c r="R92" s="204">
        <f>IF(MAX(K93:L93)=K93,1,0)</f>
        <v>1</v>
      </c>
    </row>
    <row r="93" spans="1:18" x14ac:dyDescent="0.3">
      <c r="A93" s="110">
        <v>88</v>
      </c>
      <c r="C93" s="191">
        <v>1.3650300589848177</v>
      </c>
      <c r="D93" s="192">
        <v>131562.3244774816</v>
      </c>
      <c r="E93" s="192">
        <v>1.1973182663088189</v>
      </c>
      <c r="F93" s="192">
        <v>102415.40136514866</v>
      </c>
      <c r="G93" s="192">
        <v>-0.16771179267599878</v>
      </c>
      <c r="H93" s="203">
        <v>0.16771179267599878</v>
      </c>
      <c r="I93" s="192">
        <v>-29146.923112332937</v>
      </c>
      <c r="K93" s="202">
        <v>-148512.15461803818</v>
      </c>
      <c r="L93" s="202">
        <v>-184115.98174839708</v>
      </c>
      <c r="M93" s="221">
        <v>35603.827130358899</v>
      </c>
      <c r="N93" s="221">
        <v>35603.827130358892</v>
      </c>
      <c r="O93" s="221">
        <v>-173791.73311110967</v>
      </c>
      <c r="Q93" s="204">
        <f t="shared" si="1"/>
        <v>0</v>
      </c>
      <c r="R93" s="204">
        <f>IF(MAX(K94:L94)=K94,1,0)</f>
        <v>1</v>
      </c>
    </row>
    <row r="94" spans="1:18" x14ac:dyDescent="0.3">
      <c r="A94" s="110">
        <v>89</v>
      </c>
      <c r="C94" s="191">
        <v>1.1493583015804567</v>
      </c>
      <c r="D94" s="192">
        <v>116855.64455617123</v>
      </c>
      <c r="E94" s="192">
        <v>0.97169416467036063</v>
      </c>
      <c r="F94" s="192">
        <v>83969.154813191635</v>
      </c>
      <c r="G94" s="192">
        <v>-0.17766413691009608</v>
      </c>
      <c r="H94" s="203">
        <v>0.17766413691009608</v>
      </c>
      <c r="I94" s="192">
        <v>-32886.489742979596</v>
      </c>
      <c r="K94" s="202">
        <v>-121379.38015300053</v>
      </c>
      <c r="L94" s="202">
        <v>-161105.93916701881</v>
      </c>
      <c r="M94" s="221">
        <v>39726.559014018276</v>
      </c>
      <c r="N94" s="221">
        <v>39726.559014018298</v>
      </c>
      <c r="O94" s="221">
        <v>-185104.82934223942</v>
      </c>
      <c r="Q94" s="204">
        <f t="shared" si="1"/>
        <v>0</v>
      </c>
      <c r="R94" s="204">
        <f>IF(MAX(K95:L95)=K95,1,0)</f>
        <v>1</v>
      </c>
    </row>
    <row r="95" spans="1:18" x14ac:dyDescent="0.3">
      <c r="A95" s="110">
        <v>90</v>
      </c>
      <c r="C95" s="191">
        <v>1.0147613941781641</v>
      </c>
      <c r="D95" s="192">
        <v>93732.90469583057</v>
      </c>
      <c r="E95" s="192">
        <v>0.90184384955685137</v>
      </c>
      <c r="F95" s="192">
        <v>69863.306979199915</v>
      </c>
      <c r="G95" s="192">
        <v>-0.11291754462131276</v>
      </c>
      <c r="H95" s="203">
        <v>0.11291754462131276</v>
      </c>
      <c r="I95" s="192">
        <v>-23869.597716630655</v>
      </c>
      <c r="K95" s="202">
        <v>-104584.29518713869</v>
      </c>
      <c r="L95" s="202">
        <v>-132801.2183716899</v>
      </c>
      <c r="M95" s="221">
        <v>28216.923184551211</v>
      </c>
      <c r="N95" s="221">
        <v>28216.923184551197</v>
      </c>
      <c r="O95" s="221">
        <v>-211389.6276852389</v>
      </c>
      <c r="Q95" s="204">
        <f t="shared" si="1"/>
        <v>0</v>
      </c>
      <c r="R95" s="204">
        <f>IF(MAX(K96:L96)=K96,1,0)</f>
        <v>1</v>
      </c>
    </row>
    <row r="96" spans="1:18" x14ac:dyDescent="0.3">
      <c r="A96" s="110">
        <v>91</v>
      </c>
      <c r="C96" s="191">
        <v>1.1733140218575802</v>
      </c>
      <c r="D96" s="192">
        <v>145987.61428819704</v>
      </c>
      <c r="E96" s="192">
        <v>1.1454536647286035</v>
      </c>
      <c r="F96" s="192">
        <v>123453.43343613623</v>
      </c>
      <c r="G96" s="192">
        <v>-2.7860357128976609E-2</v>
      </c>
      <c r="H96" s="203">
        <v>2.7860357128976609E-2</v>
      </c>
      <c r="I96" s="192">
        <v>-22534.180852060817</v>
      </c>
      <c r="K96" s="202">
        <v>-167553.39952818747</v>
      </c>
      <c r="L96" s="202">
        <v>-191160.20412971388</v>
      </c>
      <c r="M96" s="221">
        <v>23606.804601526412</v>
      </c>
      <c r="N96" s="221">
        <v>23606.804601526415</v>
      </c>
      <c r="O96" s="221">
        <v>-808825.98696567968</v>
      </c>
      <c r="Q96" s="204">
        <f t="shared" si="1"/>
        <v>0</v>
      </c>
      <c r="R96" s="204">
        <f>IF(MAX(K97:L97)=K97,1,0)</f>
        <v>1</v>
      </c>
    </row>
    <row r="97" spans="1:18" x14ac:dyDescent="0.3">
      <c r="A97" s="110">
        <v>92</v>
      </c>
      <c r="C97" s="191">
        <v>1.1683525840568623</v>
      </c>
      <c r="D97" s="192">
        <v>117123.72873720196</v>
      </c>
      <c r="E97" s="192">
        <v>1.1341969694939162</v>
      </c>
      <c r="F97" s="192">
        <v>89683.589179222676</v>
      </c>
      <c r="G97" s="192">
        <v>-3.4155614562946024E-2</v>
      </c>
      <c r="H97" s="203">
        <v>3.4155614562946024E-2</v>
      </c>
      <c r="I97" s="192">
        <v>-27440.139557979288</v>
      </c>
      <c r="K97" s="202">
        <v>-133350.17250473844</v>
      </c>
      <c r="L97" s="202">
        <v>-162105.30322339115</v>
      </c>
      <c r="M97" s="221">
        <v>28755.130718652712</v>
      </c>
      <c r="N97" s="221">
        <v>28755.130718652708</v>
      </c>
      <c r="O97" s="221">
        <v>-803385.91207045445</v>
      </c>
      <c r="Q97" s="204">
        <f t="shared" si="1"/>
        <v>0</v>
      </c>
      <c r="R97" s="204">
        <f>IF(MAX(K98:L98)=K98,1,0)</f>
        <v>1</v>
      </c>
    </row>
    <row r="98" spans="1:18" x14ac:dyDescent="0.3">
      <c r="A98" s="110">
        <v>93</v>
      </c>
      <c r="C98" s="191">
        <v>1.56180579177426</v>
      </c>
      <c r="D98" s="192">
        <v>133214.54432493326</v>
      </c>
      <c r="E98" s="192">
        <v>1.3272303838535606</v>
      </c>
      <c r="F98" s="192">
        <v>96172.989135409225</v>
      </c>
      <c r="G98" s="192">
        <v>-0.23457540792069942</v>
      </c>
      <c r="H98" s="203">
        <v>0.23457540792069942</v>
      </c>
      <c r="I98" s="192">
        <v>-37041.555189524035</v>
      </c>
      <c r="K98" s="202">
        <v>-147271.35891377131</v>
      </c>
      <c r="L98" s="202">
        <v>-193344.06730824226</v>
      </c>
      <c r="M98" s="221">
        <v>46072.708394470945</v>
      </c>
      <c r="N98" s="221">
        <v>46072.708394470959</v>
      </c>
      <c r="O98" s="221">
        <v>-157908.94500776613</v>
      </c>
      <c r="Q98" s="204">
        <f t="shared" si="1"/>
        <v>0</v>
      </c>
      <c r="R98" s="204">
        <f>IF(MAX(K99:L99)=K99,1,0)</f>
        <v>1</v>
      </c>
    </row>
    <row r="99" spans="1:18" x14ac:dyDescent="0.3">
      <c r="A99" s="110">
        <v>94</v>
      </c>
      <c r="C99" s="191">
        <v>1.4286394682622023</v>
      </c>
      <c r="D99" s="192">
        <v>163877.62507876745</v>
      </c>
      <c r="E99" s="192">
        <v>1.2573096955989276</v>
      </c>
      <c r="F99" s="192">
        <v>118336.49518290113</v>
      </c>
      <c r="G99" s="192">
        <v>-0.17132977266327476</v>
      </c>
      <c r="H99" s="203">
        <v>0.17132977266327476</v>
      </c>
      <c r="I99" s="192">
        <v>-45541.129895866325</v>
      </c>
      <c r="K99" s="202">
        <v>-166742.91846345982</v>
      </c>
      <c r="L99" s="202">
        <v>-218880.24460686225</v>
      </c>
      <c r="M99" s="221">
        <v>52137.326143402432</v>
      </c>
      <c r="N99" s="221">
        <v>52137.326143402403</v>
      </c>
      <c r="O99" s="221">
        <v>-265809.78418369347</v>
      </c>
      <c r="Q99" s="204">
        <f t="shared" si="1"/>
        <v>0</v>
      </c>
      <c r="R99" s="204">
        <f>IF(MAX(K100:L100)=K100,1,0)</f>
        <v>1</v>
      </c>
    </row>
    <row r="100" spans="1:18" x14ac:dyDescent="0.3">
      <c r="A100" s="110">
        <v>95</v>
      </c>
      <c r="C100" s="191">
        <v>1.1395321385077544</v>
      </c>
      <c r="D100" s="192">
        <v>131042.13419763579</v>
      </c>
      <c r="E100" s="192">
        <v>0.99250460106759852</v>
      </c>
      <c r="F100" s="192">
        <v>91819.096621636461</v>
      </c>
      <c r="G100" s="192">
        <v>-0.14702753744015584</v>
      </c>
      <c r="H100" s="203">
        <v>0.14702753744015584</v>
      </c>
      <c r="I100" s="192">
        <v>-39223.037575999333</v>
      </c>
      <c r="K100" s="202">
        <v>-130030.523762739</v>
      </c>
      <c r="L100" s="202">
        <v>-174914.12153018435</v>
      </c>
      <c r="M100" s="221">
        <v>44883.597767445346</v>
      </c>
      <c r="N100" s="221">
        <v>44883.597767445332</v>
      </c>
      <c r="O100" s="221">
        <v>-266773.41033453791</v>
      </c>
      <c r="Q100" s="204">
        <f t="shared" si="1"/>
        <v>0</v>
      </c>
      <c r="R100" s="204">
        <f>IF(MAX(K101:L101)=K101,1,0)</f>
        <v>1</v>
      </c>
    </row>
    <row r="101" spans="1:18" x14ac:dyDescent="0.3">
      <c r="A101" s="110">
        <v>96</v>
      </c>
      <c r="C101" s="191">
        <v>1.5206419542518552</v>
      </c>
      <c r="D101" s="192">
        <v>130448.13258341994</v>
      </c>
      <c r="E101" s="192">
        <v>1.3747836015499397</v>
      </c>
      <c r="F101" s="192">
        <v>100903.97601721817</v>
      </c>
      <c r="G101" s="192">
        <v>-0.14585835270191549</v>
      </c>
      <c r="H101" s="203">
        <v>0.14585835270191549</v>
      </c>
      <c r="I101" s="192">
        <v>-29544.156566201767</v>
      </c>
      <c r="K101" s="202">
        <v>-153833.14467689086</v>
      </c>
      <c r="L101" s="202">
        <v>-188992.84782211637</v>
      </c>
      <c r="M101" s="221">
        <v>35159.703145225503</v>
      </c>
      <c r="N101" s="221">
        <v>35159.703145225518</v>
      </c>
      <c r="O101" s="221">
        <v>-202553.75176613918</v>
      </c>
      <c r="Q101" s="204">
        <f t="shared" si="1"/>
        <v>0</v>
      </c>
      <c r="R101" s="204">
        <f>IF(MAX(K102:L102)=K102,1,0)</f>
        <v>1</v>
      </c>
    </row>
    <row r="102" spans="1:18" x14ac:dyDescent="0.3">
      <c r="A102" s="110">
        <v>97</v>
      </c>
      <c r="C102" s="191">
        <v>1.0377249267615212</v>
      </c>
      <c r="D102" s="192">
        <v>99639.14054811727</v>
      </c>
      <c r="E102" s="192">
        <v>1.0397120457807543</v>
      </c>
      <c r="F102" s="192">
        <v>92271.156835579779</v>
      </c>
      <c r="G102" s="192">
        <v>1.9871190192330968E-3</v>
      </c>
      <c r="H102" s="203">
        <v>-1.9871190192330968E-3</v>
      </c>
      <c r="I102" s="192">
        <v>-7367.9837125374906</v>
      </c>
      <c r="K102" s="202">
        <v>-132300.07059813882</v>
      </c>
      <c r="L102" s="202">
        <v>-139591.55022843584</v>
      </c>
      <c r="M102" s="221">
        <v>7291.4796302970208</v>
      </c>
      <c r="N102" s="221">
        <v>7291.4796302970162</v>
      </c>
      <c r="O102" s="221">
        <v>3707872.3726277202</v>
      </c>
      <c r="Q102" s="204">
        <f t="shared" si="1"/>
        <v>0</v>
      </c>
      <c r="R102" s="204">
        <f>IF(MAX(K103:L103)=K103,1,0)</f>
        <v>1</v>
      </c>
    </row>
    <row r="103" spans="1:18" x14ac:dyDescent="0.3">
      <c r="A103" s="110">
        <v>98</v>
      </c>
      <c r="C103" s="191">
        <v>1.6758381702033336</v>
      </c>
      <c r="D103" s="192">
        <v>111202.08441695137</v>
      </c>
      <c r="E103" s="192">
        <v>1.4250455111861891</v>
      </c>
      <c r="F103" s="192">
        <v>73119.000221211216</v>
      </c>
      <c r="G103" s="192">
        <v>-0.25079265901714454</v>
      </c>
      <c r="H103" s="203">
        <v>0.25079265901714454</v>
      </c>
      <c r="I103" s="192">
        <v>-38083.084195740157</v>
      </c>
      <c r="K103" s="202">
        <v>-127983.25240187949</v>
      </c>
      <c r="L103" s="202">
        <v>-175721.85396977971</v>
      </c>
      <c r="M103" s="221">
        <v>47738.601567900216</v>
      </c>
      <c r="N103" s="221">
        <v>47738.601567900223</v>
      </c>
      <c r="O103" s="221">
        <v>-151850.87292820937</v>
      </c>
      <c r="Q103" s="204">
        <f t="shared" si="1"/>
        <v>0</v>
      </c>
      <c r="R103" s="204">
        <f>IF(MAX(K104:L104)=K104,1,0)</f>
        <v>1</v>
      </c>
    </row>
    <row r="104" spans="1:18" x14ac:dyDescent="0.3">
      <c r="A104" s="110">
        <v>99</v>
      </c>
      <c r="C104" s="191">
        <v>1.4883220628264238</v>
      </c>
      <c r="D104" s="192">
        <v>129960.53727277881</v>
      </c>
      <c r="E104" s="192">
        <v>1.3717642963422596</v>
      </c>
      <c r="F104" s="192">
        <v>90160.353702978813</v>
      </c>
      <c r="G104" s="192">
        <v>-0.11655776648416416</v>
      </c>
      <c r="H104" s="203">
        <v>0.11655776648416416</v>
      </c>
      <c r="I104" s="192">
        <v>-39800.183569799992</v>
      </c>
      <c r="K104" s="202">
        <v>-142973.27911215581</v>
      </c>
      <c r="L104" s="202">
        <v>-187260.93669159611</v>
      </c>
      <c r="M104" s="221">
        <v>44287.657579440303</v>
      </c>
      <c r="N104" s="221">
        <v>44287.657579440311</v>
      </c>
      <c r="O104" s="221">
        <v>-341463.16260450432</v>
      </c>
      <c r="Q104" s="204">
        <f t="shared" si="1"/>
        <v>0</v>
      </c>
      <c r="R104" s="204">
        <f>IF(MAX(K105:L105)=K105,1,0)</f>
        <v>1</v>
      </c>
    </row>
    <row r="105" spans="1:18" x14ac:dyDescent="0.3">
      <c r="A105" s="110">
        <v>100</v>
      </c>
      <c r="C105" s="191">
        <v>1.5350980070559936</v>
      </c>
      <c r="D105" s="192">
        <v>135182.87589903403</v>
      </c>
      <c r="E105" s="192">
        <v>1.3360102959496958</v>
      </c>
      <c r="F105" s="192">
        <v>91703.82973368089</v>
      </c>
      <c r="G105" s="192">
        <v>-0.19908771110629786</v>
      </c>
      <c r="H105" s="203">
        <v>0.19908771110629786</v>
      </c>
      <c r="I105" s="192">
        <v>-43479.046165353138</v>
      </c>
      <c r="K105" s="202">
        <v>-143140.22612774419</v>
      </c>
      <c r="L105" s="202">
        <v>-194284.14917068978</v>
      </c>
      <c r="M105" s="221">
        <v>51143.923042945593</v>
      </c>
      <c r="N105" s="221">
        <v>51143.923042945607</v>
      </c>
      <c r="O105" s="221">
        <v>-218391.41112099378</v>
      </c>
      <c r="Q105" s="204">
        <f t="shared" si="1"/>
        <v>0</v>
      </c>
      <c r="R105" s="204">
        <f>IF(MAX(K106:L106)=K106,1,0)</f>
        <v>1</v>
      </c>
    </row>
    <row r="106" spans="1:18" x14ac:dyDescent="0.3">
      <c r="A106" s="110">
        <v>101</v>
      </c>
      <c r="C106" s="191">
        <v>1.4477592154676948</v>
      </c>
      <c r="D106" s="192">
        <v>148519.35213210181</v>
      </c>
      <c r="E106" s="192">
        <v>1.2799578841581787</v>
      </c>
      <c r="F106" s="192">
        <v>106962.15100808098</v>
      </c>
      <c r="G106" s="192">
        <v>-0.16780133130951613</v>
      </c>
      <c r="H106" s="203">
        <v>0.16780133130951613</v>
      </c>
      <c r="I106" s="192">
        <v>-41557.201124020823</v>
      </c>
      <c r="K106" s="202">
        <v>-156240.52954817086</v>
      </c>
      <c r="L106" s="202">
        <v>-204258.08192760806</v>
      </c>
      <c r="M106" s="221">
        <v>48017.552379437198</v>
      </c>
      <c r="N106" s="221">
        <v>48017.552379437191</v>
      </c>
      <c r="O106" s="221">
        <v>-247657.15980743285</v>
      </c>
      <c r="Q106" s="204">
        <f t="shared" si="1"/>
        <v>0</v>
      </c>
      <c r="R106" s="204">
        <f>IF(MAX(K107:L107)=K107,1,0)</f>
        <v>1</v>
      </c>
    </row>
    <row r="107" spans="1:18" x14ac:dyDescent="0.3">
      <c r="A107" s="110">
        <v>102</v>
      </c>
      <c r="C107" s="191">
        <v>1.4840633577004665</v>
      </c>
      <c r="D107" s="192">
        <v>158005.06389395893</v>
      </c>
      <c r="E107" s="192">
        <v>1.2303572547540518</v>
      </c>
      <c r="F107" s="192">
        <v>103868.1554086231</v>
      </c>
      <c r="G107" s="192">
        <v>-0.25370610294641471</v>
      </c>
      <c r="H107" s="203">
        <v>0.25370610294641471</v>
      </c>
      <c r="I107" s="192">
        <v>-54136.908485335822</v>
      </c>
      <c r="K107" s="202">
        <v>-151236.9097166541</v>
      </c>
      <c r="L107" s="202">
        <v>-215141.5031654269</v>
      </c>
      <c r="M107" s="221">
        <v>63904.593448772794</v>
      </c>
      <c r="N107" s="221">
        <v>63904.593448772786</v>
      </c>
      <c r="O107" s="221">
        <v>-213384.33666599687</v>
      </c>
      <c r="Q107" s="204">
        <f t="shared" si="1"/>
        <v>0</v>
      </c>
      <c r="R107" s="204">
        <f>IF(MAX(K108:L108)=K108,1,0)</f>
        <v>1</v>
      </c>
    </row>
    <row r="108" spans="1:18" x14ac:dyDescent="0.3">
      <c r="A108" s="110">
        <v>103</v>
      </c>
      <c r="C108" s="191">
        <v>1.2373832799005289</v>
      </c>
      <c r="D108" s="192">
        <v>119587.71723953639</v>
      </c>
      <c r="E108" s="192">
        <v>1.1252117043145906</v>
      </c>
      <c r="F108" s="192">
        <v>97420.70699976632</v>
      </c>
      <c r="G108" s="192">
        <v>-0.11217157558593827</v>
      </c>
      <c r="H108" s="203">
        <v>0.11217157558593827</v>
      </c>
      <c r="I108" s="192">
        <v>-22167.010239770068</v>
      </c>
      <c r="K108" s="202">
        <v>-140741.35761587805</v>
      </c>
      <c r="L108" s="202">
        <v>-167226.97351570675</v>
      </c>
      <c r="M108" s="221">
        <v>26485.615899828699</v>
      </c>
      <c r="N108" s="221">
        <v>26485.615899828692</v>
      </c>
      <c r="O108" s="221">
        <v>-197616.99988592212</v>
      </c>
      <c r="Q108" s="204">
        <f t="shared" si="1"/>
        <v>0</v>
      </c>
      <c r="R108" s="204">
        <f>IF(MAX(K109:L109)=K109,1,0)</f>
        <v>1</v>
      </c>
    </row>
    <row r="109" spans="1:18" x14ac:dyDescent="0.3">
      <c r="A109" s="110">
        <v>104</v>
      </c>
      <c r="C109" s="191">
        <v>1.0178896663833625</v>
      </c>
      <c r="D109" s="192">
        <v>128050.80177319696</v>
      </c>
      <c r="E109" s="192">
        <v>1.0159938765162819</v>
      </c>
      <c r="F109" s="192">
        <v>105199.40716071245</v>
      </c>
      <c r="G109" s="192">
        <v>-1.8957898670806106E-3</v>
      </c>
      <c r="H109" s="203">
        <v>1.8957898670806106E-3</v>
      </c>
      <c r="I109" s="192">
        <v>-22851.39461248451</v>
      </c>
      <c r="K109" s="202">
        <v>-144315.1714065893</v>
      </c>
      <c r="L109" s="202">
        <v>-167239.55392895642</v>
      </c>
      <c r="M109" s="221">
        <v>22924.382522367116</v>
      </c>
      <c r="N109" s="221">
        <v>22924.382522367112</v>
      </c>
      <c r="O109" s="221">
        <v>-12053759.232121082</v>
      </c>
      <c r="Q109" s="204">
        <f t="shared" si="1"/>
        <v>0</v>
      </c>
      <c r="R109" s="204">
        <f>IF(MAX(K110:L110)=K110,1,0)</f>
        <v>1</v>
      </c>
    </row>
    <row r="110" spans="1:18" x14ac:dyDescent="0.3">
      <c r="A110" s="110">
        <v>105</v>
      </c>
      <c r="C110" s="191">
        <v>1.1104564967585053</v>
      </c>
      <c r="D110" s="192">
        <v>116520.95715295557</v>
      </c>
      <c r="E110" s="192">
        <v>0.9449736043970377</v>
      </c>
      <c r="F110" s="192">
        <v>77125.331447189485</v>
      </c>
      <c r="G110" s="192">
        <v>-0.16548289236146763</v>
      </c>
      <c r="H110" s="203">
        <v>0.16548289236146763</v>
      </c>
      <c r="I110" s="192">
        <v>-39395.625705766084</v>
      </c>
      <c r="K110" s="202">
        <v>-113506.81521647543</v>
      </c>
      <c r="L110" s="202">
        <v>-159273.53227815803</v>
      </c>
      <c r="M110" s="221">
        <v>45766.717061682604</v>
      </c>
      <c r="N110" s="221">
        <v>45766.71706168259</v>
      </c>
      <c r="O110" s="221">
        <v>-238064.64307931857</v>
      </c>
      <c r="Q110" s="204">
        <f t="shared" si="1"/>
        <v>0</v>
      </c>
      <c r="R110" s="204">
        <f>IF(MAX(K111:L111)=K111,1,0)</f>
        <v>1</v>
      </c>
    </row>
    <row r="111" spans="1:18" x14ac:dyDescent="0.3">
      <c r="A111" s="110">
        <v>106</v>
      </c>
      <c r="C111" s="191">
        <v>1.3341702401548163</v>
      </c>
      <c r="D111" s="192">
        <v>141867.7187305947</v>
      </c>
      <c r="E111" s="192">
        <v>1.2128559917461921</v>
      </c>
      <c r="F111" s="192">
        <v>112262.92159606685</v>
      </c>
      <c r="G111" s="192">
        <v>-0.12131424840862426</v>
      </c>
      <c r="H111" s="203">
        <v>0.12131424840862426</v>
      </c>
      <c r="I111" s="192">
        <v>-29604.797134527849</v>
      </c>
      <c r="K111" s="202">
        <v>-158957.87727829523</v>
      </c>
      <c r="L111" s="202">
        <v>-193233.27297655513</v>
      </c>
      <c r="M111" s="221">
        <v>34275.395698259905</v>
      </c>
      <c r="N111" s="221">
        <v>34275.395698259883</v>
      </c>
      <c r="O111" s="221">
        <v>-244033.96569551871</v>
      </c>
      <c r="Q111" s="204">
        <f t="shared" si="1"/>
        <v>0</v>
      </c>
      <c r="R111" s="204">
        <f>IF(MAX(K112:L112)=K112,1,0)</f>
        <v>1</v>
      </c>
    </row>
    <row r="112" spans="1:18" x14ac:dyDescent="0.3">
      <c r="A112" s="110">
        <v>107</v>
      </c>
      <c r="C112" s="191">
        <v>1.1966804355947522</v>
      </c>
      <c r="D112" s="192">
        <v>157651.99421005198</v>
      </c>
      <c r="E112" s="192">
        <v>1.1431536111597411</v>
      </c>
      <c r="F112" s="192">
        <v>132413.93628572597</v>
      </c>
      <c r="G112" s="192">
        <v>-5.3526824435011111E-2</v>
      </c>
      <c r="H112" s="203">
        <v>5.3526824435011111E-2</v>
      </c>
      <c r="I112" s="192">
        <v>-25238.057924326014</v>
      </c>
      <c r="K112" s="202">
        <v>-176425.35031537601</v>
      </c>
      <c r="L112" s="202">
        <v>-203724.19098044996</v>
      </c>
      <c r="M112" s="221">
        <v>27298.840665073949</v>
      </c>
      <c r="N112" s="221">
        <v>27298.840665073942</v>
      </c>
      <c r="O112" s="221">
        <v>-471502.99295203789</v>
      </c>
      <c r="Q112" s="204">
        <f t="shared" si="1"/>
        <v>0</v>
      </c>
      <c r="R112" s="204">
        <f>IF(MAX(K113:L113)=K113,1,0)</f>
        <v>1</v>
      </c>
    </row>
    <row r="113" spans="1:18" x14ac:dyDescent="0.3">
      <c r="A113" s="110">
        <v>108</v>
      </c>
      <c r="C113" s="191">
        <v>1.639075905872696</v>
      </c>
      <c r="D113" s="192">
        <v>152416.42200004417</v>
      </c>
      <c r="E113" s="192">
        <v>1.6686880277295479</v>
      </c>
      <c r="F113" s="192">
        <v>130074.31122791783</v>
      </c>
      <c r="G113" s="192">
        <v>2.9612121856851914E-2</v>
      </c>
      <c r="H113" s="203">
        <v>-2.9612121856851914E-2</v>
      </c>
      <c r="I113" s="192">
        <v>-22342.11077212634</v>
      </c>
      <c r="K113" s="202">
        <v>-194318.80029550544</v>
      </c>
      <c r="L113" s="202">
        <v>-215520.84437614295</v>
      </c>
      <c r="M113" s="221">
        <v>21202.044080637512</v>
      </c>
      <c r="N113" s="221">
        <v>21202.044080637541</v>
      </c>
      <c r="O113" s="221">
        <v>754492.05835807486</v>
      </c>
      <c r="Q113" s="204">
        <f t="shared" si="1"/>
        <v>0</v>
      </c>
      <c r="R113" s="204">
        <f>IF(MAX(K114:L114)=K114,1,0)</f>
        <v>1</v>
      </c>
    </row>
    <row r="114" spans="1:18" x14ac:dyDescent="0.3">
      <c r="A114" s="110">
        <v>109</v>
      </c>
      <c r="C114" s="191">
        <v>1.3588631024264484</v>
      </c>
      <c r="D114" s="192">
        <v>117724.90010256656</v>
      </c>
      <c r="E114" s="192">
        <v>1.3044747265712688</v>
      </c>
      <c r="F114" s="192">
        <v>101879.90582646795</v>
      </c>
      <c r="G114" s="192">
        <v>-5.4388375855179527E-2</v>
      </c>
      <c r="H114" s="203">
        <v>5.4388375855179527E-2</v>
      </c>
      <c r="I114" s="192">
        <v>-15844.994276098616</v>
      </c>
      <c r="K114" s="202">
        <v>-152102.18279946179</v>
      </c>
      <c r="L114" s="202">
        <v>-170041.12954598482</v>
      </c>
      <c r="M114" s="221">
        <v>17938.946746523026</v>
      </c>
      <c r="N114" s="221">
        <v>17938.946746523026</v>
      </c>
      <c r="O114" s="221">
        <v>-291330.52838880941</v>
      </c>
      <c r="Q114" s="204">
        <f t="shared" si="1"/>
        <v>0</v>
      </c>
      <c r="R114" s="204">
        <f>IF(MAX(K115:L115)=K115,1,0)</f>
        <v>1</v>
      </c>
    </row>
    <row r="115" spans="1:18" x14ac:dyDescent="0.3">
      <c r="A115" s="110">
        <v>110</v>
      </c>
      <c r="C115" s="191">
        <v>1.2847512046387184</v>
      </c>
      <c r="D115" s="192">
        <v>123293.14148232706</v>
      </c>
      <c r="E115" s="192">
        <v>1.0804855147983128</v>
      </c>
      <c r="F115" s="192">
        <v>90118.36523571235</v>
      </c>
      <c r="G115" s="192">
        <v>-0.20426568984040561</v>
      </c>
      <c r="H115" s="203">
        <v>0.20426568984040561</v>
      </c>
      <c r="I115" s="192">
        <v>-33174.776246614711</v>
      </c>
      <c r="K115" s="202">
        <v>-131717.05755544739</v>
      </c>
      <c r="L115" s="202">
        <v>-172756.06286091771</v>
      </c>
      <c r="M115" s="221">
        <v>41039.005305470317</v>
      </c>
      <c r="N115" s="221">
        <v>41039.005305470324</v>
      </c>
      <c r="O115" s="221">
        <v>-162409.92930596627</v>
      </c>
      <c r="Q115" s="204">
        <f t="shared" si="1"/>
        <v>0</v>
      </c>
      <c r="R115" s="204">
        <f>IF(MAX(K116:L116)=K116,1,0)</f>
        <v>1</v>
      </c>
    </row>
    <row r="116" spans="1:18" x14ac:dyDescent="0.3">
      <c r="A116" s="110">
        <v>111</v>
      </c>
      <c r="C116" s="191">
        <v>1.3364187992433381</v>
      </c>
      <c r="D116" s="192">
        <v>131133.99371569057</v>
      </c>
      <c r="E116" s="192">
        <v>1.2252296682190158</v>
      </c>
      <c r="F116" s="192">
        <v>98030.898427141597</v>
      </c>
      <c r="G116" s="192">
        <v>-0.11118913102432226</v>
      </c>
      <c r="H116" s="203">
        <v>0.11118913102432226</v>
      </c>
      <c r="I116" s="192">
        <v>-33103.095288548968</v>
      </c>
      <c r="K116" s="202">
        <v>-145202.24065357371</v>
      </c>
      <c r="L116" s="202">
        <v>-182586.11748655909</v>
      </c>
      <c r="M116" s="221">
        <v>37383.876832985377</v>
      </c>
      <c r="N116" s="221">
        <v>37383.876832985377</v>
      </c>
      <c r="O116" s="221">
        <v>-297718.80563854548</v>
      </c>
      <c r="Q116" s="204">
        <f t="shared" si="1"/>
        <v>0</v>
      </c>
      <c r="R116" s="204">
        <f>IF(MAX(K117:L117)=K117,1,0)</f>
        <v>1</v>
      </c>
    </row>
    <row r="117" spans="1:18" x14ac:dyDescent="0.3">
      <c r="A117" s="110">
        <v>112</v>
      </c>
      <c r="C117" s="191">
        <v>1.2644445279298568</v>
      </c>
      <c r="D117" s="192">
        <v>115855.20305622574</v>
      </c>
      <c r="E117" s="192">
        <v>1.1398199276737477</v>
      </c>
      <c r="F117" s="192">
        <v>92395.075413194398</v>
      </c>
      <c r="G117" s="192">
        <v>-0.12462460025610911</v>
      </c>
      <c r="H117" s="203">
        <v>0.12462460025610911</v>
      </c>
      <c r="I117" s="192">
        <v>-23460.127643031345</v>
      </c>
      <c r="K117" s="202">
        <v>-136278.14262863368</v>
      </c>
      <c r="L117" s="202">
        <v>-164536.31738152524</v>
      </c>
      <c r="M117" s="221">
        <v>28258.174752891558</v>
      </c>
      <c r="N117" s="221">
        <v>28258.174752891544</v>
      </c>
      <c r="O117" s="221">
        <v>-188246.3622336179</v>
      </c>
      <c r="Q117" s="204">
        <f t="shared" si="1"/>
        <v>0</v>
      </c>
      <c r="R117" s="204">
        <f>IF(MAX(K118:L118)=K118,1,0)</f>
        <v>1</v>
      </c>
    </row>
    <row r="118" spans="1:18" x14ac:dyDescent="0.3">
      <c r="A118" s="110">
        <v>113</v>
      </c>
      <c r="C118" s="191">
        <v>1.4392764632178687</v>
      </c>
      <c r="D118" s="192">
        <v>107842.95424265591</v>
      </c>
      <c r="E118" s="192">
        <v>1.2448051776899118</v>
      </c>
      <c r="F118" s="192">
        <v>71378.671514313915</v>
      </c>
      <c r="G118" s="192">
        <v>-0.19447128552795689</v>
      </c>
      <c r="H118" s="203">
        <v>0.19447128552795689</v>
      </c>
      <c r="I118" s="192">
        <v>-36464.28272834199</v>
      </c>
      <c r="K118" s="202">
        <v>-119303.67085537553</v>
      </c>
      <c r="L118" s="202">
        <v>-163255.09807654386</v>
      </c>
      <c r="M118" s="221">
        <v>43951.427221168327</v>
      </c>
      <c r="N118" s="221">
        <v>43951.427221168327</v>
      </c>
      <c r="O118" s="221">
        <v>-187504.71376454155</v>
      </c>
      <c r="Q118" s="204">
        <f t="shared" si="1"/>
        <v>0</v>
      </c>
      <c r="R118" s="204">
        <f>IF(MAX(K119:L119)=K119,1,0)</f>
        <v>1</v>
      </c>
    </row>
    <row r="119" spans="1:18" x14ac:dyDescent="0.3">
      <c r="A119" s="110">
        <v>114</v>
      </c>
      <c r="C119" s="191">
        <v>1.0698216592294139</v>
      </c>
      <c r="D119" s="192">
        <v>121922.34091682015</v>
      </c>
      <c r="E119" s="192">
        <v>0.8704426121010358</v>
      </c>
      <c r="F119" s="192">
        <v>89622.020218092322</v>
      </c>
      <c r="G119" s="192">
        <v>-0.19937904712837806</v>
      </c>
      <c r="H119" s="203">
        <v>0.19937904712837806</v>
      </c>
      <c r="I119" s="192">
        <v>-32300.320698727824</v>
      </c>
      <c r="K119" s="202">
        <v>-123134.0607839822</v>
      </c>
      <c r="L119" s="202">
        <v>-163110.47479715256</v>
      </c>
      <c r="M119" s="221">
        <v>39976.414013170361</v>
      </c>
      <c r="N119" s="221">
        <v>39976.414013170383</v>
      </c>
      <c r="O119" s="221">
        <v>-162004.58956918371</v>
      </c>
      <c r="Q119" s="204">
        <f t="shared" si="1"/>
        <v>0</v>
      </c>
      <c r="R119" s="204">
        <f>IF(MAX(K120:L120)=K120,1,0)</f>
        <v>1</v>
      </c>
    </row>
    <row r="120" spans="1:18" x14ac:dyDescent="0.3">
      <c r="A120" s="110">
        <v>115</v>
      </c>
      <c r="C120" s="191">
        <v>1.3761234839748182</v>
      </c>
      <c r="D120" s="192">
        <v>158228.00063285459</v>
      </c>
      <c r="E120" s="192">
        <v>1.2286754606086676</v>
      </c>
      <c r="F120" s="192">
        <v>117617.05273783753</v>
      </c>
      <c r="G120" s="192">
        <v>-0.14744802336615059</v>
      </c>
      <c r="H120" s="203">
        <v>0.14744802336615059</v>
      </c>
      <c r="I120" s="192">
        <v>-40610.94789501706</v>
      </c>
      <c r="K120" s="202">
        <v>-164921.05797127122</v>
      </c>
      <c r="L120" s="202">
        <v>-211208.7547658851</v>
      </c>
      <c r="M120" s="221">
        <v>46287.696794613876</v>
      </c>
      <c r="N120" s="221">
        <v>46287.696794613861</v>
      </c>
      <c r="O120" s="221">
        <v>-275425.51583868876</v>
      </c>
      <c r="Q120" s="204">
        <f t="shared" si="1"/>
        <v>0</v>
      </c>
      <c r="R120" s="204">
        <f>IF(MAX(K121:L121)=K121,1,0)</f>
        <v>1</v>
      </c>
    </row>
    <row r="121" spans="1:18" x14ac:dyDescent="0.3">
      <c r="A121" s="110">
        <v>116</v>
      </c>
      <c r="C121" s="191">
        <v>1.2746121792668126</v>
      </c>
      <c r="D121" s="192">
        <v>104978.66039081739</v>
      </c>
      <c r="E121" s="192">
        <v>1.0949093444110951</v>
      </c>
      <c r="F121" s="192">
        <v>79109.672519398053</v>
      </c>
      <c r="G121" s="192">
        <v>-0.17970283485571747</v>
      </c>
      <c r="H121" s="203">
        <v>0.17970283485571747</v>
      </c>
      <c r="I121" s="192">
        <v>-25868.987871419333</v>
      </c>
      <c r="K121" s="202">
        <v>-121263.68227922521</v>
      </c>
      <c r="L121" s="202">
        <v>-154051.22929258968</v>
      </c>
      <c r="M121" s="221">
        <v>32787.54701336447</v>
      </c>
      <c r="N121" s="221">
        <v>32787.547013364456</v>
      </c>
      <c r="O121" s="221">
        <v>-143954.25588132438</v>
      </c>
      <c r="Q121" s="204">
        <f t="shared" si="1"/>
        <v>0</v>
      </c>
      <c r="R121" s="204">
        <f>IF(MAX(K122:L122)=K122,1,0)</f>
        <v>1</v>
      </c>
    </row>
    <row r="122" spans="1:18" x14ac:dyDescent="0.3">
      <c r="A122" s="110">
        <v>117</v>
      </c>
      <c r="C122" s="191">
        <v>1.0804720067786511</v>
      </c>
      <c r="D122" s="192">
        <v>123486.55758640359</v>
      </c>
      <c r="E122" s="192">
        <v>0.93996714968574957</v>
      </c>
      <c r="F122" s="192">
        <v>91847.619418041839</v>
      </c>
      <c r="G122" s="192">
        <v>-0.1405048570929015</v>
      </c>
      <c r="H122" s="203">
        <v>0.1405048570929015</v>
      </c>
      <c r="I122" s="192">
        <v>-31638.938168361754</v>
      </c>
      <c r="K122" s="202">
        <v>-128036.35468094319</v>
      </c>
      <c r="L122" s="202">
        <v>-165084.72984738165</v>
      </c>
      <c r="M122" s="221">
        <v>37048.375166438462</v>
      </c>
      <c r="N122" s="221">
        <v>37048.375166438462</v>
      </c>
      <c r="O122" s="221">
        <v>-225180.38751814933</v>
      </c>
      <c r="Q122" s="204">
        <f t="shared" si="1"/>
        <v>0</v>
      </c>
      <c r="R122" s="204">
        <f>IF(MAX(K123:L123)=K123,1,0)</f>
        <v>1</v>
      </c>
    </row>
    <row r="123" spans="1:18" x14ac:dyDescent="0.3">
      <c r="A123" s="110">
        <v>118</v>
      </c>
      <c r="C123" s="191">
        <v>1.3806539987998354</v>
      </c>
      <c r="D123" s="192">
        <v>122334.46820555009</v>
      </c>
      <c r="E123" s="192">
        <v>1.2741698761658873</v>
      </c>
      <c r="F123" s="192">
        <v>102970.55358458534</v>
      </c>
      <c r="G123" s="192">
        <v>-0.10648412263394813</v>
      </c>
      <c r="H123" s="203">
        <v>0.10648412263394813</v>
      </c>
      <c r="I123" s="192">
        <v>-19363.914620964744</v>
      </c>
      <c r="K123" s="202">
        <v>-152026.09381697199</v>
      </c>
      <c r="L123" s="202">
        <v>-175489.64715934376</v>
      </c>
      <c r="M123" s="221">
        <v>23463.553342371772</v>
      </c>
      <c r="N123" s="221">
        <v>23463.553342371746</v>
      </c>
      <c r="O123" s="221">
        <v>-181847.90503961337</v>
      </c>
      <c r="Q123" s="204">
        <f t="shared" si="1"/>
        <v>0</v>
      </c>
      <c r="R123" s="204">
        <f>IF(MAX(K124:L124)=K124,1,0)</f>
        <v>1</v>
      </c>
    </row>
    <row r="124" spans="1:18" x14ac:dyDescent="0.3">
      <c r="A124" s="110">
        <v>119</v>
      </c>
      <c r="C124" s="191">
        <v>1.1611196170522764</v>
      </c>
      <c r="D124" s="192">
        <v>105244.02146458936</v>
      </c>
      <c r="E124" s="192">
        <v>1.1578558718221053</v>
      </c>
      <c r="F124" s="192">
        <v>90616.34696095933</v>
      </c>
      <c r="G124" s="192">
        <v>-3.2637452301711445E-3</v>
      </c>
      <c r="H124" s="203">
        <v>3.2637452301711445E-3</v>
      </c>
      <c r="I124" s="192">
        <v>-14627.674503630027</v>
      </c>
      <c r="K124" s="202">
        <v>-135193.79802611039</v>
      </c>
      <c r="L124" s="202">
        <v>-149947.12672110199</v>
      </c>
      <c r="M124" s="221">
        <v>14753.328694991593</v>
      </c>
      <c r="N124" s="221">
        <v>14753.328694991616</v>
      </c>
      <c r="O124" s="221">
        <v>-4481867.7537716329</v>
      </c>
      <c r="Q124" s="204">
        <f t="shared" si="1"/>
        <v>0</v>
      </c>
      <c r="R124" s="204">
        <f>IF(MAX(K125:L125)=K125,1,0)</f>
        <v>1</v>
      </c>
    </row>
    <row r="125" spans="1:18" x14ac:dyDescent="0.3">
      <c r="A125" s="110">
        <v>120</v>
      </c>
      <c r="C125" s="191">
        <v>1.4951175796315048</v>
      </c>
      <c r="D125" s="192">
        <v>120781.90273047891</v>
      </c>
      <c r="E125" s="192">
        <v>1.4071281059431793</v>
      </c>
      <c r="F125" s="192">
        <v>89895.524983703712</v>
      </c>
      <c r="G125" s="192">
        <v>-8.7989473688325548E-2</v>
      </c>
      <c r="H125" s="203">
        <v>8.7989473688325548E-2</v>
      </c>
      <c r="I125" s="192">
        <v>-30886.377746775193</v>
      </c>
      <c r="K125" s="202">
        <v>-144069.95706251613</v>
      </c>
      <c r="L125" s="202">
        <v>-178343.92954629182</v>
      </c>
      <c r="M125" s="221">
        <v>34273.972483775695</v>
      </c>
      <c r="N125" s="221">
        <v>34273.972483775724</v>
      </c>
      <c r="O125" s="221">
        <v>-351023.5537512165</v>
      </c>
      <c r="Q125" s="204">
        <f t="shared" si="1"/>
        <v>0</v>
      </c>
      <c r="R125" s="204">
        <f>IF(MAX(K126:L126)=K126,1,0)</f>
        <v>1</v>
      </c>
    </row>
    <row r="126" spans="1:18" x14ac:dyDescent="0.3">
      <c r="A126" s="110">
        <v>121</v>
      </c>
      <c r="C126" s="191">
        <v>1.3512003312584737</v>
      </c>
      <c r="D126" s="192">
        <v>125960.22603921335</v>
      </c>
      <c r="E126" s="192">
        <v>1.2566287298565482</v>
      </c>
      <c r="F126" s="192">
        <v>93041.646551345097</v>
      </c>
      <c r="G126" s="192">
        <v>-9.4571601401925554E-2</v>
      </c>
      <c r="H126" s="203">
        <v>9.4571601401925554E-2</v>
      </c>
      <c r="I126" s="192">
        <v>-32918.57948786825</v>
      </c>
      <c r="K126" s="202">
        <v>-141421.8526508222</v>
      </c>
      <c r="L126" s="202">
        <v>-177981.43879266459</v>
      </c>
      <c r="M126" s="221">
        <v>36559.586141842388</v>
      </c>
      <c r="N126" s="221">
        <v>36559.586141842381</v>
      </c>
      <c r="O126" s="221">
        <v>-348081.02009360708</v>
      </c>
      <c r="Q126" s="204">
        <f t="shared" si="1"/>
        <v>0</v>
      </c>
      <c r="R126" s="204">
        <f>IF(MAX(K127:L127)=K127,1,0)</f>
        <v>1</v>
      </c>
    </row>
    <row r="127" spans="1:18" x14ac:dyDescent="0.3">
      <c r="A127" s="110">
        <v>122</v>
      </c>
      <c r="C127" s="191">
        <v>1.1407395397196665</v>
      </c>
      <c r="D127" s="192">
        <v>106530.78670160142</v>
      </c>
      <c r="E127" s="192">
        <v>1.1020502391872911</v>
      </c>
      <c r="F127" s="192">
        <v>82543.185551639632</v>
      </c>
      <c r="G127" s="192">
        <v>-3.8689300532375404E-2</v>
      </c>
      <c r="H127" s="203">
        <v>3.8689300532375404E-2</v>
      </c>
      <c r="I127" s="192">
        <v>-23987.601149961789</v>
      </c>
      <c r="K127" s="202">
        <v>-124972.11976035034</v>
      </c>
      <c r="L127" s="202">
        <v>-150449.25898080858</v>
      </c>
      <c r="M127" s="221">
        <v>25477.139220458237</v>
      </c>
      <c r="N127" s="221">
        <v>25477.139220458241</v>
      </c>
      <c r="O127" s="221">
        <v>-620006.06937540369</v>
      </c>
      <c r="Q127" s="204">
        <f t="shared" si="1"/>
        <v>0</v>
      </c>
      <c r="R127" s="204">
        <f>IF(MAX(K128:L128)=K128,1,0)</f>
        <v>1</v>
      </c>
    </row>
    <row r="128" spans="1:18" x14ac:dyDescent="0.3">
      <c r="A128" s="110">
        <v>123</v>
      </c>
      <c r="C128" s="191">
        <v>1.4285950621067722</v>
      </c>
      <c r="D128" s="192">
        <v>126328.00209709622</v>
      </c>
      <c r="E128" s="192">
        <v>1.2608037068063365</v>
      </c>
      <c r="F128" s="192">
        <v>85946.037823657636</v>
      </c>
      <c r="G128" s="192">
        <v>-0.16779135530043576</v>
      </c>
      <c r="H128" s="203">
        <v>0.16779135530043576</v>
      </c>
      <c r="I128" s="192">
        <v>-40381.964273438585</v>
      </c>
      <c r="K128" s="202">
        <v>-134486.98053570159</v>
      </c>
      <c r="L128" s="202">
        <v>-181328.91198820696</v>
      </c>
      <c r="M128" s="221">
        <v>46841.931452505378</v>
      </c>
      <c r="N128" s="221">
        <v>46841.931452505363</v>
      </c>
      <c r="O128" s="221">
        <v>-240667.72809083873</v>
      </c>
      <c r="Q128" s="204">
        <f t="shared" si="1"/>
        <v>0</v>
      </c>
      <c r="R128" s="204">
        <f>IF(MAX(K129:L129)=K129,1,0)</f>
        <v>1</v>
      </c>
    </row>
    <row r="129" spans="1:18" x14ac:dyDescent="0.3">
      <c r="A129" s="110">
        <v>124</v>
      </c>
      <c r="C129" s="191">
        <v>1.4109295079878865</v>
      </c>
      <c r="D129" s="192">
        <v>117837.5989062891</v>
      </c>
      <c r="E129" s="192">
        <v>1.4219919135999413</v>
      </c>
      <c r="F129" s="192">
        <v>102158.81920910988</v>
      </c>
      <c r="G129" s="192">
        <v>1.1062405612054738E-2</v>
      </c>
      <c r="H129" s="203">
        <v>-1.1062405612054738E-2</v>
      </c>
      <c r="I129" s="192">
        <v>-15678.779697179227</v>
      </c>
      <c r="K129" s="202">
        <v>-156905.50788270761</v>
      </c>
      <c r="L129" s="202">
        <v>-172158.38496382273</v>
      </c>
      <c r="M129" s="221">
        <v>15252.877081115119</v>
      </c>
      <c r="N129" s="221">
        <v>15252.877081115119</v>
      </c>
      <c r="O129" s="221">
        <v>1417302.9128577614</v>
      </c>
      <c r="Q129" s="204">
        <f t="shared" si="1"/>
        <v>0</v>
      </c>
      <c r="R129" s="204">
        <f>IF(MAX(K130:L130)=K130,1,0)</f>
        <v>1</v>
      </c>
    </row>
    <row r="130" spans="1:18" x14ac:dyDescent="0.3">
      <c r="A130" s="110">
        <v>125</v>
      </c>
      <c r="C130" s="191">
        <v>1.3414465453858537</v>
      </c>
      <c r="D130" s="192">
        <v>125254.05363733556</v>
      </c>
      <c r="E130" s="192">
        <v>1.2011538766796297</v>
      </c>
      <c r="F130" s="192">
        <v>92027.707916506872</v>
      </c>
      <c r="G130" s="192">
        <v>-0.14029266870622403</v>
      </c>
      <c r="H130" s="203">
        <v>0.14029266870622403</v>
      </c>
      <c r="I130" s="192">
        <v>-33226.345720828685</v>
      </c>
      <c r="K130" s="202">
        <v>-138272.13216867263</v>
      </c>
      <c r="L130" s="202">
        <v>-176899.74563469092</v>
      </c>
      <c r="M130" s="221">
        <v>38627.613466018287</v>
      </c>
      <c r="N130" s="221">
        <v>38627.613466018309</v>
      </c>
      <c r="O130" s="221">
        <v>-236835.93752432917</v>
      </c>
      <c r="Q130" s="204">
        <f t="shared" si="1"/>
        <v>0</v>
      </c>
      <c r="R130" s="204">
        <f>IF(MAX(K131:L131)=K131,1,0)</f>
        <v>1</v>
      </c>
    </row>
    <row r="131" spans="1:18" x14ac:dyDescent="0.3">
      <c r="A131" s="110">
        <v>126</v>
      </c>
      <c r="C131" s="191">
        <v>1.2858687014234822</v>
      </c>
      <c r="D131" s="192">
        <v>117908.65878012009</v>
      </c>
      <c r="E131" s="192">
        <v>1.2825365156128543</v>
      </c>
      <c r="F131" s="192">
        <v>101510.09696358512</v>
      </c>
      <c r="G131" s="192">
        <v>-3.3321858106278857E-3</v>
      </c>
      <c r="H131" s="203">
        <v>3.3321858106278857E-3</v>
      </c>
      <c r="I131" s="192">
        <v>-16398.561816534973</v>
      </c>
      <c r="K131" s="202">
        <v>-150887.75281468002</v>
      </c>
      <c r="L131" s="202">
        <v>-167414.60378492417</v>
      </c>
      <c r="M131" s="221">
        <v>16526.850970244152</v>
      </c>
      <c r="N131" s="221">
        <v>16526.850970244148</v>
      </c>
      <c r="O131" s="221">
        <v>-4921262.7231747871</v>
      </c>
      <c r="Q131" s="204">
        <f t="shared" si="1"/>
        <v>0</v>
      </c>
      <c r="R131" s="204">
        <f>IF(MAX(K132:L132)=K132,1,0)</f>
        <v>1</v>
      </c>
    </row>
    <row r="132" spans="1:18" x14ac:dyDescent="0.3">
      <c r="A132" s="110">
        <v>127</v>
      </c>
      <c r="C132" s="191">
        <v>1.5892571590482019</v>
      </c>
      <c r="D132" s="192">
        <v>185775.70172422854</v>
      </c>
      <c r="E132" s="192">
        <v>1.3932089092132343</v>
      </c>
      <c r="F132" s="192">
        <v>119724.18446003849</v>
      </c>
      <c r="G132" s="192">
        <v>-0.1960482498349676</v>
      </c>
      <c r="H132" s="203">
        <v>0.1960482498349676</v>
      </c>
      <c r="I132" s="192">
        <v>-66051.517264190043</v>
      </c>
      <c r="K132" s="202">
        <v>-173362.72746474802</v>
      </c>
      <c r="L132" s="202">
        <v>-246962.10234758432</v>
      </c>
      <c r="M132" s="221">
        <v>73599.374882836302</v>
      </c>
      <c r="N132" s="221">
        <v>73599.374882836302</v>
      </c>
      <c r="O132" s="221">
        <v>-336914.5979104219</v>
      </c>
      <c r="Q132" s="204">
        <f t="shared" si="1"/>
        <v>0</v>
      </c>
      <c r="R132" s="204">
        <f>IF(MAX(K133:L133)=K133,1,0)</f>
        <v>1</v>
      </c>
    </row>
    <row r="133" spans="1:18" x14ac:dyDescent="0.3">
      <c r="A133" s="110">
        <v>128</v>
      </c>
      <c r="C133" s="191">
        <v>1.1343064608605919</v>
      </c>
      <c r="D133" s="192">
        <v>98735.841134365473</v>
      </c>
      <c r="E133" s="192">
        <v>1.0588650467199519</v>
      </c>
      <c r="F133" s="192">
        <v>73758.930038975072</v>
      </c>
      <c r="G133" s="192">
        <v>-7.5441414140640095E-2</v>
      </c>
      <c r="H133" s="203">
        <v>7.5441414140640095E-2</v>
      </c>
      <c r="I133" s="192">
        <v>-24976.911095390402</v>
      </c>
      <c r="K133" s="202">
        <v>-114525.23433769323</v>
      </c>
      <c r="L133" s="202">
        <v>-142406.63987749827</v>
      </c>
      <c r="M133" s="221">
        <v>27881.40553980504</v>
      </c>
      <c r="N133" s="221">
        <v>27881.405539805044</v>
      </c>
      <c r="O133" s="221">
        <v>-331076.92081205838</v>
      </c>
      <c r="Q133" s="204">
        <f t="shared" si="1"/>
        <v>0</v>
      </c>
      <c r="R133" s="204">
        <f>IF(MAX(K134:L134)=K134,1,0)</f>
        <v>1</v>
      </c>
    </row>
    <row r="134" spans="1:18" x14ac:dyDescent="0.3">
      <c r="A134" s="110">
        <v>129</v>
      </c>
      <c r="C134" s="191">
        <v>1.5554829435897819</v>
      </c>
      <c r="D134" s="192">
        <v>131916.28448896908</v>
      </c>
      <c r="E134" s="192">
        <v>1.3733186156918744</v>
      </c>
      <c r="F134" s="192">
        <v>99723.677240355071</v>
      </c>
      <c r="G134" s="192">
        <v>-0.18216432789790749</v>
      </c>
      <c r="H134" s="203">
        <v>0.18216432789790749</v>
      </c>
      <c r="I134" s="192">
        <v>-32192.607248614004</v>
      </c>
      <c r="K134" s="202">
        <v>-152596.44394449223</v>
      </c>
      <c r="L134" s="202">
        <v>-191802.37781717567</v>
      </c>
      <c r="M134" s="221">
        <v>39205.933872683439</v>
      </c>
      <c r="N134" s="221">
        <v>39205.933872683439</v>
      </c>
      <c r="O134" s="221">
        <v>-176722.89421371283</v>
      </c>
      <c r="Q134" s="204">
        <f t="shared" si="1"/>
        <v>0</v>
      </c>
      <c r="R134" s="204">
        <f>IF(MAX(K135:L135)=K135,1,0)</f>
        <v>1</v>
      </c>
    </row>
    <row r="135" spans="1:18" x14ac:dyDescent="0.3">
      <c r="A135" s="110">
        <v>130</v>
      </c>
      <c r="C135" s="191">
        <v>1.3469616687547799</v>
      </c>
      <c r="D135" s="192">
        <v>96515.961501158876</v>
      </c>
      <c r="E135" s="192">
        <v>1.2344806312892684</v>
      </c>
      <c r="F135" s="192">
        <v>67350.46514931976</v>
      </c>
      <c r="G135" s="192">
        <v>-0.11248103746551141</v>
      </c>
      <c r="H135" s="203">
        <v>0.11248103746551141</v>
      </c>
      <c r="I135" s="192">
        <v>-29165.496351839116</v>
      </c>
      <c r="K135" s="202">
        <v>-114877.9694539566</v>
      </c>
      <c r="L135" s="202">
        <v>-148373.98574821791</v>
      </c>
      <c r="M135" s="221">
        <v>33496.01629426131</v>
      </c>
      <c r="N135" s="221">
        <v>33496.016294261302</v>
      </c>
      <c r="O135" s="221">
        <v>-259292.56174207808</v>
      </c>
      <c r="Q135" s="204">
        <f t="shared" ref="Q135:Q198" si="2">IF(MAX(K135:L135)=L135,1,0)</f>
        <v>0</v>
      </c>
      <c r="R135" s="204">
        <f>IF(MAX(K136:L136)=K136,1,0)</f>
        <v>1</v>
      </c>
    </row>
    <row r="136" spans="1:18" x14ac:dyDescent="0.3">
      <c r="A136" s="110">
        <v>131</v>
      </c>
      <c r="C136" s="191">
        <v>1.4187413166416167</v>
      </c>
      <c r="D136" s="192">
        <v>174057.46904724403</v>
      </c>
      <c r="E136" s="192">
        <v>1.2247273267299583</v>
      </c>
      <c r="F136" s="192">
        <v>121100.86376691678</v>
      </c>
      <c r="G136" s="192">
        <v>-0.19401398991165841</v>
      </c>
      <c r="H136" s="203">
        <v>0.19401398991165841</v>
      </c>
      <c r="I136" s="192">
        <v>-52956.605280327247</v>
      </c>
      <c r="K136" s="202">
        <v>-168252.86584602017</v>
      </c>
      <c r="L136" s="202">
        <v>-228679.00973794627</v>
      </c>
      <c r="M136" s="221">
        <v>60426.143891926098</v>
      </c>
      <c r="N136" s="221">
        <v>60426.143891926098</v>
      </c>
      <c r="O136" s="221">
        <v>-272952.50875692163</v>
      </c>
      <c r="Q136" s="204">
        <f t="shared" si="2"/>
        <v>0</v>
      </c>
      <c r="R136" s="204">
        <f>IF(MAX(K137:L137)=K137,1,0)</f>
        <v>1</v>
      </c>
    </row>
    <row r="137" spans="1:18" x14ac:dyDescent="0.3">
      <c r="A137" s="110">
        <v>132</v>
      </c>
      <c r="C137" s="191">
        <v>1.2990618514524594</v>
      </c>
      <c r="D137" s="192">
        <v>127486.31490153214</v>
      </c>
      <c r="E137" s="192">
        <v>1.1840074441932917</v>
      </c>
      <c r="F137" s="192">
        <v>91737.519760383322</v>
      </c>
      <c r="G137" s="192">
        <v>-0.11505440725916771</v>
      </c>
      <c r="H137" s="203">
        <v>0.11505440725916771</v>
      </c>
      <c r="I137" s="192">
        <v>-35748.795141148817</v>
      </c>
      <c r="K137" s="202">
        <v>-137321.80636182506</v>
      </c>
      <c r="L137" s="202">
        <v>-177500.19618245182</v>
      </c>
      <c r="M137" s="221">
        <v>40178.389820626762</v>
      </c>
      <c r="N137" s="221">
        <v>40178.389820626777</v>
      </c>
      <c r="O137" s="221">
        <v>-310712.08824380173</v>
      </c>
      <c r="Q137" s="204">
        <f t="shared" si="2"/>
        <v>0</v>
      </c>
      <c r="R137" s="204">
        <f>IF(MAX(K138:L138)=K138,1,0)</f>
        <v>1</v>
      </c>
    </row>
    <row r="138" spans="1:18" x14ac:dyDescent="0.3">
      <c r="A138" s="110">
        <v>133</v>
      </c>
      <c r="C138" s="191">
        <v>1.5072189014290518</v>
      </c>
      <c r="D138" s="192">
        <v>129526.03182169485</v>
      </c>
      <c r="E138" s="192">
        <v>1.3459431375653184</v>
      </c>
      <c r="F138" s="192">
        <v>97177.744335938944</v>
      </c>
      <c r="G138" s="192">
        <v>-0.16127576386373343</v>
      </c>
      <c r="H138" s="203">
        <v>0.16127576386373343</v>
      </c>
      <c r="I138" s="192">
        <v>-32348.287485755907</v>
      </c>
      <c r="K138" s="202">
        <v>-148996.55513220371</v>
      </c>
      <c r="L138" s="202">
        <v>-187553.95952671336</v>
      </c>
      <c r="M138" s="221">
        <v>38557.404394509649</v>
      </c>
      <c r="N138" s="221">
        <v>38557.404394509642</v>
      </c>
      <c r="O138" s="221">
        <v>-200577.48734700095</v>
      </c>
      <c r="Q138" s="204">
        <f t="shared" si="2"/>
        <v>0</v>
      </c>
      <c r="R138" s="204">
        <f>IF(MAX(K139:L139)=K139,1,0)</f>
        <v>1</v>
      </c>
    </row>
    <row r="139" spans="1:18" x14ac:dyDescent="0.3">
      <c r="A139" s="110">
        <v>134</v>
      </c>
      <c r="C139" s="191">
        <v>1.6572560974804669</v>
      </c>
      <c r="D139" s="192">
        <v>130893.00143128003</v>
      </c>
      <c r="E139" s="192">
        <v>1.5014912623989622</v>
      </c>
      <c r="F139" s="192">
        <v>101215.05250909277</v>
      </c>
      <c r="G139" s="192">
        <v>-0.15576483508150463</v>
      </c>
      <c r="H139" s="203">
        <v>0.15576483508150463</v>
      </c>
      <c r="I139" s="192">
        <v>-29677.948922187265</v>
      </c>
      <c r="K139" s="202">
        <v>-159022.46611145281</v>
      </c>
      <c r="L139" s="202">
        <v>-194697.36118427801</v>
      </c>
      <c r="M139" s="221">
        <v>35674.895072825195</v>
      </c>
      <c r="N139" s="221">
        <v>35674.895072825195</v>
      </c>
      <c r="O139" s="221">
        <v>-190530.48081525043</v>
      </c>
      <c r="Q139" s="204">
        <f t="shared" si="2"/>
        <v>0</v>
      </c>
      <c r="R139" s="204">
        <f>IF(MAX(K140:L140)=K140,1,0)</f>
        <v>1</v>
      </c>
    </row>
    <row r="140" spans="1:18" x14ac:dyDescent="0.3">
      <c r="A140" s="110">
        <v>135</v>
      </c>
      <c r="C140" s="191">
        <v>1.4128807525299201</v>
      </c>
      <c r="D140" s="192">
        <v>120231.19749824856</v>
      </c>
      <c r="E140" s="192">
        <v>1.40030568065846</v>
      </c>
      <c r="F140" s="192">
        <v>92153.171647325842</v>
      </c>
      <c r="G140" s="192">
        <v>-1.257507187146012E-2</v>
      </c>
      <c r="H140" s="203">
        <v>1.257507187146012E-2</v>
      </c>
      <c r="I140" s="192">
        <v>-28078.025850922713</v>
      </c>
      <c r="K140" s="202">
        <v>-146064.94035267655</v>
      </c>
      <c r="L140" s="202">
        <v>-174627.10647065047</v>
      </c>
      <c r="M140" s="221">
        <v>28562.166117973917</v>
      </c>
      <c r="N140" s="221">
        <v>28562.166117973928</v>
      </c>
      <c r="O140" s="221">
        <v>-2232832.2365017631</v>
      </c>
      <c r="Q140" s="204">
        <f t="shared" si="2"/>
        <v>0</v>
      </c>
      <c r="R140" s="204">
        <f>IF(MAX(K141:L141)=K141,1,0)</f>
        <v>1</v>
      </c>
    </row>
    <row r="141" spans="1:18" x14ac:dyDescent="0.3">
      <c r="A141" s="110">
        <v>136</v>
      </c>
      <c r="C141" s="191">
        <v>1.5599400550168643</v>
      </c>
      <c r="D141" s="192">
        <v>118856.69886351387</v>
      </c>
      <c r="E141" s="192">
        <v>1.4221179441003848</v>
      </c>
      <c r="F141" s="192">
        <v>86820.223580661957</v>
      </c>
      <c r="G141" s="192">
        <v>-0.13782211091647945</v>
      </c>
      <c r="H141" s="203">
        <v>0.13782211091647945</v>
      </c>
      <c r="I141" s="192">
        <v>-32036.475282851912</v>
      </c>
      <c r="K141" s="202">
        <v>-141571.76442852677</v>
      </c>
      <c r="L141" s="202">
        <v>-178914.39098166313</v>
      </c>
      <c r="M141" s="221">
        <v>37342.626553136361</v>
      </c>
      <c r="N141" s="221">
        <v>37342.626553136368</v>
      </c>
      <c r="O141" s="221">
        <v>-232448.00903003218</v>
      </c>
      <c r="Q141" s="204">
        <f t="shared" si="2"/>
        <v>0</v>
      </c>
      <c r="R141" s="204">
        <f>IF(MAX(K142:L142)=K142,1,0)</f>
        <v>1</v>
      </c>
    </row>
    <row r="142" spans="1:18" x14ac:dyDescent="0.3">
      <c r="A142" s="110">
        <v>137</v>
      </c>
      <c r="C142" s="191">
        <v>1.3097140098122466</v>
      </c>
      <c r="D142" s="192">
        <v>115080.16568721452</v>
      </c>
      <c r="E142" s="192">
        <v>1.2303233154613145</v>
      </c>
      <c r="F142" s="192">
        <v>86441.934409167865</v>
      </c>
      <c r="G142" s="192">
        <v>-7.9390694350932156E-2</v>
      </c>
      <c r="H142" s="203">
        <v>7.9390694350932156E-2</v>
      </c>
      <c r="I142" s="192">
        <v>-28638.23127804666</v>
      </c>
      <c r="K142" s="202">
        <v>-133809.38205442845</v>
      </c>
      <c r="L142" s="202">
        <v>-165504.15506498603</v>
      </c>
      <c r="M142" s="221">
        <v>31694.773010557576</v>
      </c>
      <c r="N142" s="221">
        <v>31694.773010557547</v>
      </c>
      <c r="O142" s="221">
        <v>-360725.29044092441</v>
      </c>
      <c r="Q142" s="204">
        <f t="shared" si="2"/>
        <v>0</v>
      </c>
      <c r="R142" s="204">
        <f>IF(MAX(K143:L143)=K143,1,0)</f>
        <v>1</v>
      </c>
    </row>
    <row r="143" spans="1:18" x14ac:dyDescent="0.3">
      <c r="A143" s="110">
        <v>138</v>
      </c>
      <c r="C143" s="191">
        <v>1.3275094318720755</v>
      </c>
      <c r="D143" s="192">
        <v>101754.3605265941</v>
      </c>
      <c r="E143" s="192">
        <v>1.2913764396567</v>
      </c>
      <c r="F143" s="192">
        <v>89336.281973108984</v>
      </c>
      <c r="G143" s="192">
        <v>-3.613299221537547E-2</v>
      </c>
      <c r="H143" s="203">
        <v>3.613299221537547E-2</v>
      </c>
      <c r="I143" s="192">
        <v>-12418.078553485117</v>
      </c>
      <c r="K143" s="202">
        <v>-139054.27489989193</v>
      </c>
      <c r="L143" s="202">
        <v>-152863.473653669</v>
      </c>
      <c r="M143" s="221">
        <v>13809.198753777076</v>
      </c>
      <c r="N143" s="221">
        <v>13809.198753777073</v>
      </c>
      <c r="O143" s="221">
        <v>-343677.00519972219</v>
      </c>
      <c r="Q143" s="204">
        <f t="shared" si="2"/>
        <v>0</v>
      </c>
      <c r="R143" s="204">
        <f>IF(MAX(K144:L144)=K144,1,0)</f>
        <v>1</v>
      </c>
    </row>
    <row r="144" spans="1:18" x14ac:dyDescent="0.3">
      <c r="A144" s="110">
        <v>139</v>
      </c>
      <c r="C144" s="191">
        <v>1.4940255184757685</v>
      </c>
      <c r="D144" s="192">
        <v>152726.2526756264</v>
      </c>
      <c r="E144" s="192">
        <v>1.3364659149010589</v>
      </c>
      <c r="F144" s="192">
        <v>103659.04887115204</v>
      </c>
      <c r="G144" s="192">
        <v>-0.15755960357470955</v>
      </c>
      <c r="H144" s="203">
        <v>0.15755960357470955</v>
      </c>
      <c r="I144" s="192">
        <v>-49067.203804474353</v>
      </c>
      <c r="K144" s="202">
        <v>-155112.98659484281</v>
      </c>
      <c r="L144" s="202">
        <v>-210246.23513694349</v>
      </c>
      <c r="M144" s="221">
        <v>55133.248542100686</v>
      </c>
      <c r="N144" s="221">
        <v>55133.248542100671</v>
      </c>
      <c r="O144" s="221">
        <v>-311419.94960153801</v>
      </c>
      <c r="Q144" s="204">
        <f t="shared" si="2"/>
        <v>0</v>
      </c>
      <c r="R144" s="204">
        <f>IF(MAX(K145:L145)=K145,1,0)</f>
        <v>1</v>
      </c>
    </row>
    <row r="145" spans="1:18" x14ac:dyDescent="0.3">
      <c r="A145" s="110">
        <v>140</v>
      </c>
      <c r="C145" s="191">
        <v>1.5116182673960867</v>
      </c>
      <c r="D145" s="192">
        <v>120302.31951601978</v>
      </c>
      <c r="E145" s="192">
        <v>1.3415306613290063</v>
      </c>
      <c r="F145" s="192">
        <v>85068.265155947796</v>
      </c>
      <c r="G145" s="192">
        <v>-0.1700876060670804</v>
      </c>
      <c r="H145" s="203">
        <v>0.1700876060670804</v>
      </c>
      <c r="I145" s="192">
        <v>-35234.054360071983</v>
      </c>
      <c r="K145" s="202">
        <v>-136717.19561711454</v>
      </c>
      <c r="L145" s="202">
        <v>-178499.62281076913</v>
      </c>
      <c r="M145" s="221">
        <v>41782.427193654585</v>
      </c>
      <c r="N145" s="221">
        <v>41782.427193654577</v>
      </c>
      <c r="O145" s="221">
        <v>-207152.39149274709</v>
      </c>
      <c r="Q145" s="204">
        <f t="shared" si="2"/>
        <v>0</v>
      </c>
      <c r="R145" s="204">
        <f>IF(MAX(K146:L146)=K146,1,0)</f>
        <v>1</v>
      </c>
    </row>
    <row r="146" spans="1:18" x14ac:dyDescent="0.3">
      <c r="A146" s="110">
        <v>141</v>
      </c>
      <c r="C146" s="191">
        <v>1.2039798089018314</v>
      </c>
      <c r="D146" s="192">
        <v>110830.72328664995</v>
      </c>
      <c r="E146" s="192">
        <v>1.0102033447372611</v>
      </c>
      <c r="F146" s="192">
        <v>75091.454230950432</v>
      </c>
      <c r="G146" s="192">
        <v>-0.19377646416457028</v>
      </c>
      <c r="H146" s="203">
        <v>0.19377646416457028</v>
      </c>
      <c r="I146" s="192">
        <v>-35739.269055699522</v>
      </c>
      <c r="K146" s="202">
        <v>-113984.28300333499</v>
      </c>
      <c r="L146" s="202">
        <v>-157183.94592937047</v>
      </c>
      <c r="M146" s="221">
        <v>43199.662926035482</v>
      </c>
      <c r="N146" s="221">
        <v>43199.662926035482</v>
      </c>
      <c r="O146" s="221">
        <v>-184435.55160211259</v>
      </c>
      <c r="Q146" s="204">
        <f t="shared" si="2"/>
        <v>0</v>
      </c>
      <c r="R146" s="204">
        <f>IF(MAX(K147:L147)=K147,1,0)</f>
        <v>1</v>
      </c>
    </row>
    <row r="147" spans="1:18" x14ac:dyDescent="0.3">
      <c r="A147" s="110">
        <v>142</v>
      </c>
      <c r="C147" s="191">
        <v>1.4795742327275789</v>
      </c>
      <c r="D147" s="192">
        <v>113261.00684231301</v>
      </c>
      <c r="E147" s="192">
        <v>1.3818411716605361</v>
      </c>
      <c r="F147" s="192">
        <v>87219.599556646164</v>
      </c>
      <c r="G147" s="192">
        <v>-9.7733061067042826E-2</v>
      </c>
      <c r="H147" s="203">
        <v>9.7733061067042826E-2</v>
      </c>
      <c r="I147" s="192">
        <v>-26041.40728566685</v>
      </c>
      <c r="K147" s="202">
        <v>-140420.48466557681</v>
      </c>
      <c r="L147" s="202">
        <v>-170224.6148023248</v>
      </c>
      <c r="M147" s="221">
        <v>29804.13013674799</v>
      </c>
      <c r="N147" s="221">
        <v>29804.130136747997</v>
      </c>
      <c r="O147" s="221">
        <v>-266454.43211691681</v>
      </c>
      <c r="Q147" s="204">
        <f t="shared" si="2"/>
        <v>0</v>
      </c>
      <c r="R147" s="204">
        <f>IF(MAX(K148:L148)=K148,1,0)</f>
        <v>1</v>
      </c>
    </row>
    <row r="148" spans="1:18" x14ac:dyDescent="0.3">
      <c r="A148" s="110">
        <v>143</v>
      </c>
      <c r="C148" s="191">
        <v>1.3826193126069046</v>
      </c>
      <c r="D148" s="192">
        <v>119394.68717971245</v>
      </c>
      <c r="E148" s="192">
        <v>1.2593953821272159</v>
      </c>
      <c r="F148" s="192">
        <v>87893.802476815181</v>
      </c>
      <c r="G148" s="192">
        <v>-0.12322393047968871</v>
      </c>
      <c r="H148" s="203">
        <v>0.12322393047968871</v>
      </c>
      <c r="I148" s="192">
        <v>-31500.884702897267</v>
      </c>
      <c r="K148" s="202">
        <v>-136380.52468871299</v>
      </c>
      <c r="L148" s="202">
        <v>-172625.53071507829</v>
      </c>
      <c r="M148" s="221">
        <v>36245.006026365299</v>
      </c>
      <c r="N148" s="221">
        <v>36245.006026365285</v>
      </c>
      <c r="O148" s="221">
        <v>-255639.3435939753</v>
      </c>
      <c r="Q148" s="204">
        <f t="shared" si="2"/>
        <v>0</v>
      </c>
      <c r="R148" s="204">
        <f>IF(MAX(K149:L149)=K149,1,0)</f>
        <v>1</v>
      </c>
    </row>
    <row r="149" spans="1:18" x14ac:dyDescent="0.3">
      <c r="A149" s="110">
        <v>144</v>
      </c>
      <c r="C149" s="191">
        <v>1.0461821492153269</v>
      </c>
      <c r="D149" s="192">
        <v>110836.90250716683</v>
      </c>
      <c r="E149" s="192">
        <v>1.0847079348665185</v>
      </c>
      <c r="F149" s="192">
        <v>95411.754313562007</v>
      </c>
      <c r="G149" s="192">
        <v>3.852578565119158E-2</v>
      </c>
      <c r="H149" s="203">
        <v>-3.852578565119158E-2</v>
      </c>
      <c r="I149" s="192">
        <v>-15425.148193604822</v>
      </c>
      <c r="K149" s="202">
        <v>-137173.00980592298</v>
      </c>
      <c r="L149" s="202">
        <v>-151114.9152519569</v>
      </c>
      <c r="M149" s="221">
        <v>13941.905446033925</v>
      </c>
      <c r="N149" s="221">
        <v>13941.905446033947</v>
      </c>
      <c r="O149" s="221">
        <v>400385.0390816814</v>
      </c>
      <c r="Q149" s="204">
        <f t="shared" si="2"/>
        <v>0</v>
      </c>
      <c r="R149" s="204">
        <f>IF(MAX(K150:L150)=K150,1,0)</f>
        <v>1</v>
      </c>
    </row>
    <row r="150" spans="1:18" x14ac:dyDescent="0.3">
      <c r="A150" s="110">
        <v>145</v>
      </c>
      <c r="C150" s="191">
        <v>1.0581173784031215</v>
      </c>
      <c r="D150" s="192">
        <v>119697.82075314624</v>
      </c>
      <c r="E150" s="192">
        <v>0.99901878886019546</v>
      </c>
      <c r="F150" s="192">
        <v>104567.53742234457</v>
      </c>
      <c r="G150" s="192">
        <v>-5.9098589542926017E-2</v>
      </c>
      <c r="H150" s="203">
        <v>5.9098589542926017E-2</v>
      </c>
      <c r="I150" s="192">
        <v>-15130.283330801671</v>
      </c>
      <c r="K150" s="202">
        <v>-143029.7607934621</v>
      </c>
      <c r="L150" s="202">
        <v>-160435.33982166642</v>
      </c>
      <c r="M150" s="221">
        <v>17405.579028204316</v>
      </c>
      <c r="N150" s="221">
        <v>17405.579028204324</v>
      </c>
      <c r="O150" s="221">
        <v>-256017.67229676186</v>
      </c>
      <c r="Q150" s="204">
        <f t="shared" si="2"/>
        <v>0</v>
      </c>
      <c r="R150" s="204">
        <f>IF(MAX(K151:L151)=K151,1,0)</f>
        <v>1</v>
      </c>
    </row>
    <row r="151" spans="1:18" x14ac:dyDescent="0.3">
      <c r="A151" s="110">
        <v>146</v>
      </c>
      <c r="C151" s="191">
        <v>1.2526584445246844</v>
      </c>
      <c r="D151" s="192">
        <v>97992.131987126093</v>
      </c>
      <c r="E151" s="192">
        <v>1.0776247422028282</v>
      </c>
      <c r="F151" s="192">
        <v>69519.175448478665</v>
      </c>
      <c r="G151" s="192">
        <v>-0.17503370232185622</v>
      </c>
      <c r="H151" s="203">
        <v>0.17503370232185622</v>
      </c>
      <c r="I151" s="192">
        <v>-28472.956538647428</v>
      </c>
      <c r="K151" s="202">
        <v>-111007.72802328755</v>
      </c>
      <c r="L151" s="202">
        <v>-146219.48210132646</v>
      </c>
      <c r="M151" s="221">
        <v>35211.75407803891</v>
      </c>
      <c r="N151" s="221">
        <v>35211.754078038895</v>
      </c>
      <c r="O151" s="221">
        <v>-162671.2807930593</v>
      </c>
      <c r="Q151" s="204">
        <f t="shared" si="2"/>
        <v>0</v>
      </c>
      <c r="R151" s="204">
        <f>IF(MAX(K152:L152)=K152,1,0)</f>
        <v>1</v>
      </c>
    </row>
    <row r="152" spans="1:18" x14ac:dyDescent="0.3">
      <c r="A152" s="110">
        <v>147</v>
      </c>
      <c r="C152" s="191">
        <v>1.4019285875715137</v>
      </c>
      <c r="D152" s="192">
        <v>156731.16613304973</v>
      </c>
      <c r="E152" s="192">
        <v>1.2445982791437418</v>
      </c>
      <c r="F152" s="192">
        <v>113173.22683414952</v>
      </c>
      <c r="G152" s="192">
        <v>-0.15733030842777196</v>
      </c>
      <c r="H152" s="203">
        <v>0.15733030842777196</v>
      </c>
      <c r="I152" s="192">
        <v>-43557.939298900208</v>
      </c>
      <c r="K152" s="202">
        <v>-161090.2605811836</v>
      </c>
      <c r="L152" s="202">
        <v>-210705.41675455301</v>
      </c>
      <c r="M152" s="221">
        <v>49615.156173369411</v>
      </c>
      <c r="N152" s="221">
        <v>49615.156173369425</v>
      </c>
      <c r="O152" s="221">
        <v>-276856.6319749956</v>
      </c>
      <c r="Q152" s="204">
        <f t="shared" si="2"/>
        <v>0</v>
      </c>
      <c r="R152" s="204">
        <f>IF(MAX(K153:L153)=K153,1,0)</f>
        <v>1</v>
      </c>
    </row>
    <row r="153" spans="1:18" x14ac:dyDescent="0.3">
      <c r="A153" s="110">
        <v>148</v>
      </c>
      <c r="C153" s="191">
        <v>1.1857092247827481</v>
      </c>
      <c r="D153" s="192">
        <v>126411.44341102916</v>
      </c>
      <c r="E153" s="192">
        <v>1.0168100213414799</v>
      </c>
      <c r="F153" s="192">
        <v>93348.156851791544</v>
      </c>
      <c r="G153" s="192">
        <v>-0.16889920344126819</v>
      </c>
      <c r="H153" s="203">
        <v>0.16889920344126819</v>
      </c>
      <c r="I153" s="192">
        <v>-33063.286559237618</v>
      </c>
      <c r="K153" s="202">
        <v>-132495.34267343851</v>
      </c>
      <c r="L153" s="202">
        <v>-172061.24856516498</v>
      </c>
      <c r="M153" s="221">
        <v>39565.905891726463</v>
      </c>
      <c r="N153" s="221">
        <v>39565.905891726441</v>
      </c>
      <c r="O153" s="221">
        <v>-195757.50439068716</v>
      </c>
      <c r="Q153" s="204">
        <f t="shared" si="2"/>
        <v>0</v>
      </c>
      <c r="R153" s="204">
        <f>IF(MAX(K154:L154)=K154,1,0)</f>
        <v>1</v>
      </c>
    </row>
    <row r="154" spans="1:18" x14ac:dyDescent="0.3">
      <c r="A154" s="110">
        <v>149</v>
      </c>
      <c r="C154" s="191">
        <v>1.2844297057137326</v>
      </c>
      <c r="D154" s="192">
        <v>152462.25667898005</v>
      </c>
      <c r="E154" s="192">
        <v>1.2012952503255534</v>
      </c>
      <c r="F154" s="192">
        <v>110294.10967365433</v>
      </c>
      <c r="G154" s="192">
        <v>-8.3134455388179207E-2</v>
      </c>
      <c r="H154" s="203">
        <v>8.3134455388179207E-2</v>
      </c>
      <c r="I154" s="192">
        <v>-42168.147005325722</v>
      </c>
      <c r="K154" s="202">
        <v>-156543.97681118813</v>
      </c>
      <c r="L154" s="202">
        <v>-201912.80034895876</v>
      </c>
      <c r="M154" s="221">
        <v>45368.82353777063</v>
      </c>
      <c r="N154" s="221">
        <v>45368.823537770622</v>
      </c>
      <c r="O154" s="221">
        <v>-507228.28228596976</v>
      </c>
      <c r="Q154" s="204">
        <f t="shared" si="2"/>
        <v>0</v>
      </c>
      <c r="R154" s="204">
        <f>IF(MAX(K155:L155)=K155,1,0)</f>
        <v>1</v>
      </c>
    </row>
    <row r="155" spans="1:18" x14ac:dyDescent="0.3">
      <c r="A155" s="110">
        <v>150</v>
      </c>
      <c r="C155" s="191">
        <v>1.3184802978710262</v>
      </c>
      <c r="D155" s="192">
        <v>127174.51454888064</v>
      </c>
      <c r="E155" s="192">
        <v>1.2550365988562542</v>
      </c>
      <c r="F155" s="192">
        <v>103099.29190172137</v>
      </c>
      <c r="G155" s="192">
        <v>-6.3443699014771981E-2</v>
      </c>
      <c r="H155" s="203">
        <v>6.3443699014771981E-2</v>
      </c>
      <c r="I155" s="192">
        <v>-24075.222647159273</v>
      </c>
      <c r="K155" s="202">
        <v>-151418.20095768716</v>
      </c>
      <c r="L155" s="202">
        <v>-177936.00601691514</v>
      </c>
      <c r="M155" s="221">
        <v>26517.805059227976</v>
      </c>
      <c r="N155" s="221">
        <v>26517.805059227994</v>
      </c>
      <c r="O155" s="221">
        <v>-379473.81727464683</v>
      </c>
      <c r="Q155" s="204">
        <f t="shared" si="2"/>
        <v>0</v>
      </c>
      <c r="R155" s="204">
        <f>IF(MAX(K156:L156)=K156,1,0)</f>
        <v>1</v>
      </c>
    </row>
    <row r="156" spans="1:18" x14ac:dyDescent="0.3">
      <c r="A156" s="110">
        <v>151</v>
      </c>
      <c r="C156" s="191">
        <v>1.189767484690224</v>
      </c>
      <c r="D156" s="192">
        <v>90247.794548793216</v>
      </c>
      <c r="E156" s="192">
        <v>1.2078093274889115</v>
      </c>
      <c r="F156" s="192">
        <v>82280.529303704461</v>
      </c>
      <c r="G156" s="192">
        <v>1.804184279868748E-2</v>
      </c>
      <c r="H156" s="203">
        <v>-1.804184279868748E-2</v>
      </c>
      <c r="I156" s="192">
        <v>-7967.2652450887545</v>
      </c>
      <c r="K156" s="202">
        <v>-128781.18841202755</v>
      </c>
      <c r="L156" s="202">
        <v>-136053.84270936684</v>
      </c>
      <c r="M156" s="221">
        <v>7272.6542973392934</v>
      </c>
      <c r="N156" s="221">
        <v>7272.6542973392861</v>
      </c>
      <c r="O156" s="221">
        <v>441599.30523662263</v>
      </c>
      <c r="Q156" s="204">
        <f t="shared" si="2"/>
        <v>0</v>
      </c>
      <c r="R156" s="204">
        <f>IF(MAX(K157:L157)=K157,1,0)</f>
        <v>1</v>
      </c>
    </row>
    <row r="157" spans="1:18" x14ac:dyDescent="0.3">
      <c r="A157" s="110">
        <v>152</v>
      </c>
      <c r="C157" s="191">
        <v>1.0567391164096549</v>
      </c>
      <c r="D157" s="192">
        <v>112910.32469578026</v>
      </c>
      <c r="E157" s="192">
        <v>0.95951517689610499</v>
      </c>
      <c r="F157" s="192">
        <v>86999.239269441241</v>
      </c>
      <c r="G157" s="192">
        <v>-9.7223939513549906E-2</v>
      </c>
      <c r="H157" s="203">
        <v>9.7223939513549906E-2</v>
      </c>
      <c r="I157" s="192">
        <v>-25911.085426339021</v>
      </c>
      <c r="K157" s="202">
        <v>-123940.57357994129</v>
      </c>
      <c r="L157" s="202">
        <v>-153594.78067755199</v>
      </c>
      <c r="M157" s="221">
        <v>29654.207097610692</v>
      </c>
      <c r="N157" s="221">
        <v>29654.207097610692</v>
      </c>
      <c r="O157" s="221">
        <v>-266509.31402268313</v>
      </c>
      <c r="Q157" s="204">
        <f t="shared" si="2"/>
        <v>0</v>
      </c>
      <c r="R157" s="204">
        <f>IF(MAX(K158:L158)=K158,1,0)</f>
        <v>1</v>
      </c>
    </row>
    <row r="158" spans="1:18" x14ac:dyDescent="0.3">
      <c r="A158" s="110">
        <v>153</v>
      </c>
      <c r="C158" s="191">
        <v>1.222286618721506</v>
      </c>
      <c r="D158" s="192">
        <v>136318.81000290046</v>
      </c>
      <c r="E158" s="192">
        <v>1.0465031514289129</v>
      </c>
      <c r="F158" s="192">
        <v>102339.86594574321</v>
      </c>
      <c r="G158" s="192">
        <v>-0.17578346729259309</v>
      </c>
      <c r="H158" s="203">
        <v>0.17578346729259309</v>
      </c>
      <c r="I158" s="192">
        <v>-33978.944057157249</v>
      </c>
      <c r="K158" s="202">
        <v>-142630.23727575637</v>
      </c>
      <c r="L158" s="202">
        <v>-183376.84482367843</v>
      </c>
      <c r="M158" s="221">
        <v>40746.60754792206</v>
      </c>
      <c r="N158" s="221">
        <v>40746.607547922082</v>
      </c>
      <c r="O158" s="221">
        <v>-193299.99903005103</v>
      </c>
      <c r="Q158" s="204">
        <f t="shared" si="2"/>
        <v>0</v>
      </c>
      <c r="R158" s="204">
        <f>IF(MAX(K159:L159)=K159,1,0)</f>
        <v>1</v>
      </c>
    </row>
    <row r="159" spans="1:18" x14ac:dyDescent="0.3">
      <c r="A159" s="110">
        <v>154</v>
      </c>
      <c r="C159" s="191">
        <v>1.4446567806795705</v>
      </c>
      <c r="D159" s="192">
        <v>118632.07601617367</v>
      </c>
      <c r="E159" s="192">
        <v>1.3232676959713194</v>
      </c>
      <c r="F159" s="192">
        <v>92394.62527214385</v>
      </c>
      <c r="G159" s="192">
        <v>-0.12138908470825105</v>
      </c>
      <c r="H159" s="203">
        <v>0.12138908470825105</v>
      </c>
      <c r="I159" s="192">
        <v>-26237.450744029818</v>
      </c>
      <c r="K159" s="202">
        <v>-143340.43156703963</v>
      </c>
      <c r="L159" s="202">
        <v>-174251.36207233713</v>
      </c>
      <c r="M159" s="221">
        <v>30910.930505297496</v>
      </c>
      <c r="N159" s="221">
        <v>30910.930505297485</v>
      </c>
      <c r="O159" s="221">
        <v>-216143.41031641708</v>
      </c>
      <c r="Q159" s="204">
        <f t="shared" si="2"/>
        <v>0</v>
      </c>
      <c r="R159" s="204">
        <f>IF(MAX(K160:L160)=K160,1,0)</f>
        <v>1</v>
      </c>
    </row>
    <row r="160" spans="1:18" x14ac:dyDescent="0.3">
      <c r="A160" s="110">
        <v>155</v>
      </c>
      <c r="C160" s="191">
        <v>1.269446689085231</v>
      </c>
      <c r="D160" s="192">
        <v>129165.37322824649</v>
      </c>
      <c r="E160" s="192">
        <v>1.0703196343917558</v>
      </c>
      <c r="F160" s="192">
        <v>84913.439001252351</v>
      </c>
      <c r="G160" s="192">
        <v>-0.19912705469347514</v>
      </c>
      <c r="H160" s="203">
        <v>0.19912705469347514</v>
      </c>
      <c r="I160" s="192">
        <v>-44251.934226994141</v>
      </c>
      <c r="K160" s="202">
        <v>-126120.74492533495</v>
      </c>
      <c r="L160" s="202">
        <v>-178039.0707580279</v>
      </c>
      <c r="M160" s="221">
        <v>51918.32583269295</v>
      </c>
      <c r="N160" s="221">
        <v>51918.325832692935</v>
      </c>
      <c r="O160" s="221">
        <v>-222229.64275303049</v>
      </c>
      <c r="Q160" s="204">
        <f t="shared" si="2"/>
        <v>0</v>
      </c>
      <c r="R160" s="204">
        <f>IF(MAX(K161:L161)=K161,1,0)</f>
        <v>1</v>
      </c>
    </row>
    <row r="161" spans="1:18" x14ac:dyDescent="0.3">
      <c r="A161" s="110">
        <v>156</v>
      </c>
      <c r="C161" s="191">
        <v>1.1175317444765507</v>
      </c>
      <c r="D161" s="192">
        <v>164396.06909504067</v>
      </c>
      <c r="E161" s="192">
        <v>0.96147987614709951</v>
      </c>
      <c r="F161" s="192">
        <v>124590.78769076186</v>
      </c>
      <c r="G161" s="192">
        <v>-0.15605186832945117</v>
      </c>
      <c r="H161" s="203">
        <v>0.15605186832945117</v>
      </c>
      <c r="I161" s="192">
        <v>-39805.281404278809</v>
      </c>
      <c r="K161" s="202">
        <v>-161607.7629224252</v>
      </c>
      <c r="L161" s="202">
        <v>-207421.04125738787</v>
      </c>
      <c r="M161" s="221">
        <v>45813.27833496267</v>
      </c>
      <c r="N161" s="221">
        <v>45813.278334962677</v>
      </c>
      <c r="O161" s="221">
        <v>-255077.24982980217</v>
      </c>
      <c r="Q161" s="204">
        <f t="shared" si="2"/>
        <v>0</v>
      </c>
      <c r="R161" s="204">
        <f>IF(MAX(K162:L162)=K162,1,0)</f>
        <v>1</v>
      </c>
    </row>
    <row r="162" spans="1:18" x14ac:dyDescent="0.3">
      <c r="A162" s="110">
        <v>157</v>
      </c>
      <c r="C162" s="191">
        <v>1.176348891178143</v>
      </c>
      <c r="D162" s="192">
        <v>87359.857534638606</v>
      </c>
      <c r="E162" s="192">
        <v>1.0027490489654554</v>
      </c>
      <c r="F162" s="192">
        <v>61080.295367920749</v>
      </c>
      <c r="G162" s="192">
        <v>-0.17359984221268765</v>
      </c>
      <c r="H162" s="203">
        <v>0.17359984221268765</v>
      </c>
      <c r="I162" s="192">
        <v>-26279.562166717857</v>
      </c>
      <c r="K162" s="202">
        <v>-99686.133753090777</v>
      </c>
      <c r="L162" s="202">
        <v>-132649.28984499711</v>
      </c>
      <c r="M162" s="221">
        <v>32963.156091906334</v>
      </c>
      <c r="N162" s="221">
        <v>32963.156091906334</v>
      </c>
      <c r="O162" s="221">
        <v>-151380.10398950236</v>
      </c>
      <c r="Q162" s="204">
        <f t="shared" si="2"/>
        <v>0</v>
      </c>
      <c r="R162" s="204">
        <f>IF(MAX(K163:L163)=K163,1,0)</f>
        <v>1</v>
      </c>
    </row>
    <row r="163" spans="1:18" x14ac:dyDescent="0.3">
      <c r="A163" s="110">
        <v>158</v>
      </c>
      <c r="C163" s="191">
        <v>1.2509015046274374</v>
      </c>
      <c r="D163" s="192">
        <v>137742.03443655616</v>
      </c>
      <c r="E163" s="192">
        <v>1.0409235392875813</v>
      </c>
      <c r="F163" s="192">
        <v>95443.059685480097</v>
      </c>
      <c r="G163" s="192">
        <v>-0.20997796533985613</v>
      </c>
      <c r="H163" s="203">
        <v>0.20997796533985613</v>
      </c>
      <c r="I163" s="192">
        <v>-42298.974751076064</v>
      </c>
      <c r="K163" s="202">
        <v>-135518.61594805197</v>
      </c>
      <c r="L163" s="202">
        <v>-185901.7423647125</v>
      </c>
      <c r="M163" s="221">
        <v>50383.126416660525</v>
      </c>
      <c r="N163" s="221">
        <v>50383.126416660525</v>
      </c>
      <c r="O163" s="221">
        <v>-201444.82628267116</v>
      </c>
      <c r="Q163" s="204">
        <f t="shared" si="2"/>
        <v>0</v>
      </c>
      <c r="R163" s="204">
        <f>IF(MAX(K164:L164)=K164,1,0)</f>
        <v>1</v>
      </c>
    </row>
    <row r="164" spans="1:18" x14ac:dyDescent="0.3">
      <c r="A164" s="110">
        <v>159</v>
      </c>
      <c r="C164" s="191">
        <v>1.2253331914071679</v>
      </c>
      <c r="D164" s="192">
        <v>108260.12151499608</v>
      </c>
      <c r="E164" s="192">
        <v>1.1574385829409362</v>
      </c>
      <c r="F164" s="192">
        <v>86917.914753804711</v>
      </c>
      <c r="G164" s="192">
        <v>-6.7894608466231743E-2</v>
      </c>
      <c r="H164" s="203">
        <v>6.7894608466231743E-2</v>
      </c>
      <c r="I164" s="192">
        <v>-21342.206761191366</v>
      </c>
      <c r="K164" s="202">
        <v>-131479.30019703077</v>
      </c>
      <c r="L164" s="202">
        <v>-155435.44938417204</v>
      </c>
      <c r="M164" s="221">
        <v>23956.149187141273</v>
      </c>
      <c r="N164" s="221">
        <v>23956.149187141287</v>
      </c>
      <c r="O164" s="221">
        <v>-314343.17456600675</v>
      </c>
      <c r="Q164" s="204">
        <f t="shared" si="2"/>
        <v>0</v>
      </c>
      <c r="R164" s="204">
        <f>IF(MAX(K165:L165)=K165,1,0)</f>
        <v>1</v>
      </c>
    </row>
    <row r="165" spans="1:18" x14ac:dyDescent="0.3">
      <c r="A165" s="110">
        <v>160</v>
      </c>
      <c r="C165" s="191">
        <v>1.2580610539903787</v>
      </c>
      <c r="D165" s="192">
        <v>127025.52718937551</v>
      </c>
      <c r="E165" s="192">
        <v>1.1521447580509265</v>
      </c>
      <c r="F165" s="192">
        <v>103507.89435147739</v>
      </c>
      <c r="G165" s="192">
        <v>-0.10591629593945218</v>
      </c>
      <c r="H165" s="203">
        <v>0.10591629593945218</v>
      </c>
      <c r="I165" s="192">
        <v>-23517.632837898127</v>
      </c>
      <c r="K165" s="202">
        <v>-147865.46753643805</v>
      </c>
      <c r="L165" s="202">
        <v>-175460.8777680051</v>
      </c>
      <c r="M165" s="221">
        <v>27595.410231567046</v>
      </c>
      <c r="N165" s="221">
        <v>27595.410231567035</v>
      </c>
      <c r="O165" s="221">
        <v>-222039.79689152038</v>
      </c>
      <c r="Q165" s="204">
        <f t="shared" si="2"/>
        <v>0</v>
      </c>
      <c r="R165" s="204">
        <f>IF(MAX(K166:L166)=K166,1,0)</f>
        <v>1</v>
      </c>
    </row>
    <row r="166" spans="1:18" x14ac:dyDescent="0.3">
      <c r="A166" s="110">
        <v>161</v>
      </c>
      <c r="C166" s="191">
        <v>1.1701875238619268</v>
      </c>
      <c r="D166" s="192">
        <v>125865.8522110612</v>
      </c>
      <c r="E166" s="192">
        <v>1.0718819905442836</v>
      </c>
      <c r="F166" s="192">
        <v>100105.33837250729</v>
      </c>
      <c r="G166" s="192">
        <v>-9.8305533317643246E-2</v>
      </c>
      <c r="H166" s="203">
        <v>9.8305533317643246E-2</v>
      </c>
      <c r="I166" s="192">
        <v>-25760.513838553903</v>
      </c>
      <c r="K166" s="202">
        <v>-141372.79500846221</v>
      </c>
      <c r="L166" s="202">
        <v>-170918.07187974537</v>
      </c>
      <c r="M166" s="221">
        <v>29545.27687128316</v>
      </c>
      <c r="N166" s="221">
        <v>29545.276871283168</v>
      </c>
      <c r="O166" s="221">
        <v>-262045.41056012531</v>
      </c>
      <c r="Q166" s="204">
        <f t="shared" si="2"/>
        <v>0</v>
      </c>
      <c r="R166" s="204">
        <f>IF(MAX(K167:L167)=K167,1,0)</f>
        <v>1</v>
      </c>
    </row>
    <row r="167" spans="1:18" x14ac:dyDescent="0.3">
      <c r="A167" s="110">
        <v>162</v>
      </c>
      <c r="C167" s="191">
        <v>1.2312399074670601</v>
      </c>
      <c r="D167" s="192">
        <v>161537.07107241242</v>
      </c>
      <c r="E167" s="192">
        <v>1.0902582626707484</v>
      </c>
      <c r="F167" s="192">
        <v>112931.83958645651</v>
      </c>
      <c r="G167" s="192">
        <v>-0.1409816447963117</v>
      </c>
      <c r="H167" s="203">
        <v>0.1409816447963117</v>
      </c>
      <c r="I167" s="192">
        <v>-48605.231485955912</v>
      </c>
      <c r="K167" s="202">
        <v>-154906.78269928033</v>
      </c>
      <c r="L167" s="202">
        <v>-208939.80750989425</v>
      </c>
      <c r="M167" s="221">
        <v>54033.024810613919</v>
      </c>
      <c r="N167" s="221">
        <v>54033.024810613912</v>
      </c>
      <c r="O167" s="221">
        <v>-344762.83459580905</v>
      </c>
      <c r="Q167" s="204">
        <f t="shared" si="2"/>
        <v>0</v>
      </c>
      <c r="R167" s="204">
        <f>IF(MAX(K168:L168)=K168,1,0)</f>
        <v>1</v>
      </c>
    </row>
    <row r="168" spans="1:18" x14ac:dyDescent="0.3">
      <c r="A168" s="110">
        <v>163</v>
      </c>
      <c r="C168" s="191">
        <v>1.2111704583432548</v>
      </c>
      <c r="D168" s="192">
        <v>104497.57605072029</v>
      </c>
      <c r="E168" s="192">
        <v>1.0983665793822552</v>
      </c>
      <c r="F168" s="192">
        <v>83559.607001360215</v>
      </c>
      <c r="G168" s="192">
        <v>-0.11280387896099953</v>
      </c>
      <c r="H168" s="203">
        <v>0.11280387896099953</v>
      </c>
      <c r="I168" s="192">
        <v>-20937.969049360079</v>
      </c>
      <c r="K168" s="202">
        <v>-125846.72030757705</v>
      </c>
      <c r="L168" s="202">
        <v>-151127.63869693561</v>
      </c>
      <c r="M168" s="221">
        <v>25280.918389358558</v>
      </c>
      <c r="N168" s="221">
        <v>25280.918389358561</v>
      </c>
      <c r="O168" s="221">
        <v>-185613.91010852659</v>
      </c>
      <c r="Q168" s="204">
        <f t="shared" si="2"/>
        <v>0</v>
      </c>
      <c r="R168" s="204">
        <f>IF(MAX(K169:L169)=K169,1,0)</f>
        <v>1</v>
      </c>
    </row>
    <row r="169" spans="1:18" x14ac:dyDescent="0.3">
      <c r="A169" s="110">
        <v>164</v>
      </c>
      <c r="C169" s="191">
        <v>1.2381470422642671</v>
      </c>
      <c r="D169" s="192">
        <v>112526.41039729708</v>
      </c>
      <c r="E169" s="192">
        <v>1.120766972510385</v>
      </c>
      <c r="F169" s="192">
        <v>76206.216631122166</v>
      </c>
      <c r="G169" s="192">
        <v>-0.11738006975388204</v>
      </c>
      <c r="H169" s="203">
        <v>0.11738006975388204</v>
      </c>
      <c r="I169" s="192">
        <v>-36320.193766174911</v>
      </c>
      <c r="K169" s="202">
        <v>-119355.745072772</v>
      </c>
      <c r="L169" s="202">
        <v>-160195.07152447136</v>
      </c>
      <c r="M169" s="221">
        <v>40839.326451699366</v>
      </c>
      <c r="N169" s="221">
        <v>40839.326451699366</v>
      </c>
      <c r="O169" s="221">
        <v>-309423.85570505861</v>
      </c>
      <c r="Q169" s="204">
        <f t="shared" si="2"/>
        <v>0</v>
      </c>
      <c r="R169" s="204">
        <f>IF(MAX(K170:L170)=K170,1,0)</f>
        <v>1</v>
      </c>
    </row>
    <row r="170" spans="1:18" x14ac:dyDescent="0.3">
      <c r="A170" s="110">
        <v>165</v>
      </c>
      <c r="C170" s="191">
        <v>1.2232328989925092</v>
      </c>
      <c r="D170" s="192">
        <v>101779.80853328291</v>
      </c>
      <c r="E170" s="192">
        <v>1.1442229115232683</v>
      </c>
      <c r="F170" s="192">
        <v>86680.270997393716</v>
      </c>
      <c r="G170" s="192">
        <v>-7.9009987469240928E-2</v>
      </c>
      <c r="H170" s="203">
        <v>7.9009987469240928E-2</v>
      </c>
      <c r="I170" s="192">
        <v>-15099.537535889191</v>
      </c>
      <c r="K170" s="202">
        <v>-130732.85309103955</v>
      </c>
      <c r="L170" s="202">
        <v>-148874.27514449452</v>
      </c>
      <c r="M170" s="221">
        <v>18141.422053454968</v>
      </c>
      <c r="N170" s="221">
        <v>18141.422053454968</v>
      </c>
      <c r="O170" s="221">
        <v>-191109.22580221307</v>
      </c>
      <c r="Q170" s="204">
        <f t="shared" si="2"/>
        <v>0</v>
      </c>
      <c r="R170" s="204">
        <f>IF(MAX(K171:L171)=K171,1,0)</f>
        <v>1</v>
      </c>
    </row>
    <row r="171" spans="1:18" x14ac:dyDescent="0.3">
      <c r="A171" s="110">
        <v>166</v>
      </c>
      <c r="C171" s="191">
        <v>1.2822913750528995</v>
      </c>
      <c r="D171" s="192">
        <v>142103.33959873157</v>
      </c>
      <c r="E171" s="192">
        <v>1.1209392670144158</v>
      </c>
      <c r="F171" s="192">
        <v>106468.05473470285</v>
      </c>
      <c r="G171" s="192">
        <v>-0.16135210803848365</v>
      </c>
      <c r="H171" s="203">
        <v>0.16135210803848365</v>
      </c>
      <c r="I171" s="192">
        <v>-35635.284864028727</v>
      </c>
      <c r="K171" s="202">
        <v>-149624.21651475786</v>
      </c>
      <c r="L171" s="202">
        <v>-191471.55753826821</v>
      </c>
      <c r="M171" s="221">
        <v>41847.341023510351</v>
      </c>
      <c r="N171" s="221">
        <v>41847.341023510351</v>
      </c>
      <c r="O171" s="221">
        <v>-220854.16358817855</v>
      </c>
      <c r="Q171" s="204">
        <f t="shared" si="2"/>
        <v>0</v>
      </c>
      <c r="R171" s="204">
        <f>IF(MAX(K172:L172)=K172,1,0)</f>
        <v>1</v>
      </c>
    </row>
    <row r="172" spans="1:18" x14ac:dyDescent="0.3">
      <c r="A172" s="110">
        <v>167</v>
      </c>
      <c r="C172" s="191">
        <v>1.1271545391803666</v>
      </c>
      <c r="D172" s="192">
        <v>120970.2656640632</v>
      </c>
      <c r="E172" s="192">
        <v>0.95295838103372343</v>
      </c>
      <c r="F172" s="192">
        <v>83534.476725874993</v>
      </c>
      <c r="G172" s="192">
        <v>-0.17419615814664313</v>
      </c>
      <c r="H172" s="203">
        <v>0.17419615814664313</v>
      </c>
      <c r="I172" s="192">
        <v>-37435.788938188212</v>
      </c>
      <c r="K172" s="202">
        <v>-120223.37439567334</v>
      </c>
      <c r="L172" s="202">
        <v>-164365.71542250732</v>
      </c>
      <c r="M172" s="221">
        <v>44142.341026833979</v>
      </c>
      <c r="N172" s="221">
        <v>44142.341026833972</v>
      </c>
      <c r="O172" s="221">
        <v>-214905.93900856143</v>
      </c>
      <c r="Q172" s="204">
        <f t="shared" si="2"/>
        <v>0</v>
      </c>
      <c r="R172" s="204">
        <f>IF(MAX(K173:L173)=K173,1,0)</f>
        <v>1</v>
      </c>
    </row>
    <row r="173" spans="1:18" x14ac:dyDescent="0.3">
      <c r="A173" s="110">
        <v>168</v>
      </c>
      <c r="C173" s="191">
        <v>1.2551771579717474</v>
      </c>
      <c r="D173" s="192">
        <v>125470.46989527222</v>
      </c>
      <c r="E173" s="192">
        <v>1.1090224600197625</v>
      </c>
      <c r="F173" s="192">
        <v>95900.135660614222</v>
      </c>
      <c r="G173" s="192">
        <v>-0.14615469795198499</v>
      </c>
      <c r="H173" s="203">
        <v>0.14615469795198499</v>
      </c>
      <c r="I173" s="192">
        <v>-29570.334234658003</v>
      </c>
      <c r="K173" s="202">
        <v>-138597.50037137506</v>
      </c>
      <c r="L173" s="202">
        <v>-173794.79047718449</v>
      </c>
      <c r="M173" s="221">
        <v>35197.290105809428</v>
      </c>
      <c r="N173" s="221">
        <v>35197.290105809428</v>
      </c>
      <c r="O173" s="221">
        <v>-202322.16034802044</v>
      </c>
      <c r="Q173" s="204">
        <f t="shared" si="2"/>
        <v>0</v>
      </c>
      <c r="R173" s="204">
        <f>IF(MAX(K174:L174)=K174,1,0)</f>
        <v>1</v>
      </c>
    </row>
    <row r="174" spans="1:18" x14ac:dyDescent="0.3">
      <c r="A174" s="110">
        <v>169</v>
      </c>
      <c r="C174" s="191">
        <v>1.190659157983883</v>
      </c>
      <c r="D174" s="192">
        <v>126195.53727166595</v>
      </c>
      <c r="E174" s="192">
        <v>1.2069388726842274</v>
      </c>
      <c r="F174" s="192">
        <v>116655.38115017915</v>
      </c>
      <c r="G174" s="192">
        <v>1.6279714700344394E-2</v>
      </c>
      <c r="H174" s="203">
        <v>-1.6279714700344394E-2</v>
      </c>
      <c r="I174" s="192">
        <v>-9540.1561214867979</v>
      </c>
      <c r="K174" s="202">
        <v>-163122.52774852191</v>
      </c>
      <c r="L174" s="202">
        <v>-172035.91485404543</v>
      </c>
      <c r="M174" s="221">
        <v>8913.3871055235213</v>
      </c>
      <c r="N174" s="221">
        <v>8913.3871055235395</v>
      </c>
      <c r="O174" s="221">
        <v>586014.94541455188</v>
      </c>
      <c r="Q174" s="204">
        <f t="shared" si="2"/>
        <v>0</v>
      </c>
      <c r="R174" s="204">
        <f>IF(MAX(K175:L175)=K175,1,0)</f>
        <v>1</v>
      </c>
    </row>
    <row r="175" spans="1:18" x14ac:dyDescent="0.3">
      <c r="A175" s="110">
        <v>170</v>
      </c>
      <c r="C175" s="191">
        <v>1.5220709661458147</v>
      </c>
      <c r="D175" s="192">
        <v>140119.35706027609</v>
      </c>
      <c r="E175" s="192">
        <v>1.2474446811675775</v>
      </c>
      <c r="F175" s="192">
        <v>91805.166782933011</v>
      </c>
      <c r="G175" s="192">
        <v>-0.27462628497823727</v>
      </c>
      <c r="H175" s="203">
        <v>0.27462628497823727</v>
      </c>
      <c r="I175" s="192">
        <v>-48314.190277343077</v>
      </c>
      <c r="K175" s="202">
        <v>-139831.78700788473</v>
      </c>
      <c r="L175" s="202">
        <v>-198719.08925688994</v>
      </c>
      <c r="M175" s="221">
        <v>58887.30224900521</v>
      </c>
      <c r="N175" s="221">
        <v>58887.30224900521</v>
      </c>
      <c r="O175" s="221">
        <v>-175927.04311304991</v>
      </c>
      <c r="Q175" s="204">
        <f t="shared" si="2"/>
        <v>0</v>
      </c>
      <c r="R175" s="204">
        <f>IF(MAX(K176:L176)=K176,1,0)</f>
        <v>1</v>
      </c>
    </row>
    <row r="176" spans="1:18" x14ac:dyDescent="0.3">
      <c r="A176" s="110">
        <v>171</v>
      </c>
      <c r="C176" s="191">
        <v>1.2409538423797526</v>
      </c>
      <c r="D176" s="192">
        <v>84817.996304508531</v>
      </c>
      <c r="E176" s="192">
        <v>1.1698954824392473</v>
      </c>
      <c r="F176" s="192">
        <v>66085.342568852313</v>
      </c>
      <c r="G176" s="192">
        <v>-7.1058359940505245E-2</v>
      </c>
      <c r="H176" s="203">
        <v>7.1058359940505245E-2</v>
      </c>
      <c r="I176" s="192">
        <v>-18732.653735656218</v>
      </c>
      <c r="K176" s="202">
        <v>-111126.31864276333</v>
      </c>
      <c r="L176" s="202">
        <v>-132594.71923612902</v>
      </c>
      <c r="M176" s="221">
        <v>21468.400593365688</v>
      </c>
      <c r="N176" s="221">
        <v>21468.40059336567</v>
      </c>
      <c r="O176" s="221">
        <v>-263623.50258773821</v>
      </c>
      <c r="Q176" s="204">
        <f t="shared" si="2"/>
        <v>0</v>
      </c>
      <c r="R176" s="204">
        <f>IF(MAX(K177:L177)=K177,1,0)</f>
        <v>1</v>
      </c>
    </row>
    <row r="177" spans="1:18" x14ac:dyDescent="0.3">
      <c r="A177" s="110">
        <v>172</v>
      </c>
      <c r="C177" s="191">
        <v>1.1813694638393299</v>
      </c>
      <c r="D177" s="192">
        <v>65148.354293364755</v>
      </c>
      <c r="E177" s="192">
        <v>1.1362811213407533</v>
      </c>
      <c r="F177" s="192">
        <v>52402.187329603075</v>
      </c>
      <c r="G177" s="192">
        <v>-4.5088342498576628E-2</v>
      </c>
      <c r="H177" s="203">
        <v>4.5088342498576628E-2</v>
      </c>
      <c r="I177" s="192">
        <v>-12746.16696376168</v>
      </c>
      <c r="K177" s="202">
        <v>-96149.010501222074</v>
      </c>
      <c r="L177" s="202">
        <v>-110631.07865117895</v>
      </c>
      <c r="M177" s="221">
        <v>14482.068149956875</v>
      </c>
      <c r="N177" s="221">
        <v>14482.06814995688</v>
      </c>
      <c r="O177" s="221">
        <v>-282693.18092950649</v>
      </c>
      <c r="Q177" s="204">
        <f t="shared" si="2"/>
        <v>0</v>
      </c>
      <c r="R177" s="204">
        <f>IF(MAX(K178:L178)=K178,1,0)</f>
        <v>1</v>
      </c>
    </row>
    <row r="178" spans="1:18" x14ac:dyDescent="0.3">
      <c r="A178" s="110">
        <v>173</v>
      </c>
      <c r="C178" s="191">
        <v>1.0850903109889101</v>
      </c>
      <c r="D178" s="192">
        <v>152848.46294513953</v>
      </c>
      <c r="E178" s="192">
        <v>0.92801532304380074</v>
      </c>
      <c r="F178" s="192">
        <v>108128.76096831949</v>
      </c>
      <c r="G178" s="192">
        <v>-0.15707498794510932</v>
      </c>
      <c r="H178" s="203">
        <v>0.15707498794510932</v>
      </c>
      <c r="I178" s="192">
        <v>-44719.701976820041</v>
      </c>
      <c r="K178" s="202">
        <v>-143857.35090550582</v>
      </c>
      <c r="L178" s="202">
        <v>-194624.43991821256</v>
      </c>
      <c r="M178" s="221">
        <v>50767.08901270674</v>
      </c>
      <c r="N178" s="221">
        <v>50767.089012706747</v>
      </c>
      <c r="O178" s="221">
        <v>-284702.88339253335</v>
      </c>
      <c r="Q178" s="204">
        <f t="shared" si="2"/>
        <v>0</v>
      </c>
      <c r="R178" s="204">
        <f>IF(MAX(K179:L179)=K179,1,0)</f>
        <v>1</v>
      </c>
    </row>
    <row r="179" spans="1:18" x14ac:dyDescent="0.3">
      <c r="A179" s="110">
        <v>174</v>
      </c>
      <c r="C179" s="191">
        <v>1.5092218664869894</v>
      </c>
      <c r="D179" s="192">
        <v>133822.49803028686</v>
      </c>
      <c r="E179" s="192">
        <v>1.3817775877161347</v>
      </c>
      <c r="F179" s="192">
        <v>101811.76212736071</v>
      </c>
      <c r="G179" s="192">
        <v>-0.12744427877085474</v>
      </c>
      <c r="H179" s="203">
        <v>0.12744427877085474</v>
      </c>
      <c r="I179" s="192">
        <v>-32010.735902926157</v>
      </c>
      <c r="K179" s="202">
        <v>-155010.19925443188</v>
      </c>
      <c r="L179" s="202">
        <v>-191927.53989003596</v>
      </c>
      <c r="M179" s="221">
        <v>36917.34063560408</v>
      </c>
      <c r="N179" s="221">
        <v>36917.340635604065</v>
      </c>
      <c r="O179" s="221">
        <v>-251174.36586134692</v>
      </c>
      <c r="Q179" s="204">
        <f t="shared" si="2"/>
        <v>0</v>
      </c>
      <c r="R179" s="204">
        <f>IF(MAX(K180:L180)=K180,1,0)</f>
        <v>1</v>
      </c>
    </row>
    <row r="180" spans="1:18" x14ac:dyDescent="0.3">
      <c r="A180" s="110">
        <v>175</v>
      </c>
      <c r="C180" s="191">
        <v>1.2906132037318265</v>
      </c>
      <c r="D180" s="192">
        <v>131444.36779882136</v>
      </c>
      <c r="E180" s="192">
        <v>1.247660413238519</v>
      </c>
      <c r="F180" s="192">
        <v>112384.24989624445</v>
      </c>
      <c r="G180" s="192">
        <v>-4.295279049330758E-2</v>
      </c>
      <c r="H180" s="203">
        <v>4.295279049330758E-2</v>
      </c>
      <c r="I180" s="192">
        <v>-19060.117902576909</v>
      </c>
      <c r="K180" s="202">
        <v>-160419.17580592743</v>
      </c>
      <c r="L180" s="202">
        <v>-181132.97614249669</v>
      </c>
      <c r="M180" s="221">
        <v>20713.800336569257</v>
      </c>
      <c r="N180" s="221">
        <v>20713.800336569249</v>
      </c>
      <c r="O180" s="221">
        <v>-443745.74232951505</v>
      </c>
      <c r="Q180" s="204">
        <f t="shared" si="2"/>
        <v>0</v>
      </c>
      <c r="R180" s="204">
        <f>IF(MAX(K181:L181)=K181,1,0)</f>
        <v>1</v>
      </c>
    </row>
    <row r="181" spans="1:18" x14ac:dyDescent="0.3">
      <c r="A181" s="110">
        <v>176</v>
      </c>
      <c r="C181" s="191">
        <v>1.4645406489313293</v>
      </c>
      <c r="D181" s="192">
        <v>134620.14488049486</v>
      </c>
      <c r="E181" s="192">
        <v>1.316104018336002</v>
      </c>
      <c r="F181" s="192">
        <v>100944.24934944521</v>
      </c>
      <c r="G181" s="192">
        <v>-0.1484366305953273</v>
      </c>
      <c r="H181" s="203">
        <v>0.1484366305953273</v>
      </c>
      <c r="I181" s="192">
        <v>-33675.895531049653</v>
      </c>
      <c r="K181" s="202">
        <v>-151614.25405538129</v>
      </c>
      <c r="L181" s="202">
        <v>-191004.95986435103</v>
      </c>
      <c r="M181" s="221">
        <v>39390.705808969738</v>
      </c>
      <c r="N181" s="221">
        <v>39390.705808969753</v>
      </c>
      <c r="O181" s="221">
        <v>-226870.51973618264</v>
      </c>
      <c r="Q181" s="204">
        <f t="shared" si="2"/>
        <v>0</v>
      </c>
      <c r="R181" s="204">
        <f>IF(MAX(K182:L182)=K182,1,0)</f>
        <v>1</v>
      </c>
    </row>
    <row r="182" spans="1:18" x14ac:dyDescent="0.3">
      <c r="A182" s="110">
        <v>177</v>
      </c>
      <c r="C182" s="191">
        <v>1.2527397735432053</v>
      </c>
      <c r="D182" s="192">
        <v>141919.98044391209</v>
      </c>
      <c r="E182" s="192">
        <v>1.0595233374778357</v>
      </c>
      <c r="F182" s="192">
        <v>113473.73291925721</v>
      </c>
      <c r="G182" s="192">
        <v>-0.19321643606536965</v>
      </c>
      <c r="H182" s="203">
        <v>0.19321643606536965</v>
      </c>
      <c r="I182" s="192">
        <v>-28446.247524654886</v>
      </c>
      <c r="K182" s="202">
        <v>-154265.38141215389</v>
      </c>
      <c r="L182" s="202">
        <v>-190150.4617253255</v>
      </c>
      <c r="M182" s="221">
        <v>35885.080313171609</v>
      </c>
      <c r="N182" s="221">
        <v>35885.080313171617</v>
      </c>
      <c r="O182" s="221">
        <v>-147224.78120355587</v>
      </c>
      <c r="Q182" s="204">
        <f t="shared" si="2"/>
        <v>0</v>
      </c>
      <c r="R182" s="204">
        <f>IF(MAX(K183:L183)=K183,1,0)</f>
        <v>1</v>
      </c>
    </row>
    <row r="183" spans="1:18" x14ac:dyDescent="0.3">
      <c r="A183" s="110">
        <v>178</v>
      </c>
      <c r="C183" s="191">
        <v>1.1241167113851238</v>
      </c>
      <c r="D183" s="192">
        <v>145273.71458022844</v>
      </c>
      <c r="E183" s="192">
        <v>0.95818306253362628</v>
      </c>
      <c r="F183" s="192">
        <v>93915.770231987088</v>
      </c>
      <c r="G183" s="192">
        <v>-0.16593364885149753</v>
      </c>
      <c r="H183" s="203">
        <v>0.16593364885149753</v>
      </c>
      <c r="I183" s="192">
        <v>-51357.944348241348</v>
      </c>
      <c r="K183" s="202">
        <v>-130805.81813953171</v>
      </c>
      <c r="L183" s="202">
        <v>-188552.20796855571</v>
      </c>
      <c r="M183" s="221">
        <v>57746.389829024003</v>
      </c>
      <c r="N183" s="221">
        <v>57746.389829024003</v>
      </c>
      <c r="O183" s="221">
        <v>-309508.91940069484</v>
      </c>
      <c r="Q183" s="204">
        <f t="shared" si="2"/>
        <v>0</v>
      </c>
      <c r="R183" s="204">
        <f>IF(MAX(K184:L184)=K184,1,0)</f>
        <v>1</v>
      </c>
    </row>
    <row r="184" spans="1:18" x14ac:dyDescent="0.3">
      <c r="A184" s="110">
        <v>179</v>
      </c>
      <c r="C184" s="191">
        <v>1.1593119300459813</v>
      </c>
      <c r="D184" s="192">
        <v>81468.709850761326</v>
      </c>
      <c r="E184" s="192">
        <v>1.0724385978720639</v>
      </c>
      <c r="F184" s="192">
        <v>65596.490062738885</v>
      </c>
      <c r="G184" s="192">
        <v>-8.6873332173917461E-2</v>
      </c>
      <c r="H184" s="203">
        <v>8.6873332173917461E-2</v>
      </c>
      <c r="I184" s="192">
        <v>-15872.219788022441</v>
      </c>
      <c r="K184" s="202">
        <v>-106885.37608081335</v>
      </c>
      <c r="L184" s="202">
        <v>-126102.21915753161</v>
      </c>
      <c r="M184" s="221">
        <v>19216.843076718258</v>
      </c>
      <c r="N184" s="221">
        <v>19216.843076718265</v>
      </c>
      <c r="O184" s="221">
        <v>-182705.31808595525</v>
      </c>
      <c r="Q184" s="204">
        <f t="shared" si="2"/>
        <v>0</v>
      </c>
      <c r="R184" s="204">
        <f>IF(MAX(K185:L185)=K185,1,0)</f>
        <v>1</v>
      </c>
    </row>
    <row r="185" spans="1:18" x14ac:dyDescent="0.3">
      <c r="A185" s="110">
        <v>180</v>
      </c>
      <c r="C185" s="191">
        <v>1.3540699592033603</v>
      </c>
      <c r="D185" s="192">
        <v>118471.51699213155</v>
      </c>
      <c r="E185" s="192">
        <v>1.1267559550620503</v>
      </c>
      <c r="F185" s="192">
        <v>82936.660283048608</v>
      </c>
      <c r="G185" s="192">
        <v>-0.22731400414130998</v>
      </c>
      <c r="H185" s="203">
        <v>0.22731400414130998</v>
      </c>
      <c r="I185" s="192">
        <v>-35534.856709082946</v>
      </c>
      <c r="K185" s="202">
        <v>-126316.76455293754</v>
      </c>
      <c r="L185" s="202">
        <v>-170603.21042146091</v>
      </c>
      <c r="M185" s="221">
        <v>44286.445868523369</v>
      </c>
      <c r="N185" s="221">
        <v>44286.445868523384</v>
      </c>
      <c r="O185" s="221">
        <v>-156324.97805543325</v>
      </c>
      <c r="Q185" s="204">
        <f t="shared" si="2"/>
        <v>0</v>
      </c>
      <c r="R185" s="204">
        <f>IF(MAX(K186:L186)=K186,1,0)</f>
        <v>1</v>
      </c>
    </row>
    <row r="186" spans="1:18" x14ac:dyDescent="0.3">
      <c r="A186" s="110">
        <v>181</v>
      </c>
      <c r="C186" s="191">
        <v>1.4237744219973238</v>
      </c>
      <c r="D186" s="192">
        <v>137302.36892613157</v>
      </c>
      <c r="E186" s="192">
        <v>1.2426160957041741</v>
      </c>
      <c r="F186" s="192">
        <v>89358.624440051004</v>
      </c>
      <c r="G186" s="192">
        <v>-0.18115832629314976</v>
      </c>
      <c r="H186" s="203">
        <v>0.18115832629314976</v>
      </c>
      <c r="I186" s="192">
        <v>-47943.74448608057</v>
      </c>
      <c r="K186" s="202">
        <v>-137199.3441246617</v>
      </c>
      <c r="L186" s="202">
        <v>-192117.68417302854</v>
      </c>
      <c r="M186" s="221">
        <v>54918.340048366837</v>
      </c>
      <c r="N186" s="221">
        <v>54918.340048366837</v>
      </c>
      <c r="O186" s="221">
        <v>-264651.06775439164</v>
      </c>
      <c r="Q186" s="204">
        <f t="shared" si="2"/>
        <v>0</v>
      </c>
      <c r="R186" s="204">
        <f>IF(MAX(K187:L187)=K187,1,0)</f>
        <v>1</v>
      </c>
    </row>
    <row r="187" spans="1:18" x14ac:dyDescent="0.3">
      <c r="A187" s="110">
        <v>182</v>
      </c>
      <c r="C187" s="191">
        <v>1.2977085026870272</v>
      </c>
      <c r="D187" s="192">
        <v>120881.93177752536</v>
      </c>
      <c r="E187" s="192">
        <v>1.1723807306532921</v>
      </c>
      <c r="F187" s="192">
        <v>94333.189741035501</v>
      </c>
      <c r="G187" s="192">
        <v>-0.12532777203373513</v>
      </c>
      <c r="H187" s="203">
        <v>0.12532777203373513</v>
      </c>
      <c r="I187" s="192">
        <v>-26548.742036489857</v>
      </c>
      <c r="K187" s="202">
        <v>-139469.84787118726</v>
      </c>
      <c r="L187" s="202">
        <v>-170843.70913097591</v>
      </c>
      <c r="M187" s="221">
        <v>31373.861259788653</v>
      </c>
      <c r="N187" s="221">
        <v>31373.86125978866</v>
      </c>
      <c r="O187" s="221">
        <v>-211834.46897423177</v>
      </c>
      <c r="Q187" s="204">
        <f t="shared" si="2"/>
        <v>0</v>
      </c>
      <c r="R187" s="204">
        <f>IF(MAX(K188:L188)=K188,1,0)</f>
        <v>1</v>
      </c>
    </row>
    <row r="188" spans="1:18" x14ac:dyDescent="0.3">
      <c r="A188" s="110">
        <v>183</v>
      </c>
      <c r="C188" s="191">
        <v>1.2045776286058423</v>
      </c>
      <c r="D188" s="192">
        <v>72793.326213369961</v>
      </c>
      <c r="E188" s="192">
        <v>1.1854510091668962</v>
      </c>
      <c r="F188" s="192">
        <v>63673.085612062918</v>
      </c>
      <c r="G188" s="192">
        <v>-1.9126619438946113E-2</v>
      </c>
      <c r="H188" s="203">
        <v>1.9126619438946113E-2</v>
      </c>
      <c r="I188" s="192">
        <v>-9120.2406013070431</v>
      </c>
      <c r="K188" s="202">
        <v>-109312.94946498843</v>
      </c>
      <c r="L188" s="202">
        <v>-119169.56491469489</v>
      </c>
      <c r="M188" s="221">
        <v>9856.6154497064563</v>
      </c>
      <c r="N188" s="221">
        <v>9856.615449706469</v>
      </c>
      <c r="O188" s="221">
        <v>-476834.94882196357</v>
      </c>
      <c r="Q188" s="204">
        <f t="shared" si="2"/>
        <v>0</v>
      </c>
      <c r="R188" s="204">
        <f>IF(MAX(K189:L189)=K189,1,0)</f>
        <v>1</v>
      </c>
    </row>
    <row r="189" spans="1:18" x14ac:dyDescent="0.3">
      <c r="A189" s="110">
        <v>184</v>
      </c>
      <c r="C189" s="191">
        <v>0.93286014488032321</v>
      </c>
      <c r="D189" s="192">
        <v>129274.96793148459</v>
      </c>
      <c r="E189" s="192">
        <v>0.81825890717288907</v>
      </c>
      <c r="F189" s="192">
        <v>103353.89185703776</v>
      </c>
      <c r="G189" s="192">
        <v>-0.11460123770743413</v>
      </c>
      <c r="H189" s="203">
        <v>0.11460123770743413</v>
      </c>
      <c r="I189" s="192">
        <v>-25921.076074446828</v>
      </c>
      <c r="K189" s="202">
        <v>-134856.859783194</v>
      </c>
      <c r="L189" s="202">
        <v>-165190.08350937703</v>
      </c>
      <c r="M189" s="221">
        <v>30333.223726183031</v>
      </c>
      <c r="N189" s="221">
        <v>30333.223726183041</v>
      </c>
      <c r="O189" s="221">
        <v>-226184.9574488962</v>
      </c>
      <c r="Q189" s="204">
        <f t="shared" si="2"/>
        <v>0</v>
      </c>
      <c r="R189" s="204">
        <f>IF(MAX(K190:L190)=K190,1,0)</f>
        <v>1</v>
      </c>
    </row>
    <row r="190" spans="1:18" x14ac:dyDescent="0.3">
      <c r="A190" s="110">
        <v>185</v>
      </c>
      <c r="C190" s="191">
        <v>1.0958572679707079</v>
      </c>
      <c r="D190" s="192">
        <v>109626.8023510589</v>
      </c>
      <c r="E190" s="192">
        <v>1.1177651357964937</v>
      </c>
      <c r="F190" s="192">
        <v>98016.135243997953</v>
      </c>
      <c r="G190" s="192">
        <v>2.1907867825785798E-2</v>
      </c>
      <c r="H190" s="203">
        <v>-2.1907867825785798E-2</v>
      </c>
      <c r="I190" s="192">
        <v>-11610.667107060945</v>
      </c>
      <c r="K190" s="202">
        <v>-141050.09297216297</v>
      </c>
      <c r="L190" s="202">
        <v>-151817.30716793117</v>
      </c>
      <c r="M190" s="221">
        <v>10767.214195768203</v>
      </c>
      <c r="N190" s="221">
        <v>10767.214195768191</v>
      </c>
      <c r="O190" s="221">
        <v>529977.04748770955</v>
      </c>
      <c r="Q190" s="204">
        <f t="shared" si="2"/>
        <v>0</v>
      </c>
      <c r="R190" s="204">
        <f>IF(MAX(K191:L191)=K191,1,0)</f>
        <v>1</v>
      </c>
    </row>
    <row r="191" spans="1:18" x14ac:dyDescent="0.3">
      <c r="A191" s="110">
        <v>186</v>
      </c>
      <c r="C191" s="191">
        <v>1.1548261287065797</v>
      </c>
      <c r="D191" s="192">
        <v>130505.59567670642</v>
      </c>
      <c r="E191" s="192">
        <v>1.0606333068342999</v>
      </c>
      <c r="F191" s="192">
        <v>91988.899036329007</v>
      </c>
      <c r="G191" s="192">
        <v>-9.4192821872279842E-2</v>
      </c>
      <c r="H191" s="203">
        <v>9.4192821872279842E-2</v>
      </c>
      <c r="I191" s="192">
        <v>-38516.696640377413</v>
      </c>
      <c r="K191" s="202">
        <v>-132823.28134944956</v>
      </c>
      <c r="L191" s="202">
        <v>-174966.40163190974</v>
      </c>
      <c r="M191" s="221">
        <v>42143.120282460179</v>
      </c>
      <c r="N191" s="221">
        <v>42143.120282460186</v>
      </c>
      <c r="O191" s="221">
        <v>-408913.28951375809</v>
      </c>
      <c r="Q191" s="204">
        <f t="shared" si="2"/>
        <v>0</v>
      </c>
      <c r="R191" s="204">
        <f>IF(MAX(K192:L192)=K192,1,0)</f>
        <v>1</v>
      </c>
    </row>
    <row r="192" spans="1:18" x14ac:dyDescent="0.3">
      <c r="A192" s="110">
        <v>187</v>
      </c>
      <c r="C192" s="191">
        <v>1.1666418201895443</v>
      </c>
      <c r="D192" s="192">
        <v>124639.78643332327</v>
      </c>
      <c r="E192" s="192">
        <v>1.1331620605601769</v>
      </c>
      <c r="F192" s="192">
        <v>102680.00288178549</v>
      </c>
      <c r="G192" s="192">
        <v>-3.3479759629367445E-2</v>
      </c>
      <c r="H192" s="203">
        <v>3.3479759629367445E-2</v>
      </c>
      <c r="I192" s="192">
        <v>-21959.783551537781</v>
      </c>
      <c r="K192" s="202">
        <v>-146306.74221335229</v>
      </c>
      <c r="L192" s="202">
        <v>-169555.49651062072</v>
      </c>
      <c r="M192" s="221">
        <v>23248.754297268431</v>
      </c>
      <c r="N192" s="221">
        <v>23248.754297268428</v>
      </c>
      <c r="O192" s="221">
        <v>-655912.22262764734</v>
      </c>
      <c r="Q192" s="204">
        <f t="shared" si="2"/>
        <v>0</v>
      </c>
      <c r="R192" s="204">
        <f>IF(MAX(K193:L193)=K193,1,0)</f>
        <v>1</v>
      </c>
    </row>
    <row r="193" spans="1:18" x14ac:dyDescent="0.3">
      <c r="A193" s="110">
        <v>188</v>
      </c>
      <c r="C193" s="191">
        <v>1.3281099476250753</v>
      </c>
      <c r="D193" s="192">
        <v>114256.93977178991</v>
      </c>
      <c r="E193" s="192">
        <v>1.2378857356852686</v>
      </c>
      <c r="F193" s="192">
        <v>100366.51212151452</v>
      </c>
      <c r="G193" s="192">
        <v>-9.0224211939806676E-2</v>
      </c>
      <c r="H193" s="203">
        <v>9.0224211939806676E-2</v>
      </c>
      <c r="I193" s="192">
        <v>-13890.427650275393</v>
      </c>
      <c r="K193" s="202">
        <v>-148025.11294539736</v>
      </c>
      <c r="L193" s="202">
        <v>-165389.17275535531</v>
      </c>
      <c r="M193" s="221">
        <v>17364.059809957951</v>
      </c>
      <c r="N193" s="221">
        <v>17364.059809957951</v>
      </c>
      <c r="O193" s="221">
        <v>-153954.54669687143</v>
      </c>
      <c r="Q193" s="204">
        <f t="shared" si="2"/>
        <v>0</v>
      </c>
      <c r="R193" s="204">
        <f>IF(MAX(K194:L194)=K194,1,0)</f>
        <v>1</v>
      </c>
    </row>
    <row r="194" spans="1:18" x14ac:dyDescent="0.3">
      <c r="A194" s="110">
        <v>189</v>
      </c>
      <c r="C194" s="191">
        <v>1.3331001046354134</v>
      </c>
      <c r="D194" s="192">
        <v>140691.4975504032</v>
      </c>
      <c r="E194" s="192">
        <v>1.0929845674248508</v>
      </c>
      <c r="F194" s="192">
        <v>90667.465072454055</v>
      </c>
      <c r="G194" s="192">
        <v>-0.24011553721056256</v>
      </c>
      <c r="H194" s="203">
        <v>0.24011553721056256</v>
      </c>
      <c r="I194" s="192">
        <v>-50024.032477949149</v>
      </c>
      <c r="K194" s="202">
        <v>-132747.37091831083</v>
      </c>
      <c r="L194" s="202">
        <v>-192015.85157886663</v>
      </c>
      <c r="M194" s="221">
        <v>59268.480660555797</v>
      </c>
      <c r="N194" s="221">
        <v>59268.480660555811</v>
      </c>
      <c r="O194" s="221">
        <v>-208333.17601635243</v>
      </c>
      <c r="Q194" s="204">
        <f t="shared" si="2"/>
        <v>0</v>
      </c>
      <c r="R194" s="204">
        <f>IF(MAX(K195:L195)=K195,1,0)</f>
        <v>1</v>
      </c>
    </row>
    <row r="195" spans="1:18" x14ac:dyDescent="0.3">
      <c r="A195" s="110">
        <v>190</v>
      </c>
      <c r="C195" s="191">
        <v>1.3933030695617614</v>
      </c>
      <c r="D195" s="192">
        <v>146714.03016357415</v>
      </c>
      <c r="E195" s="192">
        <v>1.2214254444921302</v>
      </c>
      <c r="F195" s="192">
        <v>109112.10262932975</v>
      </c>
      <c r="G195" s="192">
        <v>-0.17187762506963122</v>
      </c>
      <c r="H195" s="203">
        <v>0.17187762506963122</v>
      </c>
      <c r="I195" s="192">
        <v>-37601.927534244402</v>
      </c>
      <c r="K195" s="202">
        <v>-156136.98224227678</v>
      </c>
      <c r="L195" s="202">
        <v>-200356.19834170197</v>
      </c>
      <c r="M195" s="221">
        <v>44219.21609942519</v>
      </c>
      <c r="N195" s="221">
        <v>44219.216099425204</v>
      </c>
      <c r="O195" s="221">
        <v>-218771.50978209684</v>
      </c>
      <c r="Q195" s="204">
        <f t="shared" si="2"/>
        <v>0</v>
      </c>
      <c r="R195" s="204">
        <f>IF(MAX(K196:L196)=K196,1,0)</f>
        <v>1</v>
      </c>
    </row>
    <row r="196" spans="1:18" x14ac:dyDescent="0.3">
      <c r="A196" s="110">
        <v>191</v>
      </c>
      <c r="C196" s="191">
        <v>1.3551199355729198</v>
      </c>
      <c r="D196" s="192">
        <v>109398.93969776129</v>
      </c>
      <c r="E196" s="192">
        <v>1.1525782986002451</v>
      </c>
      <c r="F196" s="192">
        <v>78562.968188167419</v>
      </c>
      <c r="G196" s="192">
        <v>-0.20254163697267469</v>
      </c>
      <c r="H196" s="203">
        <v>0.20254163697267469</v>
      </c>
      <c r="I196" s="192">
        <v>-30835.971509593874</v>
      </c>
      <c r="K196" s="202">
        <v>-122937.23268427685</v>
      </c>
      <c r="L196" s="202">
        <v>-161571.05721731871</v>
      </c>
      <c r="M196" s="221">
        <v>38633.824533041858</v>
      </c>
      <c r="N196" s="221">
        <v>38633.82453304185</v>
      </c>
      <c r="O196" s="221">
        <v>-152245.09868928342</v>
      </c>
      <c r="Q196" s="204">
        <f t="shared" si="2"/>
        <v>0</v>
      </c>
      <c r="R196" s="204">
        <f>IF(MAX(K197:L197)=K197,1,0)</f>
        <v>1</v>
      </c>
    </row>
    <row r="197" spans="1:18" x14ac:dyDescent="0.3">
      <c r="A197" s="110">
        <v>192</v>
      </c>
      <c r="C197" s="191">
        <v>1.4041800481002045</v>
      </c>
      <c r="D197" s="192">
        <v>83190.803737077687</v>
      </c>
      <c r="E197" s="192">
        <v>1.3395517567673509</v>
      </c>
      <c r="F197" s="192">
        <v>62019.909788336889</v>
      </c>
      <c r="G197" s="192">
        <v>-6.4628291332853527E-2</v>
      </c>
      <c r="H197" s="203">
        <v>6.4628291332853527E-2</v>
      </c>
      <c r="I197" s="192">
        <v>-21170.893948740799</v>
      </c>
      <c r="K197" s="202">
        <v>-113592.6524238799</v>
      </c>
      <c r="L197" s="202">
        <v>-137251.73558893555</v>
      </c>
      <c r="M197" s="221">
        <v>23659.08316505565</v>
      </c>
      <c r="N197" s="221">
        <v>23659.083165055661</v>
      </c>
      <c r="O197" s="221">
        <v>-327579.35436827282</v>
      </c>
      <c r="Q197" s="204">
        <f t="shared" si="2"/>
        <v>0</v>
      </c>
      <c r="R197" s="204">
        <f>IF(MAX(K198:L198)=K198,1,0)</f>
        <v>1</v>
      </c>
    </row>
    <row r="198" spans="1:18" x14ac:dyDescent="0.3">
      <c r="A198" s="110">
        <v>193</v>
      </c>
      <c r="C198" s="191">
        <v>1.3766405643090605</v>
      </c>
      <c r="D198" s="192">
        <v>100927.00723804721</v>
      </c>
      <c r="E198" s="192">
        <v>1.2482899640563014</v>
      </c>
      <c r="F198" s="192">
        <v>72915.444058121706</v>
      </c>
      <c r="G198" s="192">
        <v>-0.12835060025275902</v>
      </c>
      <c r="H198" s="203">
        <v>0.12835060025275902</v>
      </c>
      <c r="I198" s="192">
        <v>-28011.563179925506</v>
      </c>
      <c r="K198" s="202">
        <v>-120974.60767428932</v>
      </c>
      <c r="L198" s="202">
        <v>-153927.66896394605</v>
      </c>
      <c r="M198" s="221">
        <v>32953.061289656733</v>
      </c>
      <c r="N198" s="221">
        <v>32953.061289656725</v>
      </c>
      <c r="O198" s="221">
        <v>-218242.55690867617</v>
      </c>
      <c r="Q198" s="204">
        <f t="shared" si="2"/>
        <v>0</v>
      </c>
      <c r="R198" s="204">
        <f>IF(MAX(K199:L199)=K199,1,0)</f>
        <v>1</v>
      </c>
    </row>
    <row r="199" spans="1:18" x14ac:dyDescent="0.3">
      <c r="A199" s="110">
        <v>194</v>
      </c>
      <c r="C199" s="191">
        <v>1.4899114074178894</v>
      </c>
      <c r="D199" s="192">
        <v>120242.29866548163</v>
      </c>
      <c r="E199" s="192">
        <v>1.3709429983106756</v>
      </c>
      <c r="F199" s="192">
        <v>90892.048076984051</v>
      </c>
      <c r="G199" s="192">
        <v>-0.11896840910721385</v>
      </c>
      <c r="H199" s="203">
        <v>0.11896840910721385</v>
      </c>
      <c r="I199" s="192">
        <v>-29350.250588497584</v>
      </c>
      <c r="K199" s="202">
        <v>-143673.35351194505</v>
      </c>
      <c r="L199" s="202">
        <v>-177603.88785107038</v>
      </c>
      <c r="M199" s="221">
        <v>33930.534339125326</v>
      </c>
      <c r="N199" s="221">
        <v>33930.534339125319</v>
      </c>
      <c r="O199" s="221">
        <v>-246706.25428005226</v>
      </c>
      <c r="Q199" s="204">
        <f t="shared" ref="Q199:Q262" si="3">IF(MAX(K199:L199)=L199,1,0)</f>
        <v>0</v>
      </c>
      <c r="R199" s="204">
        <f>IF(MAX(K200:L200)=K200,1,0)</f>
        <v>1</v>
      </c>
    </row>
    <row r="200" spans="1:18" x14ac:dyDescent="0.3">
      <c r="A200" s="110">
        <v>195</v>
      </c>
      <c r="C200" s="191">
        <v>1.1347668127793398</v>
      </c>
      <c r="D200" s="192">
        <v>153122.56321326201</v>
      </c>
      <c r="E200" s="192">
        <v>1.0324557684439288</v>
      </c>
      <c r="F200" s="192">
        <v>120053.4315656641</v>
      </c>
      <c r="G200" s="192">
        <v>-0.10231104433541094</v>
      </c>
      <c r="H200" s="203">
        <v>0.10231104433541094</v>
      </c>
      <c r="I200" s="192">
        <v>-33069.131647597911</v>
      </c>
      <c r="K200" s="202">
        <v>-159802.97865075537</v>
      </c>
      <c r="L200" s="202">
        <v>-196811.08550526659</v>
      </c>
      <c r="M200" s="221">
        <v>37008.106854511221</v>
      </c>
      <c r="N200" s="221">
        <v>37008.106854511236</v>
      </c>
      <c r="O200" s="221">
        <v>-323221.52376028808</v>
      </c>
      <c r="Q200" s="204">
        <f t="shared" si="3"/>
        <v>0</v>
      </c>
      <c r="R200" s="204">
        <f>IF(MAX(K201:L201)=K201,1,0)</f>
        <v>1</v>
      </c>
    </row>
    <row r="201" spans="1:18" x14ac:dyDescent="0.3">
      <c r="A201" s="110">
        <v>196</v>
      </c>
      <c r="C201" s="191">
        <v>1.4172340090632252</v>
      </c>
      <c r="D201" s="192">
        <v>152276.54409634211</v>
      </c>
      <c r="E201" s="192">
        <v>1.1953230662138574</v>
      </c>
      <c r="F201" s="192">
        <v>101559.22805386221</v>
      </c>
      <c r="G201" s="192">
        <v>-0.22191094284936774</v>
      </c>
      <c r="H201" s="203">
        <v>0.22191094284936774</v>
      </c>
      <c r="I201" s="192">
        <v>-50717.316042479899</v>
      </c>
      <c r="K201" s="202">
        <v>-147579.16610309572</v>
      </c>
      <c r="L201" s="202">
        <v>-206840.05344527628</v>
      </c>
      <c r="M201" s="221">
        <v>59260.887342180562</v>
      </c>
      <c r="N201" s="221">
        <v>59260.887342180555</v>
      </c>
      <c r="O201" s="221">
        <v>-228548.06253023137</v>
      </c>
      <c r="Q201" s="204">
        <f t="shared" si="3"/>
        <v>0</v>
      </c>
      <c r="R201" s="204">
        <f>IF(MAX(K202:L202)=K202,1,0)</f>
        <v>1</v>
      </c>
    </row>
    <row r="202" spans="1:18" x14ac:dyDescent="0.3">
      <c r="A202" s="110">
        <v>197</v>
      </c>
      <c r="C202" s="191">
        <v>1.0624114523353703</v>
      </c>
      <c r="D202" s="192">
        <v>79750.445081112179</v>
      </c>
      <c r="E202" s="192">
        <v>1.0315020791783072</v>
      </c>
      <c r="F202" s="192">
        <v>69286.573525400439</v>
      </c>
      <c r="G202" s="192">
        <v>-3.0909373157063103E-2</v>
      </c>
      <c r="H202" s="203">
        <v>3.0909373157063103E-2</v>
      </c>
      <c r="I202" s="192">
        <v>-10463.871555711739</v>
      </c>
      <c r="K202" s="202">
        <v>-108999.40357376527</v>
      </c>
      <c r="L202" s="202">
        <v>-120653.28599602394</v>
      </c>
      <c r="M202" s="221">
        <v>11653.88242225867</v>
      </c>
      <c r="N202" s="221">
        <v>11653.882422258668</v>
      </c>
      <c r="O202" s="221">
        <v>-338533.92957988987</v>
      </c>
      <c r="Q202" s="204">
        <f t="shared" si="3"/>
        <v>0</v>
      </c>
      <c r="R202" s="204">
        <f>IF(MAX(K203:L203)=K203,1,0)</f>
        <v>1</v>
      </c>
    </row>
    <row r="203" spans="1:18" x14ac:dyDescent="0.3">
      <c r="A203" s="110">
        <v>198</v>
      </c>
      <c r="C203" s="191">
        <v>1.2132713311171537</v>
      </c>
      <c r="D203" s="192">
        <v>135271.43046505703</v>
      </c>
      <c r="E203" s="192">
        <v>1.2078856614872662</v>
      </c>
      <c r="F203" s="192">
        <v>114208.43778171958</v>
      </c>
      <c r="G203" s="192">
        <v>-5.3856696298875129E-3</v>
      </c>
      <c r="H203" s="203">
        <v>5.3856696298875129E-3</v>
      </c>
      <c r="I203" s="192">
        <v>-21062.992683337448</v>
      </c>
      <c r="K203" s="202">
        <v>-160712.03574897931</v>
      </c>
      <c r="L203" s="202">
        <v>-181982.37671306744</v>
      </c>
      <c r="M203" s="221">
        <v>21270.340964088129</v>
      </c>
      <c r="N203" s="221">
        <v>21270.340964088118</v>
      </c>
      <c r="O203" s="221">
        <v>-3910932.9258611389</v>
      </c>
      <c r="Q203" s="204">
        <f t="shared" si="3"/>
        <v>0</v>
      </c>
      <c r="R203" s="204">
        <f>IF(MAX(K204:L204)=K204,1,0)</f>
        <v>1</v>
      </c>
    </row>
    <row r="204" spans="1:18" x14ac:dyDescent="0.3">
      <c r="A204" s="110">
        <v>199</v>
      </c>
      <c r="C204" s="191">
        <v>1.4216678773697138</v>
      </c>
      <c r="D204" s="192">
        <v>146579.85878693659</v>
      </c>
      <c r="E204" s="192">
        <v>1.3004030105479569</v>
      </c>
      <c r="F204" s="192">
        <v>105949.07662086622</v>
      </c>
      <c r="G204" s="192">
        <v>-0.12126486682175686</v>
      </c>
      <c r="H204" s="203">
        <v>0.12126486682175686</v>
      </c>
      <c r="I204" s="192">
        <v>-40630.782166070363</v>
      </c>
      <c r="K204" s="202">
        <v>-156014.59252696257</v>
      </c>
      <c r="L204" s="202">
        <v>-201314.07206567057</v>
      </c>
      <c r="M204" s="221">
        <v>45299.479538707994</v>
      </c>
      <c r="N204" s="221">
        <v>45299.479538708001</v>
      </c>
      <c r="O204" s="221">
        <v>-335058.15188658214</v>
      </c>
      <c r="Q204" s="204">
        <f t="shared" si="3"/>
        <v>0</v>
      </c>
      <c r="R204" s="204">
        <f>IF(MAX(K205:L205)=K205,1,0)</f>
        <v>1</v>
      </c>
    </row>
    <row r="205" spans="1:18" x14ac:dyDescent="0.3">
      <c r="A205" s="110">
        <v>200</v>
      </c>
      <c r="C205" s="191">
        <v>1.737454844630429</v>
      </c>
      <c r="D205" s="192">
        <v>106078.45087211901</v>
      </c>
      <c r="E205" s="192">
        <v>1.6382561769803601</v>
      </c>
      <c r="F205" s="192">
        <v>77912.563059774999</v>
      </c>
      <c r="G205" s="192">
        <v>-9.9198667650068906E-2</v>
      </c>
      <c r="H205" s="203">
        <v>9.9198667650068906E-2</v>
      </c>
      <c r="I205" s="192">
        <v>-28165.887812344008</v>
      </c>
      <c r="K205" s="202">
        <v>-140985.42587351886</v>
      </c>
      <c r="L205" s="202">
        <v>-172970.46239039052</v>
      </c>
      <c r="M205" s="221">
        <v>31985.036516871653</v>
      </c>
      <c r="N205" s="221">
        <v>31985.03651687166</v>
      </c>
      <c r="O205" s="221">
        <v>-283934.13419322716</v>
      </c>
      <c r="Q205" s="204">
        <f t="shared" si="3"/>
        <v>0</v>
      </c>
      <c r="R205" s="204">
        <f>IF(MAX(K206:L206)=K206,1,0)</f>
        <v>1</v>
      </c>
    </row>
    <row r="206" spans="1:18" x14ac:dyDescent="0.3">
      <c r="A206" s="110">
        <v>201</v>
      </c>
      <c r="C206" s="191">
        <v>1.4245134682179799</v>
      </c>
      <c r="D206" s="192">
        <v>104617.50455976577</v>
      </c>
      <c r="E206" s="192">
        <v>1.2333552241293371</v>
      </c>
      <c r="F206" s="192">
        <v>74182.901594943643</v>
      </c>
      <c r="G206" s="192">
        <v>-0.19115824408864279</v>
      </c>
      <c r="H206" s="203">
        <v>0.19115824408864279</v>
      </c>
      <c r="I206" s="192">
        <v>-30434.60296482213</v>
      </c>
      <c r="K206" s="202">
        <v>-121667.07772392311</v>
      </c>
      <c r="L206" s="202">
        <v>-159461.27308615801</v>
      </c>
      <c r="M206" s="221">
        <v>37794.195362234896</v>
      </c>
      <c r="N206" s="221">
        <v>37794.195362234881</v>
      </c>
      <c r="O206" s="221">
        <v>-159211.56374877127</v>
      </c>
      <c r="Q206" s="204">
        <f t="shared" si="3"/>
        <v>0</v>
      </c>
      <c r="R206" s="204">
        <f>IF(MAX(K207:L207)=K207,1,0)</f>
        <v>1</v>
      </c>
    </row>
    <row r="207" spans="1:18" x14ac:dyDescent="0.3">
      <c r="A207" s="110">
        <v>202</v>
      </c>
      <c r="C207" s="191">
        <v>1.1799033142226327</v>
      </c>
      <c r="D207" s="192">
        <v>127501.37309081663</v>
      </c>
      <c r="E207" s="192">
        <v>1.0392879503278425</v>
      </c>
      <c r="F207" s="192">
        <v>90490.501038364877</v>
      </c>
      <c r="G207" s="192">
        <v>-0.14061536389479024</v>
      </c>
      <c r="H207" s="203">
        <v>0.14061536389479024</v>
      </c>
      <c r="I207" s="192">
        <v>-37010.872052451756</v>
      </c>
      <c r="K207" s="202">
        <v>-130503.08712598681</v>
      </c>
      <c r="L207" s="202">
        <v>-172927.65068838798</v>
      </c>
      <c r="M207" s="221">
        <v>42424.563562401163</v>
      </c>
      <c r="N207" s="221">
        <v>42424.563562401177</v>
      </c>
      <c r="O207" s="221">
        <v>-263206.45928949589</v>
      </c>
      <c r="Q207" s="204">
        <f t="shared" si="3"/>
        <v>0</v>
      </c>
      <c r="R207" s="204">
        <f>IF(MAX(K208:L208)=K208,1,0)</f>
        <v>1</v>
      </c>
    </row>
    <row r="208" spans="1:18" x14ac:dyDescent="0.3">
      <c r="A208" s="110">
        <v>203</v>
      </c>
      <c r="C208" s="191">
        <v>1.4779441864882048</v>
      </c>
      <c r="D208" s="192">
        <v>106646.84356013557</v>
      </c>
      <c r="E208" s="192">
        <v>1.2716956829710904</v>
      </c>
      <c r="F208" s="192">
        <v>65382.648023535796</v>
      </c>
      <c r="G208" s="192">
        <v>-0.20624850351711443</v>
      </c>
      <c r="H208" s="203">
        <v>0.20624850351711443</v>
      </c>
      <c r="I208" s="192">
        <v>-41264.195536599778</v>
      </c>
      <c r="K208" s="202">
        <v>-114342.93181792277</v>
      </c>
      <c r="L208" s="202">
        <v>-163547.69473993147</v>
      </c>
      <c r="M208" s="221">
        <v>49204.762922008696</v>
      </c>
      <c r="N208" s="221">
        <v>49204.762922008682</v>
      </c>
      <c r="O208" s="221">
        <v>-200070.27848895732</v>
      </c>
      <c r="Q208" s="204">
        <f t="shared" si="3"/>
        <v>0</v>
      </c>
      <c r="R208" s="204">
        <f>IF(MAX(K209:L209)=K209,1,0)</f>
        <v>1</v>
      </c>
    </row>
    <row r="209" spans="1:18" x14ac:dyDescent="0.3">
      <c r="A209" s="110">
        <v>204</v>
      </c>
      <c r="C209" s="191">
        <v>1.4757481215338546</v>
      </c>
      <c r="D209" s="192">
        <v>164798.17223500391</v>
      </c>
      <c r="E209" s="192">
        <v>1.2592135344596287</v>
      </c>
      <c r="F209" s="192">
        <v>122225.10295304444</v>
      </c>
      <c r="G209" s="192">
        <v>-0.2165345870742259</v>
      </c>
      <c r="H209" s="203">
        <v>0.2165345870742259</v>
      </c>
      <c r="I209" s="192">
        <v>-42573.06928195947</v>
      </c>
      <c r="K209" s="202">
        <v>-170704.82402974015</v>
      </c>
      <c r="L209" s="202">
        <v>-221614.4749140573</v>
      </c>
      <c r="M209" s="221">
        <v>50909.650884317147</v>
      </c>
      <c r="N209" s="221">
        <v>50909.650884317169</v>
      </c>
      <c r="O209" s="221">
        <v>-196610.94265446768</v>
      </c>
      <c r="Q209" s="204">
        <f t="shared" si="3"/>
        <v>0</v>
      </c>
      <c r="R209" s="204">
        <f>IF(MAX(K210:L210)=K210,1,0)</f>
        <v>1</v>
      </c>
    </row>
    <row r="210" spans="1:18" x14ac:dyDescent="0.3">
      <c r="A210" s="110">
        <v>205</v>
      </c>
      <c r="C210" s="191">
        <v>1.5473776778379358</v>
      </c>
      <c r="D210" s="192">
        <v>166579.33063188294</v>
      </c>
      <c r="E210" s="192">
        <v>1.3603915235137176</v>
      </c>
      <c r="F210" s="192">
        <v>114026.78376779314</v>
      </c>
      <c r="G210" s="192">
        <v>-0.18698615432421817</v>
      </c>
      <c r="H210" s="203">
        <v>0.18698615432421817</v>
      </c>
      <c r="I210" s="192">
        <v>-52552.546864089803</v>
      </c>
      <c r="K210" s="202">
        <v>-166401.85742307128</v>
      </c>
      <c r="L210" s="202">
        <v>-226153.37122864346</v>
      </c>
      <c r="M210" s="221">
        <v>59751.513805572176</v>
      </c>
      <c r="N210" s="221">
        <v>59751.513805572205</v>
      </c>
      <c r="O210" s="221">
        <v>-281050.47164598154</v>
      </c>
      <c r="Q210" s="204">
        <f t="shared" si="3"/>
        <v>0</v>
      </c>
      <c r="R210" s="204">
        <f>IF(MAX(K211:L211)=K211,1,0)</f>
        <v>1</v>
      </c>
    </row>
    <row r="211" spans="1:18" x14ac:dyDescent="0.3">
      <c r="A211" s="110">
        <v>206</v>
      </c>
      <c r="C211" s="191">
        <v>1.3568202886820873</v>
      </c>
      <c r="D211" s="192">
        <v>111030.96766982821</v>
      </c>
      <c r="E211" s="192">
        <v>1.1176479639555608</v>
      </c>
      <c r="F211" s="192">
        <v>81396.211691630131</v>
      </c>
      <c r="G211" s="192">
        <v>-0.2391723247265265</v>
      </c>
      <c r="H211" s="203">
        <v>0.2391723247265265</v>
      </c>
      <c r="I211" s="192">
        <v>-29634.755978198082</v>
      </c>
      <c r="K211" s="202">
        <v>-124425.65830391922</v>
      </c>
      <c r="L211" s="202">
        <v>-163268.54878408858</v>
      </c>
      <c r="M211" s="221">
        <v>38842.890480169357</v>
      </c>
      <c r="N211" s="221">
        <v>38842.89048016935</v>
      </c>
      <c r="O211" s="221">
        <v>-123905.45608520108</v>
      </c>
      <c r="Q211" s="204">
        <f t="shared" si="3"/>
        <v>0</v>
      </c>
      <c r="R211" s="204">
        <f>IF(MAX(K212:L212)=K212,1,0)</f>
        <v>1</v>
      </c>
    </row>
    <row r="212" spans="1:18" x14ac:dyDescent="0.3">
      <c r="A212" s="110">
        <v>207</v>
      </c>
      <c r="C212" s="191">
        <v>1.3590240568841678</v>
      </c>
      <c r="D212" s="192">
        <v>96527.758168572647</v>
      </c>
      <c r="E212" s="192">
        <v>1.1942128509915158</v>
      </c>
      <c r="F212" s="192">
        <v>64696.937916957017</v>
      </c>
      <c r="G212" s="192">
        <v>-0.16481120589265208</v>
      </c>
      <c r="H212" s="203">
        <v>0.16481120589265208</v>
      </c>
      <c r="I212" s="192">
        <v>-31830.820251615631</v>
      </c>
      <c r="K212" s="202">
        <v>-110674.13268013037</v>
      </c>
      <c r="L212" s="202">
        <v>-148850.1843586131</v>
      </c>
      <c r="M212" s="221">
        <v>38176.051678482734</v>
      </c>
      <c r="N212" s="221">
        <v>38176.051678482734</v>
      </c>
      <c r="O212" s="221">
        <v>-193135.04854972227</v>
      </c>
      <c r="Q212" s="204">
        <f t="shared" si="3"/>
        <v>0</v>
      </c>
      <c r="R212" s="204">
        <f>IF(MAX(K213:L213)=K213,1,0)</f>
        <v>1</v>
      </c>
    </row>
    <row r="213" spans="1:18" x14ac:dyDescent="0.3">
      <c r="A213" s="110">
        <v>208</v>
      </c>
      <c r="C213" s="191">
        <v>1.1242945459928455</v>
      </c>
      <c r="D213" s="192">
        <v>90689.173591294762</v>
      </c>
      <c r="E213" s="192">
        <v>1.0809728734538151</v>
      </c>
      <c r="F213" s="192">
        <v>72299.695922776038</v>
      </c>
      <c r="G213" s="192">
        <v>-4.3321672539030409E-2</v>
      </c>
      <c r="H213" s="203">
        <v>4.3321672539030409E-2</v>
      </c>
      <c r="I213" s="192">
        <v>-18389.477668518724</v>
      </c>
      <c r="K213" s="202">
        <v>-113917.15155074792</v>
      </c>
      <c r="L213" s="202">
        <v>-133974.51361201931</v>
      </c>
      <c r="M213" s="221">
        <v>20057.362061271386</v>
      </c>
      <c r="N213" s="221">
        <v>20057.362061271397</v>
      </c>
      <c r="O213" s="221">
        <v>-424486.78896113328</v>
      </c>
      <c r="Q213" s="204">
        <f t="shared" si="3"/>
        <v>0</v>
      </c>
      <c r="R213" s="204">
        <f>IF(MAX(K214:L214)=K214,1,0)</f>
        <v>1</v>
      </c>
    </row>
    <row r="214" spans="1:18" x14ac:dyDescent="0.3">
      <c r="A214" s="110">
        <v>209</v>
      </c>
      <c r="C214" s="191">
        <v>1.4053911092186402</v>
      </c>
      <c r="D214" s="192">
        <v>138465.59702848262</v>
      </c>
      <c r="E214" s="192">
        <v>1.2969777144097532</v>
      </c>
      <c r="F214" s="192">
        <v>107377.50252244259</v>
      </c>
      <c r="G214" s="192">
        <v>-0.10841339480888701</v>
      </c>
      <c r="H214" s="203">
        <v>0.10841339480888701</v>
      </c>
      <c r="I214" s="192">
        <v>-31088.094506040026</v>
      </c>
      <c r="K214" s="202">
        <v>-157311.14452721807</v>
      </c>
      <c r="L214" s="202">
        <v>-192573.15473340027</v>
      </c>
      <c r="M214" s="221">
        <v>35262.010206182196</v>
      </c>
      <c r="N214" s="221">
        <v>35262.010206182174</v>
      </c>
      <c r="O214" s="221">
        <v>-286755.10586899944</v>
      </c>
      <c r="Q214" s="204">
        <f t="shared" si="3"/>
        <v>0</v>
      </c>
      <c r="R214" s="204">
        <f>IF(MAX(K215:L215)=K215,1,0)</f>
        <v>1</v>
      </c>
    </row>
    <row r="215" spans="1:18" x14ac:dyDescent="0.3">
      <c r="A215" s="110">
        <v>210</v>
      </c>
      <c r="C215" s="191">
        <v>1.2290542175464474</v>
      </c>
      <c r="D215" s="192">
        <v>87459.65038635458</v>
      </c>
      <c r="E215" s="192">
        <v>1.2905407725733744</v>
      </c>
      <c r="F215" s="192">
        <v>79934.916614404254</v>
      </c>
      <c r="G215" s="192">
        <v>6.1486555026927014E-2</v>
      </c>
      <c r="H215" s="203">
        <v>-6.1486555026927014E-2</v>
      </c>
      <c r="I215" s="192">
        <v>-7524.7337719503266</v>
      </c>
      <c r="K215" s="202">
        <v>-129620.73635847916</v>
      </c>
      <c r="L215" s="202">
        <v>-134778.23776189281</v>
      </c>
      <c r="M215" s="221">
        <v>5157.5014034136548</v>
      </c>
      <c r="N215" s="221">
        <v>5157.5014034136366</v>
      </c>
      <c r="O215" s="221">
        <v>122380.14910178322</v>
      </c>
      <c r="Q215" s="204">
        <f t="shared" si="3"/>
        <v>0</v>
      </c>
      <c r="R215" s="204">
        <f>IF(MAX(K216:L216)=K216,1,0)</f>
        <v>1</v>
      </c>
    </row>
    <row r="216" spans="1:18" x14ac:dyDescent="0.3">
      <c r="A216" s="110">
        <v>211</v>
      </c>
      <c r="C216" s="191">
        <v>1.6449229600604858</v>
      </c>
      <c r="D216" s="192">
        <v>128170.42286784649</v>
      </c>
      <c r="E216" s="192">
        <v>1.5968709706672293</v>
      </c>
      <c r="F216" s="192">
        <v>98097.132855399686</v>
      </c>
      <c r="G216" s="192">
        <v>-4.80519893932565E-2</v>
      </c>
      <c r="H216" s="203">
        <v>4.80519893932565E-2</v>
      </c>
      <c r="I216" s="192">
        <v>-30073.2900124468</v>
      </c>
      <c r="K216" s="202">
        <v>-159576.66522608802</v>
      </c>
      <c r="L216" s="202">
        <v>-191499.95683017519</v>
      </c>
      <c r="M216" s="221">
        <v>31923.291604087164</v>
      </c>
      <c r="N216" s="221">
        <v>31923.291604087175</v>
      </c>
      <c r="O216" s="221">
        <v>-625849.01046089071</v>
      </c>
      <c r="Q216" s="204">
        <f t="shared" si="3"/>
        <v>0</v>
      </c>
      <c r="R216" s="204">
        <f>IF(MAX(K217:L217)=K217,1,0)</f>
        <v>1</v>
      </c>
    </row>
    <row r="217" spans="1:18" x14ac:dyDescent="0.3">
      <c r="A217" s="110">
        <v>212</v>
      </c>
      <c r="C217" s="191">
        <v>1.3956096122759387</v>
      </c>
      <c r="D217" s="192">
        <v>125039.48267202471</v>
      </c>
      <c r="E217" s="192">
        <v>1.2807235391078127</v>
      </c>
      <c r="F217" s="192">
        <v>95609.518844103499</v>
      </c>
      <c r="G217" s="192">
        <v>-0.11488607316812605</v>
      </c>
      <c r="H217" s="203">
        <v>0.11488607316812605</v>
      </c>
      <c r="I217" s="192">
        <v>-29429.963827921209</v>
      </c>
      <c r="K217" s="202">
        <v>-144917.37509975428</v>
      </c>
      <c r="L217" s="202">
        <v>-178770.45274464836</v>
      </c>
      <c r="M217" s="221">
        <v>33853.077644894074</v>
      </c>
      <c r="N217" s="221">
        <v>33853.07764489406</v>
      </c>
      <c r="O217" s="221">
        <v>-256166.50492399497</v>
      </c>
      <c r="Q217" s="204">
        <f t="shared" si="3"/>
        <v>0</v>
      </c>
      <c r="R217" s="204">
        <f>IF(MAX(K218:L218)=K218,1,0)</f>
        <v>1</v>
      </c>
    </row>
    <row r="218" spans="1:18" x14ac:dyDescent="0.3">
      <c r="A218" s="110">
        <v>213</v>
      </c>
      <c r="C218" s="191">
        <v>1.6927037571309063</v>
      </c>
      <c r="D218" s="192">
        <v>130144.14311033835</v>
      </c>
      <c r="E218" s="192">
        <v>1.5354400516667164</v>
      </c>
      <c r="F218" s="192">
        <v>95471.41759527121</v>
      </c>
      <c r="G218" s="192">
        <v>-0.15726370546418988</v>
      </c>
      <c r="H218" s="203">
        <v>0.15726370546418988</v>
      </c>
      <c r="I218" s="192">
        <v>-34672.725515067141</v>
      </c>
      <c r="K218" s="202">
        <v>-154585.85958443978</v>
      </c>
      <c r="L218" s="202">
        <v>-195313.23775987825</v>
      </c>
      <c r="M218" s="221">
        <v>40727.378175438469</v>
      </c>
      <c r="N218" s="221">
        <v>40727.378175438454</v>
      </c>
      <c r="O218" s="221">
        <v>-220475.06392352161</v>
      </c>
      <c r="Q218" s="204">
        <f t="shared" si="3"/>
        <v>0</v>
      </c>
      <c r="R218" s="204">
        <f>IF(MAX(K219:L219)=K219,1,0)</f>
        <v>1</v>
      </c>
    </row>
    <row r="219" spans="1:18" x14ac:dyDescent="0.3">
      <c r="A219" s="110">
        <v>214</v>
      </c>
      <c r="C219" s="191">
        <v>1.5669914779741478</v>
      </c>
      <c r="D219" s="192">
        <v>102978.01256884498</v>
      </c>
      <c r="E219" s="192">
        <v>1.6063782458592324</v>
      </c>
      <c r="F219" s="192">
        <v>80481.034899325823</v>
      </c>
      <c r="G219" s="192">
        <v>3.938676788508455E-2</v>
      </c>
      <c r="H219" s="203">
        <v>-3.938676788508455E-2</v>
      </c>
      <c r="I219" s="192">
        <v>-22496.977669519154</v>
      </c>
      <c r="K219" s="202">
        <v>-142326.59736490628</v>
      </c>
      <c r="L219" s="202">
        <v>-163307.18447084966</v>
      </c>
      <c r="M219" s="221">
        <v>20980.587105943385</v>
      </c>
      <c r="N219" s="221">
        <v>20980.587105943399</v>
      </c>
      <c r="O219" s="221">
        <v>571181.10668935033</v>
      </c>
      <c r="Q219" s="204">
        <f t="shared" si="3"/>
        <v>0</v>
      </c>
      <c r="R219" s="204">
        <f>IF(MAX(K220:L220)=K220,1,0)</f>
        <v>1</v>
      </c>
    </row>
    <row r="220" spans="1:18" x14ac:dyDescent="0.3">
      <c r="A220" s="110">
        <v>215</v>
      </c>
      <c r="C220" s="191">
        <v>1.7167833128262209</v>
      </c>
      <c r="D220" s="192">
        <v>146498.81278074512</v>
      </c>
      <c r="E220" s="192">
        <v>1.4801541557179168</v>
      </c>
      <c r="F220" s="192">
        <v>98831.959461213715</v>
      </c>
      <c r="G220" s="192">
        <v>-0.23662915710830412</v>
      </c>
      <c r="H220" s="203">
        <v>0.23662915710830412</v>
      </c>
      <c r="I220" s="192">
        <v>-47666.853319531408</v>
      </c>
      <c r="K220" s="202">
        <v>-155817.8944563535</v>
      </c>
      <c r="L220" s="202">
        <v>-212594.97032455463</v>
      </c>
      <c r="M220" s="221">
        <v>56777.075868201122</v>
      </c>
      <c r="N220" s="221">
        <v>56777.075868201115</v>
      </c>
      <c r="O220" s="221">
        <v>-201441.16600861025</v>
      </c>
      <c r="Q220" s="204">
        <f t="shared" si="3"/>
        <v>0</v>
      </c>
      <c r="R220" s="204">
        <f>IF(MAX(K221:L221)=K221,1,0)</f>
        <v>1</v>
      </c>
    </row>
    <row r="221" spans="1:18" x14ac:dyDescent="0.3">
      <c r="A221" s="110">
        <v>216</v>
      </c>
      <c r="C221" s="191">
        <v>1.3469230337475553</v>
      </c>
      <c r="D221" s="192">
        <v>123721.10649886746</v>
      </c>
      <c r="E221" s="192">
        <v>1.154863630173302</v>
      </c>
      <c r="F221" s="192">
        <v>82100.263604539607</v>
      </c>
      <c r="G221" s="192">
        <v>-0.19205940357425333</v>
      </c>
      <c r="H221" s="203">
        <v>0.19205940357425333</v>
      </c>
      <c r="I221" s="192">
        <v>-41620.842894327856</v>
      </c>
      <c r="K221" s="202">
        <v>-126562.51336621173</v>
      </c>
      <c r="L221" s="202">
        <v>-175577.64329814835</v>
      </c>
      <c r="M221" s="221">
        <v>49015.129931936623</v>
      </c>
      <c r="N221" s="221">
        <v>49015.129931936608</v>
      </c>
      <c r="O221" s="221">
        <v>-216708.17528201139</v>
      </c>
      <c r="Q221" s="204">
        <f t="shared" si="3"/>
        <v>0</v>
      </c>
      <c r="R221" s="204">
        <f>IF(MAX(K222:L222)=K222,1,0)</f>
        <v>1</v>
      </c>
    </row>
    <row r="222" spans="1:18" x14ac:dyDescent="0.3">
      <c r="A222" s="110">
        <v>217</v>
      </c>
      <c r="C222" s="191">
        <v>1.3670115743333509</v>
      </c>
      <c r="D222" s="192">
        <v>163175.47565316843</v>
      </c>
      <c r="E222" s="192">
        <v>1.1463864643615025</v>
      </c>
      <c r="F222" s="192">
        <v>111253.74836922817</v>
      </c>
      <c r="G222" s="192">
        <v>-0.22062510997184837</v>
      </c>
      <c r="H222" s="203">
        <v>0.22062510997184837</v>
      </c>
      <c r="I222" s="192">
        <v>-51921.727283940258</v>
      </c>
      <c r="K222" s="202">
        <v>-155389.62724714601</v>
      </c>
      <c r="L222" s="202">
        <v>-215805.42126500243</v>
      </c>
      <c r="M222" s="221">
        <v>60415.794017856417</v>
      </c>
      <c r="N222" s="221">
        <v>60415.794017856417</v>
      </c>
      <c r="O222" s="221">
        <v>-235339.15650202028</v>
      </c>
      <c r="Q222" s="204">
        <f t="shared" si="3"/>
        <v>0</v>
      </c>
      <c r="R222" s="204">
        <f>IF(MAX(K223:L223)=K223,1,0)</f>
        <v>1</v>
      </c>
    </row>
    <row r="223" spans="1:18" x14ac:dyDescent="0.3">
      <c r="A223" s="110">
        <v>218</v>
      </c>
      <c r="C223" s="191">
        <v>1.1278680828805989</v>
      </c>
      <c r="D223" s="192">
        <v>110424.98338301909</v>
      </c>
      <c r="E223" s="192">
        <v>1.0017680467946639</v>
      </c>
      <c r="F223" s="192">
        <v>94007.483276405706</v>
      </c>
      <c r="G223" s="192">
        <v>-0.12610003608593501</v>
      </c>
      <c r="H223" s="203">
        <v>0.12610003608593501</v>
      </c>
      <c r="I223" s="192">
        <v>-16417.500106613385</v>
      </c>
      <c r="K223" s="202">
        <v>-132575.55307800026</v>
      </c>
      <c r="L223" s="202">
        <v>-153847.90457392216</v>
      </c>
      <c r="M223" s="221">
        <v>21272.351495921903</v>
      </c>
      <c r="N223" s="221">
        <v>21272.351495921881</v>
      </c>
      <c r="O223" s="221">
        <v>-130194.25383371928</v>
      </c>
      <c r="Q223" s="204">
        <f t="shared" si="3"/>
        <v>0</v>
      </c>
      <c r="R223" s="204">
        <f>IF(MAX(K224:L224)=K224,1,0)</f>
        <v>1</v>
      </c>
    </row>
    <row r="224" spans="1:18" x14ac:dyDescent="0.3">
      <c r="A224" s="110">
        <v>219</v>
      </c>
      <c r="C224" s="191">
        <v>1.2403289044194385</v>
      </c>
      <c r="D224" s="192">
        <v>117194.61765507872</v>
      </c>
      <c r="E224" s="192">
        <v>1.1460544913282913</v>
      </c>
      <c r="F224" s="192">
        <v>88786.718082015694</v>
      </c>
      <c r="G224" s="192">
        <v>-9.4274413091147258E-2</v>
      </c>
      <c r="H224" s="203">
        <v>9.4274413091147258E-2</v>
      </c>
      <c r="I224" s="192">
        <v>-28407.899573063027</v>
      </c>
      <c r="K224" s="202">
        <v>-132909.81599815493</v>
      </c>
      <c r="L224" s="202">
        <v>-164947.2804752271</v>
      </c>
      <c r="M224" s="221">
        <v>32037.464477072179</v>
      </c>
      <c r="N224" s="221">
        <v>32037.464477072197</v>
      </c>
      <c r="O224" s="221">
        <v>-301332.02256690199</v>
      </c>
      <c r="Q224" s="204">
        <f t="shared" si="3"/>
        <v>0</v>
      </c>
      <c r="R224" s="204">
        <f>IF(MAX(K225:L225)=K225,1,0)</f>
        <v>1</v>
      </c>
    </row>
    <row r="225" spans="1:18" x14ac:dyDescent="0.3">
      <c r="A225" s="110">
        <v>220</v>
      </c>
      <c r="C225" s="191">
        <v>1.5588088064884258</v>
      </c>
      <c r="D225" s="192">
        <v>96157.145268516178</v>
      </c>
      <c r="E225" s="192">
        <v>1.4545927076689307</v>
      </c>
      <c r="F225" s="192">
        <v>70389.357139084037</v>
      </c>
      <c r="G225" s="192">
        <v>-0.10421609881949512</v>
      </c>
      <c r="H225" s="203">
        <v>0.10421609881949512</v>
      </c>
      <c r="I225" s="192">
        <v>-25767.788129432141</v>
      </c>
      <c r="K225" s="202">
        <v>-126391.17638433786</v>
      </c>
      <c r="L225" s="202">
        <v>-156171.28431832057</v>
      </c>
      <c r="M225" s="221">
        <v>29780.107933982712</v>
      </c>
      <c r="N225" s="221">
        <v>29780.107933982705</v>
      </c>
      <c r="O225" s="221">
        <v>-247253.43225582252</v>
      </c>
      <c r="Q225" s="204">
        <f t="shared" si="3"/>
        <v>0</v>
      </c>
      <c r="R225" s="204">
        <f>IF(MAX(K226:L226)=K226,1,0)</f>
        <v>1</v>
      </c>
    </row>
    <row r="226" spans="1:18" x14ac:dyDescent="0.3">
      <c r="A226" s="110">
        <v>221</v>
      </c>
      <c r="C226" s="191">
        <v>1.2624066114175381</v>
      </c>
      <c r="D226" s="192">
        <v>124588.6173924021</v>
      </c>
      <c r="E226" s="192">
        <v>1.0971474118169231</v>
      </c>
      <c r="F226" s="192">
        <v>85271.912221541817</v>
      </c>
      <c r="G226" s="192">
        <v>-0.16525919960061497</v>
      </c>
      <c r="H226" s="203">
        <v>0.16525919960061497</v>
      </c>
      <c r="I226" s="192">
        <v>-39316.705170860281</v>
      </c>
      <c r="K226" s="202">
        <v>-127512.08757649336</v>
      </c>
      <c r="L226" s="202">
        <v>-173191.2719319773</v>
      </c>
      <c r="M226" s="221">
        <v>45679.184355483943</v>
      </c>
      <c r="N226" s="221">
        <v>45679.184355483958</v>
      </c>
      <c r="O226" s="221">
        <v>-237909.32829081651</v>
      </c>
      <c r="Q226" s="204">
        <f t="shared" si="3"/>
        <v>0</v>
      </c>
      <c r="R226" s="204">
        <f>IF(MAX(K227:L227)=K227,1,0)</f>
        <v>1</v>
      </c>
    </row>
    <row r="227" spans="1:18" x14ac:dyDescent="0.3">
      <c r="A227" s="110">
        <v>222</v>
      </c>
      <c r="C227" s="191">
        <v>1.1298489344221949</v>
      </c>
      <c r="D227" s="192">
        <v>125471.34177508035</v>
      </c>
      <c r="E227" s="192">
        <v>1.1083148191434957</v>
      </c>
      <c r="F227" s="192">
        <v>106439.406716927</v>
      </c>
      <c r="G227" s="192">
        <v>-2.1534115278699195E-2</v>
      </c>
      <c r="H227" s="203">
        <v>2.1534115278699195E-2</v>
      </c>
      <c r="I227" s="192">
        <v>-19031.935058153351</v>
      </c>
      <c r="K227" s="202">
        <v>-149109.52725395159</v>
      </c>
      <c r="L227" s="202">
        <v>-168970.52575033484</v>
      </c>
      <c r="M227" s="221">
        <v>19860.998496383254</v>
      </c>
      <c r="N227" s="221">
        <v>19860.998496383269</v>
      </c>
      <c r="O227" s="221">
        <v>-883803.89961871738</v>
      </c>
      <c r="Q227" s="204">
        <f t="shared" si="3"/>
        <v>0</v>
      </c>
      <c r="R227" s="204">
        <f>IF(MAX(K228:L228)=K228,1,0)</f>
        <v>1</v>
      </c>
    </row>
    <row r="228" spans="1:18" x14ac:dyDescent="0.3">
      <c r="A228" s="110">
        <v>223</v>
      </c>
      <c r="C228" s="191">
        <v>1.1248471639325488</v>
      </c>
      <c r="D228" s="192">
        <v>117497.38263782674</v>
      </c>
      <c r="E228" s="192">
        <v>1.0645103623307004</v>
      </c>
      <c r="F228" s="192">
        <v>90836.747562766846</v>
      </c>
      <c r="G228" s="192">
        <v>-6.03368016018484E-2</v>
      </c>
      <c r="H228" s="203">
        <v>6.03368016018484E-2</v>
      </c>
      <c r="I228" s="192">
        <v>-26660.635075059894</v>
      </c>
      <c r="K228" s="202">
        <v>-131820.39651249882</v>
      </c>
      <c r="L228" s="202">
        <v>-160803.99844922987</v>
      </c>
      <c r="M228" s="221">
        <v>28983.601936731051</v>
      </c>
      <c r="N228" s="221">
        <v>28983.601936731058</v>
      </c>
      <c r="O228" s="221">
        <v>-441863.57856666954</v>
      </c>
      <c r="Q228" s="204">
        <f t="shared" si="3"/>
        <v>0</v>
      </c>
      <c r="R228" s="204">
        <f>IF(MAX(K229:L229)=K229,1,0)</f>
        <v>1</v>
      </c>
    </row>
    <row r="229" spans="1:18" x14ac:dyDescent="0.3">
      <c r="A229" s="110">
        <v>224</v>
      </c>
      <c r="C229" s="191">
        <v>1.4138546918852386</v>
      </c>
      <c r="D229" s="192">
        <v>103284.43633541945</v>
      </c>
      <c r="E229" s="192">
        <v>1.2508944442101744</v>
      </c>
      <c r="F229" s="192">
        <v>70714.291914488349</v>
      </c>
      <c r="G229" s="192">
        <v>-0.16296024767506423</v>
      </c>
      <c r="H229" s="203">
        <v>0.16296024767506423</v>
      </c>
      <c r="I229" s="192">
        <v>-32570.144420931101</v>
      </c>
      <c r="K229" s="202">
        <v>-118873.72801658006</v>
      </c>
      <c r="L229" s="202">
        <v>-157717.84197300114</v>
      </c>
      <c r="M229" s="221">
        <v>38844.113956421075</v>
      </c>
      <c r="N229" s="221">
        <v>38844.113956421075</v>
      </c>
      <c r="O229" s="221">
        <v>-199865.58001479341</v>
      </c>
      <c r="Q229" s="204">
        <f t="shared" si="3"/>
        <v>0</v>
      </c>
      <c r="R229" s="204">
        <f>IF(MAX(K230:L230)=K230,1,0)</f>
        <v>1</v>
      </c>
    </row>
    <row r="230" spans="1:18" x14ac:dyDescent="0.3">
      <c r="A230" s="110">
        <v>225</v>
      </c>
      <c r="C230" s="191">
        <v>1.2435423543719482</v>
      </c>
      <c r="D230" s="192">
        <v>114118.52940448023</v>
      </c>
      <c r="E230" s="192">
        <v>1.1801343013710428</v>
      </c>
      <c r="F230" s="192">
        <v>82392.998848699499</v>
      </c>
      <c r="G230" s="192">
        <v>-6.3408053000905351E-2</v>
      </c>
      <c r="H230" s="203">
        <v>6.3408053000905351E-2</v>
      </c>
      <c r="I230" s="192">
        <v>-31725.53055578073</v>
      </c>
      <c r="K230" s="202">
        <v>-127828.16945148465</v>
      </c>
      <c r="L230" s="202">
        <v>-161994.91004780022</v>
      </c>
      <c r="M230" s="221">
        <v>34166.740596315576</v>
      </c>
      <c r="N230" s="221">
        <v>34166.740596315583</v>
      </c>
      <c r="O230" s="221">
        <v>-500339.13760650792</v>
      </c>
      <c r="Q230" s="204">
        <f t="shared" si="3"/>
        <v>0</v>
      </c>
      <c r="R230" s="204">
        <f>IF(MAX(K231:L231)=K231,1,0)</f>
        <v>1</v>
      </c>
    </row>
    <row r="231" spans="1:18" x14ac:dyDescent="0.3">
      <c r="A231" s="110">
        <v>226</v>
      </c>
      <c r="C231" s="191">
        <v>1.0973447565972958</v>
      </c>
      <c r="D231" s="192">
        <v>102288.20328531459</v>
      </c>
      <c r="E231" s="192">
        <v>0.98996016249987073</v>
      </c>
      <c r="F231" s="192">
        <v>82208.864289410718</v>
      </c>
      <c r="G231" s="192">
        <v>-0.10738459409742507</v>
      </c>
      <c r="H231" s="203">
        <v>0.10738459409742507</v>
      </c>
      <c r="I231" s="192">
        <v>-20079.338995903876</v>
      </c>
      <c r="K231" s="202">
        <v>-120322.33054565574</v>
      </c>
      <c r="L231" s="202">
        <v>-144535.97641431048</v>
      </c>
      <c r="M231" s="221">
        <v>24213.645868654741</v>
      </c>
      <c r="N231" s="221">
        <v>24213.645868654741</v>
      </c>
      <c r="O231" s="221">
        <v>-186985.28559587256</v>
      </c>
      <c r="Q231" s="204">
        <f t="shared" si="3"/>
        <v>0</v>
      </c>
      <c r="R231" s="204">
        <f>IF(MAX(K232:L232)=K232,1,0)</f>
        <v>1</v>
      </c>
    </row>
    <row r="232" spans="1:18" x14ac:dyDescent="0.3">
      <c r="A232" s="110">
        <v>227</v>
      </c>
      <c r="C232" s="191">
        <v>0.99250156874722639</v>
      </c>
      <c r="D232" s="192">
        <v>97866.616873346808</v>
      </c>
      <c r="E232" s="192">
        <v>0.90421600044477368</v>
      </c>
      <c r="F232" s="192">
        <v>79648.457163613362</v>
      </c>
      <c r="G232" s="192">
        <v>-8.828556830245271E-2</v>
      </c>
      <c r="H232" s="203">
        <v>8.828556830245271E-2</v>
      </c>
      <c r="I232" s="192">
        <v>-18218.159709733445</v>
      </c>
      <c r="K232" s="202">
        <v>-114460.77318073715</v>
      </c>
      <c r="L232" s="202">
        <v>-136077.92727011503</v>
      </c>
      <c r="M232" s="221">
        <v>21617.154089377887</v>
      </c>
      <c r="N232" s="221">
        <v>21617.154089377873</v>
      </c>
      <c r="O232" s="221">
        <v>-206354.90103343784</v>
      </c>
      <c r="Q232" s="204">
        <f t="shared" si="3"/>
        <v>0</v>
      </c>
      <c r="R232" s="204">
        <f>IF(MAX(K233:L233)=K233,1,0)</f>
        <v>1</v>
      </c>
    </row>
    <row r="233" spans="1:18" x14ac:dyDescent="0.3">
      <c r="A233" s="110">
        <v>228</v>
      </c>
      <c r="C233" s="191">
        <v>1.4975752741611517</v>
      </c>
      <c r="D233" s="192">
        <v>150506.85007079659</v>
      </c>
      <c r="E233" s="192">
        <v>1.339439023665262</v>
      </c>
      <c r="F233" s="192">
        <v>109629.36912845806</v>
      </c>
      <c r="G233" s="192">
        <v>-0.15813625049588964</v>
      </c>
      <c r="H233" s="203">
        <v>0.15813625049588964</v>
      </c>
      <c r="I233" s="192">
        <v>-40877.48094233853</v>
      </c>
      <c r="K233" s="202">
        <v>-161197.77153957065</v>
      </c>
      <c r="L233" s="202">
        <v>-208163.49812600092</v>
      </c>
      <c r="M233" s="221">
        <v>46965.726586430275</v>
      </c>
      <c r="N233" s="221">
        <v>46965.726586430283</v>
      </c>
      <c r="O233" s="221">
        <v>-258495.32168717406</v>
      </c>
      <c r="Q233" s="204">
        <f t="shared" si="3"/>
        <v>0</v>
      </c>
      <c r="R233" s="204">
        <f>IF(MAX(K234:L234)=K234,1,0)</f>
        <v>1</v>
      </c>
    </row>
    <row r="234" spans="1:18" x14ac:dyDescent="0.3">
      <c r="A234" s="110">
        <v>229</v>
      </c>
      <c r="C234" s="191">
        <v>1.1234454596647241</v>
      </c>
      <c r="D234" s="192">
        <v>107277.44038596559</v>
      </c>
      <c r="E234" s="192">
        <v>1.0110871843053</v>
      </c>
      <c r="F234" s="192">
        <v>85572.863864198764</v>
      </c>
      <c r="G234" s="192">
        <v>-0.11235827535942411</v>
      </c>
      <c r="H234" s="203">
        <v>0.11235827535942411</v>
      </c>
      <c r="I234" s="192">
        <v>-21704.576521766823</v>
      </c>
      <c r="K234" s="202">
        <v>-124499.7204599528</v>
      </c>
      <c r="L234" s="202">
        <v>-150530.09058305746</v>
      </c>
      <c r="M234" s="221">
        <v>26030.370123104658</v>
      </c>
      <c r="N234" s="221">
        <v>26030.370123104651</v>
      </c>
      <c r="O234" s="221">
        <v>-193172.92342140191</v>
      </c>
      <c r="Q234" s="204">
        <f t="shared" si="3"/>
        <v>0</v>
      </c>
      <c r="R234" s="204">
        <f>IF(MAX(K235:L235)=K235,1,0)</f>
        <v>1</v>
      </c>
    </row>
    <row r="235" spans="1:18" x14ac:dyDescent="0.3">
      <c r="A235" s="110">
        <v>230</v>
      </c>
      <c r="C235" s="191">
        <v>1.4608584481236193</v>
      </c>
      <c r="D235" s="192">
        <v>83211.200139445282</v>
      </c>
      <c r="E235" s="192">
        <v>1.4939994785978163</v>
      </c>
      <c r="F235" s="192">
        <v>68033.489354310179</v>
      </c>
      <c r="G235" s="192">
        <v>3.3141030474197031E-2</v>
      </c>
      <c r="H235" s="203">
        <v>-3.3141030474197031E-2</v>
      </c>
      <c r="I235" s="192">
        <v>-15177.710785135103</v>
      </c>
      <c r="K235" s="202">
        <v>-125552.4692803261</v>
      </c>
      <c r="L235" s="202">
        <v>-139454.25039220462</v>
      </c>
      <c r="M235" s="221">
        <v>13901.781111878518</v>
      </c>
      <c r="N235" s="221">
        <v>13901.781111878518</v>
      </c>
      <c r="O235" s="221">
        <v>457973.41144694271</v>
      </c>
      <c r="Q235" s="204">
        <f t="shared" si="3"/>
        <v>0</v>
      </c>
      <c r="R235" s="204">
        <f>IF(MAX(K236:L236)=K236,1,0)</f>
        <v>1</v>
      </c>
    </row>
    <row r="236" spans="1:18" x14ac:dyDescent="0.3">
      <c r="A236" s="110">
        <v>231</v>
      </c>
      <c r="C236" s="191">
        <v>1.6377308311863215</v>
      </c>
      <c r="D236" s="192">
        <v>151057.22823636132</v>
      </c>
      <c r="E236" s="192">
        <v>1.4190457019684728</v>
      </c>
      <c r="F236" s="192">
        <v>105646.31638745102</v>
      </c>
      <c r="G236" s="192">
        <v>-0.21868512921784866</v>
      </c>
      <c r="H236" s="203">
        <v>0.21868512921784866</v>
      </c>
      <c r="I236" s="192">
        <v>-45410.911848910298</v>
      </c>
      <c r="K236" s="202">
        <v>-160279.57591323723</v>
      </c>
      <c r="L236" s="202">
        <v>-214109.86523703468</v>
      </c>
      <c r="M236" s="221">
        <v>53830.289323797449</v>
      </c>
      <c r="N236" s="221">
        <v>53830.289323797471</v>
      </c>
      <c r="O236" s="221">
        <v>-207654.32021522179</v>
      </c>
      <c r="Q236" s="204">
        <f t="shared" si="3"/>
        <v>0</v>
      </c>
      <c r="R236" s="204">
        <f>IF(MAX(K237:L237)=K237,1,0)</f>
        <v>1</v>
      </c>
    </row>
    <row r="237" spans="1:18" x14ac:dyDescent="0.3">
      <c r="A237" s="110">
        <v>232</v>
      </c>
      <c r="C237" s="191">
        <v>1.8372630475445111</v>
      </c>
      <c r="D237" s="192">
        <v>141089.51024003798</v>
      </c>
      <c r="E237" s="192">
        <v>1.6773164373172307</v>
      </c>
      <c r="F237" s="192">
        <v>93248.536380992533</v>
      </c>
      <c r="G237" s="192">
        <v>-0.15994661022728041</v>
      </c>
      <c r="H237" s="203">
        <v>0.15994661022728041</v>
      </c>
      <c r="I237" s="192">
        <v>-47840.973859045451</v>
      </c>
      <c r="K237" s="202">
        <v>-157825.21921770592</v>
      </c>
      <c r="L237" s="202">
        <v>-211824.13757050165</v>
      </c>
      <c r="M237" s="221">
        <v>53998.918352795736</v>
      </c>
      <c r="N237" s="221">
        <v>53998.91835279575</v>
      </c>
      <c r="O237" s="221">
        <v>-299105.89409218827</v>
      </c>
      <c r="Q237" s="204">
        <f t="shared" si="3"/>
        <v>0</v>
      </c>
      <c r="R237" s="204">
        <f>IF(MAX(K238:L238)=K238,1,0)</f>
        <v>1</v>
      </c>
    </row>
    <row r="238" spans="1:18" x14ac:dyDescent="0.3">
      <c r="A238" s="110">
        <v>233</v>
      </c>
      <c r="C238" s="191">
        <v>1.1857306561421426</v>
      </c>
      <c r="D238" s="192">
        <v>159823.13648568068</v>
      </c>
      <c r="E238" s="192">
        <v>1.0682457873518101</v>
      </c>
      <c r="F238" s="192">
        <v>128050.84824523985</v>
      </c>
      <c r="G238" s="192">
        <v>-0.11748486879033249</v>
      </c>
      <c r="H238" s="203">
        <v>0.11748486879033249</v>
      </c>
      <c r="I238" s="192">
        <v>-31772.28824044083</v>
      </c>
      <c r="K238" s="202">
        <v>-169178.31105828454</v>
      </c>
      <c r="L238" s="202">
        <v>-205473.76674715316</v>
      </c>
      <c r="M238" s="221">
        <v>36295.45568886862</v>
      </c>
      <c r="N238" s="221">
        <v>36295.455688868635</v>
      </c>
      <c r="O238" s="221">
        <v>-270437.27900945902</v>
      </c>
      <c r="Q238" s="204">
        <f t="shared" si="3"/>
        <v>0</v>
      </c>
      <c r="R238" s="204">
        <f>IF(MAX(K239:L239)=K239,1,0)</f>
        <v>1</v>
      </c>
    </row>
    <row r="239" spans="1:18" x14ac:dyDescent="0.3">
      <c r="A239" s="110">
        <v>234</v>
      </c>
      <c r="C239" s="191">
        <v>1.2440858422142451</v>
      </c>
      <c r="D239" s="192">
        <v>90571.702143482646</v>
      </c>
      <c r="E239" s="192">
        <v>1.1482426532637859</v>
      </c>
      <c r="F239" s="192">
        <v>69755.744895145122</v>
      </c>
      <c r="G239" s="192">
        <v>-9.5843188950459179E-2</v>
      </c>
      <c r="H239" s="203">
        <v>9.5843188950459179E-2</v>
      </c>
      <c r="I239" s="192">
        <v>-20815.957248337523</v>
      </c>
      <c r="K239" s="202">
        <v>-113963.08704580087</v>
      </c>
      <c r="L239" s="202">
        <v>-138469.00706873107</v>
      </c>
      <c r="M239" s="221">
        <v>24505.920022930193</v>
      </c>
      <c r="N239" s="221">
        <v>24505.920022930201</v>
      </c>
      <c r="O239" s="221">
        <v>-217187.65283464408</v>
      </c>
      <c r="Q239" s="204">
        <f t="shared" si="3"/>
        <v>0</v>
      </c>
      <c r="R239" s="204">
        <f>IF(MAX(K240:L240)=K240,1,0)</f>
        <v>1</v>
      </c>
    </row>
    <row r="240" spans="1:18" x14ac:dyDescent="0.3">
      <c r="A240" s="110">
        <v>235</v>
      </c>
      <c r="C240" s="191">
        <v>1.2269998422799169</v>
      </c>
      <c r="D240" s="192">
        <v>116066.59108414905</v>
      </c>
      <c r="E240" s="192">
        <v>1.1474386122013422</v>
      </c>
      <c r="F240" s="192">
        <v>92661.551904080872</v>
      </c>
      <c r="G240" s="192">
        <v>-7.956123007857463E-2</v>
      </c>
      <c r="H240" s="203">
        <v>7.956123007857463E-2</v>
      </c>
      <c r="I240" s="192">
        <v>-23405.039180068183</v>
      </c>
      <c r="K240" s="202">
        <v>-136837.93847383256</v>
      </c>
      <c r="L240" s="202">
        <v>-163306.08501192584</v>
      </c>
      <c r="M240" s="221">
        <v>26468.146538093279</v>
      </c>
      <c r="N240" s="221">
        <v>26468.146538093308</v>
      </c>
      <c r="O240" s="221">
        <v>-294176.43690216175</v>
      </c>
      <c r="Q240" s="204">
        <f t="shared" si="3"/>
        <v>0</v>
      </c>
      <c r="R240" s="204">
        <f>IF(MAX(K241:L241)=K241,1,0)</f>
        <v>1</v>
      </c>
    </row>
    <row r="241" spans="1:18" x14ac:dyDescent="0.3">
      <c r="A241" s="110">
        <v>236</v>
      </c>
      <c r="C241" s="191">
        <v>1.1503078353850666</v>
      </c>
      <c r="D241" s="192">
        <v>122448.12643040862</v>
      </c>
      <c r="E241" s="192">
        <v>1.0452876477684481</v>
      </c>
      <c r="F241" s="192">
        <v>94264.779557529444</v>
      </c>
      <c r="G241" s="192">
        <v>-0.10502018761661858</v>
      </c>
      <c r="H241" s="203">
        <v>0.10502018761661858</v>
      </c>
      <c r="I241" s="192">
        <v>-28183.346872879178</v>
      </c>
      <c r="K241" s="202">
        <v>-134508.35399661469</v>
      </c>
      <c r="L241" s="202">
        <v>-166734.97809273368</v>
      </c>
      <c r="M241" s="221">
        <v>32226.624096118991</v>
      </c>
      <c r="N241" s="221">
        <v>32226.624096118994</v>
      </c>
      <c r="O241" s="221">
        <v>-268361.23142118054</v>
      </c>
      <c r="Q241" s="204">
        <f t="shared" si="3"/>
        <v>0</v>
      </c>
      <c r="R241" s="204">
        <f>IF(MAX(K242:L242)=K242,1,0)</f>
        <v>1</v>
      </c>
    </row>
    <row r="242" spans="1:18" x14ac:dyDescent="0.3">
      <c r="A242" s="110">
        <v>237</v>
      </c>
      <c r="C242" s="191">
        <v>1.3883451693968232</v>
      </c>
      <c r="D242" s="192">
        <v>108788.35882302995</v>
      </c>
      <c r="E242" s="192">
        <v>1.2270177708498695</v>
      </c>
      <c r="F242" s="192">
        <v>76366.145184158537</v>
      </c>
      <c r="G242" s="192">
        <v>-0.16132739854695366</v>
      </c>
      <c r="H242" s="203">
        <v>0.16132739854695366</v>
      </c>
      <c r="I242" s="192">
        <v>-32422.213638871413</v>
      </c>
      <c r="K242" s="202">
        <v>-123606.32936187851</v>
      </c>
      <c r="L242" s="202">
        <v>-162239.64784480765</v>
      </c>
      <c r="M242" s="221">
        <v>38633.318482929142</v>
      </c>
      <c r="N242" s="221">
        <v>38633.318482929128</v>
      </c>
      <c r="O242" s="221">
        <v>-200971.52703689737</v>
      </c>
      <c r="Q242" s="204">
        <f t="shared" si="3"/>
        <v>0</v>
      </c>
      <c r="R242" s="204">
        <f>IF(MAX(K243:L243)=K243,1,0)</f>
        <v>1</v>
      </c>
    </row>
    <row r="243" spans="1:18" x14ac:dyDescent="0.3">
      <c r="A243" s="110">
        <v>238</v>
      </c>
      <c r="C243" s="191">
        <v>2.0196247714083917</v>
      </c>
      <c r="D243" s="192">
        <v>120567.48268254285</v>
      </c>
      <c r="E243" s="192">
        <v>1.8010475190975301</v>
      </c>
      <c r="F243" s="192">
        <v>79257.018979520115</v>
      </c>
      <c r="G243" s="192">
        <v>-0.21857725231086156</v>
      </c>
      <c r="H243" s="203">
        <v>0.21857725231086156</v>
      </c>
      <c r="I243" s="192">
        <v>-41310.463703022731</v>
      </c>
      <c r="K243" s="202">
        <v>-148597.34846477502</v>
      </c>
      <c r="L243" s="202">
        <v>-198323.03638176591</v>
      </c>
      <c r="M243" s="221">
        <v>49725.687916990893</v>
      </c>
      <c r="N243" s="221">
        <v>49725.687916990901</v>
      </c>
      <c r="O243" s="221">
        <v>-188997.08577300076</v>
      </c>
      <c r="Q243" s="204">
        <f t="shared" si="3"/>
        <v>0</v>
      </c>
      <c r="R243" s="204">
        <f>IF(MAX(K244:L244)=K244,1,0)</f>
        <v>1</v>
      </c>
    </row>
    <row r="244" spans="1:18" x14ac:dyDescent="0.3">
      <c r="A244" s="110">
        <v>239</v>
      </c>
      <c r="C244" s="191">
        <v>1.4227345815639221</v>
      </c>
      <c r="D244" s="192">
        <v>117980.25179465552</v>
      </c>
      <c r="E244" s="192">
        <v>1.2513949685202452</v>
      </c>
      <c r="F244" s="192">
        <v>85537.212737035778</v>
      </c>
      <c r="G244" s="192">
        <v>-0.17133961304367684</v>
      </c>
      <c r="H244" s="203">
        <v>0.17133961304367684</v>
      </c>
      <c r="I244" s="192">
        <v>-32443.039057619739</v>
      </c>
      <c r="K244" s="202">
        <v>-133715.9190250652</v>
      </c>
      <c r="L244" s="202">
        <v>-172755.53318486651</v>
      </c>
      <c r="M244" s="221">
        <v>39039.614159801306</v>
      </c>
      <c r="N244" s="221">
        <v>39039.614159801298</v>
      </c>
      <c r="O244" s="221">
        <v>-189349.31905880725</v>
      </c>
      <c r="Q244" s="204">
        <f t="shared" si="3"/>
        <v>0</v>
      </c>
      <c r="R244" s="204">
        <f>IF(MAX(K245:L245)=K245,1,0)</f>
        <v>1</v>
      </c>
    </row>
    <row r="245" spans="1:18" x14ac:dyDescent="0.3">
      <c r="A245" s="110">
        <v>240</v>
      </c>
      <c r="C245" s="191">
        <v>1.2806262779132318</v>
      </c>
      <c r="D245" s="192">
        <v>121005.12423180339</v>
      </c>
      <c r="E245" s="192">
        <v>1.2686278098080048</v>
      </c>
      <c r="F245" s="192">
        <v>89769.891805978245</v>
      </c>
      <c r="G245" s="192">
        <v>-1.1998468105226978E-2</v>
      </c>
      <c r="H245" s="203">
        <v>1.1998468105226978E-2</v>
      </c>
      <c r="I245" s="192">
        <v>-31235.232425825146</v>
      </c>
      <c r="K245" s="202">
        <v>-138612.06248358643</v>
      </c>
      <c r="L245" s="202">
        <v>-170309.23593146281</v>
      </c>
      <c r="M245" s="221">
        <v>31697.173447876383</v>
      </c>
      <c r="N245" s="221">
        <v>31697.173447876386</v>
      </c>
      <c r="O245" s="221">
        <v>-2603268.3632519655</v>
      </c>
      <c r="Q245" s="204">
        <f t="shared" si="3"/>
        <v>0</v>
      </c>
      <c r="R245" s="204">
        <f>IF(MAX(K246:L246)=K246,1,0)</f>
        <v>1</v>
      </c>
    </row>
    <row r="246" spans="1:18" x14ac:dyDescent="0.3">
      <c r="A246" s="110">
        <v>241</v>
      </c>
      <c r="C246" s="191">
        <v>1.6975183701288501</v>
      </c>
      <c r="D246" s="192">
        <v>128571.66104786188</v>
      </c>
      <c r="E246" s="192">
        <v>1.56624303080077</v>
      </c>
      <c r="F246" s="192">
        <v>96747.030652257847</v>
      </c>
      <c r="G246" s="192">
        <v>-0.13127533932808011</v>
      </c>
      <c r="H246" s="203">
        <v>0.13127533932808011</v>
      </c>
      <c r="I246" s="192">
        <v>-31824.630395604036</v>
      </c>
      <c r="K246" s="202">
        <v>-157047.38733808749</v>
      </c>
      <c r="L246" s="202">
        <v>-193926.1182978226</v>
      </c>
      <c r="M246" s="221">
        <v>36878.730959735112</v>
      </c>
      <c r="N246" s="221">
        <v>36878.73095973512</v>
      </c>
      <c r="O246" s="221">
        <v>-242426.57119376169</v>
      </c>
      <c r="Q246" s="204">
        <f t="shared" si="3"/>
        <v>0</v>
      </c>
      <c r="R246" s="204">
        <f>IF(MAX(K247:L247)=K247,1,0)</f>
        <v>1</v>
      </c>
    </row>
    <row r="247" spans="1:18" x14ac:dyDescent="0.3">
      <c r="A247" s="110">
        <v>242</v>
      </c>
      <c r="C247" s="191">
        <v>1.4540607807893824</v>
      </c>
      <c r="D247" s="192">
        <v>105187.58645076246</v>
      </c>
      <c r="E247" s="192">
        <v>1.2510246884582492</v>
      </c>
      <c r="F247" s="192">
        <v>84195.000180994117</v>
      </c>
      <c r="G247" s="192">
        <v>-0.20303609233113318</v>
      </c>
      <c r="H247" s="203">
        <v>0.20303609233113318</v>
      </c>
      <c r="I247" s="192">
        <v>-20992.586269768348</v>
      </c>
      <c r="K247" s="202">
        <v>-132359.4506866367</v>
      </c>
      <c r="L247" s="202">
        <v>-161168.9265111537</v>
      </c>
      <c r="M247" s="221">
        <v>28809.475824516994</v>
      </c>
      <c r="N247" s="221">
        <v>28809.475824516976</v>
      </c>
      <c r="O247" s="221">
        <v>-103393.37222631024</v>
      </c>
      <c r="Q247" s="204">
        <f t="shared" si="3"/>
        <v>0</v>
      </c>
      <c r="R247" s="204">
        <f>IF(MAX(K248:L248)=K248,1,0)</f>
        <v>1</v>
      </c>
    </row>
    <row r="248" spans="1:18" x14ac:dyDescent="0.3">
      <c r="A248" s="110">
        <v>243</v>
      </c>
      <c r="C248" s="191">
        <v>1.2480556449903235</v>
      </c>
      <c r="D248" s="192">
        <v>129272.73804328412</v>
      </c>
      <c r="E248" s="192">
        <v>1.0559061805558763</v>
      </c>
      <c r="F248" s="192">
        <v>102286.39313461544</v>
      </c>
      <c r="G248" s="192">
        <v>-0.19214946443444725</v>
      </c>
      <c r="H248" s="203">
        <v>0.19214946443444725</v>
      </c>
      <c r="I248" s="192">
        <v>-26986.344908668674</v>
      </c>
      <c r="K248" s="202">
        <v>-142938.78108601668</v>
      </c>
      <c r="L248" s="202">
        <v>-177322.88037541157</v>
      </c>
      <c r="M248" s="221">
        <v>34384.099289394886</v>
      </c>
      <c r="N248" s="221">
        <v>34384.099289394893</v>
      </c>
      <c r="O248" s="221">
        <v>-140444.54918517455</v>
      </c>
      <c r="Q248" s="204">
        <f t="shared" si="3"/>
        <v>0</v>
      </c>
      <c r="R248" s="204">
        <f>IF(MAX(K249:L249)=K249,1,0)</f>
        <v>1</v>
      </c>
    </row>
    <row r="249" spans="1:18" x14ac:dyDescent="0.3">
      <c r="A249" s="110">
        <v>244</v>
      </c>
      <c r="C249" s="191">
        <v>1.3848764553665958</v>
      </c>
      <c r="D249" s="192">
        <v>142247.64001092431</v>
      </c>
      <c r="E249" s="192">
        <v>1.1696653017613858</v>
      </c>
      <c r="F249" s="192">
        <v>96070.964188725848</v>
      </c>
      <c r="G249" s="192">
        <v>-0.21521115360520993</v>
      </c>
      <c r="H249" s="203">
        <v>0.21521115360520993</v>
      </c>
      <c r="I249" s="192">
        <v>-46176.675822198464</v>
      </c>
      <c r="K249" s="202">
        <v>-141103.07830653922</v>
      </c>
      <c r="L249" s="202">
        <v>-195565.38354253824</v>
      </c>
      <c r="M249" s="221">
        <v>54462.305235999025</v>
      </c>
      <c r="N249" s="221">
        <v>54462.305235999047</v>
      </c>
      <c r="O249" s="221">
        <v>-214564.51047563457</v>
      </c>
      <c r="Q249" s="204">
        <f t="shared" si="3"/>
        <v>0</v>
      </c>
      <c r="R249" s="204">
        <f>IF(MAX(K250:L250)=K250,1,0)</f>
        <v>1</v>
      </c>
    </row>
    <row r="250" spans="1:18" x14ac:dyDescent="0.3">
      <c r="A250" s="110">
        <v>245</v>
      </c>
      <c r="C250" s="191">
        <v>1.2735413717575317</v>
      </c>
      <c r="D250" s="192">
        <v>124565.59708494994</v>
      </c>
      <c r="E250" s="192">
        <v>1.0804894270107386</v>
      </c>
      <c r="F250" s="192">
        <v>84280.558816445991</v>
      </c>
      <c r="G250" s="192">
        <v>-0.1930519447467931</v>
      </c>
      <c r="H250" s="203">
        <v>0.1930519447467931</v>
      </c>
      <c r="I250" s="192">
        <v>-40285.038268503951</v>
      </c>
      <c r="K250" s="202">
        <v>-125879.40175635942</v>
      </c>
      <c r="L250" s="202">
        <v>-173596.93989761491</v>
      </c>
      <c r="M250" s="221">
        <v>47717.538141255485</v>
      </c>
      <c r="N250" s="221">
        <v>47717.538141255485</v>
      </c>
      <c r="O250" s="221">
        <v>-208674.60476164485</v>
      </c>
      <c r="Q250" s="204">
        <f t="shared" si="3"/>
        <v>0</v>
      </c>
      <c r="R250" s="204">
        <f>IF(MAX(K251:L251)=K251,1,0)</f>
        <v>1</v>
      </c>
    </row>
    <row r="251" spans="1:18" x14ac:dyDescent="0.3">
      <c r="A251" s="110">
        <v>246</v>
      </c>
      <c r="C251" s="191">
        <v>1.0967437048253905</v>
      </c>
      <c r="D251" s="192">
        <v>109175.69225265142</v>
      </c>
      <c r="E251" s="192">
        <v>1.0367507324194851</v>
      </c>
      <c r="F251" s="192">
        <v>87352.90176519104</v>
      </c>
      <c r="G251" s="192">
        <v>-5.9992972405905398E-2</v>
      </c>
      <c r="H251" s="203">
        <v>5.9992972405905398E-2</v>
      </c>
      <c r="I251" s="192">
        <v>-21822.790487460385</v>
      </c>
      <c r="K251" s="202">
        <v>-127267.80496334122</v>
      </c>
      <c r="L251" s="202">
        <v>-151400.32488842896</v>
      </c>
      <c r="M251" s="221">
        <v>24132.519925087749</v>
      </c>
      <c r="N251" s="221">
        <v>24132.519925087741</v>
      </c>
      <c r="O251" s="221">
        <v>-363755.78025722661</v>
      </c>
      <c r="Q251" s="204">
        <f t="shared" si="3"/>
        <v>0</v>
      </c>
      <c r="R251" s="204">
        <f>IF(MAX(K252:L252)=K252,1,0)</f>
        <v>1</v>
      </c>
    </row>
    <row r="252" spans="1:18" x14ac:dyDescent="0.3">
      <c r="A252" s="110">
        <v>247</v>
      </c>
      <c r="C252" s="191">
        <v>1.0128050433886109</v>
      </c>
      <c r="D252" s="192">
        <v>100459.19359451145</v>
      </c>
      <c r="E252" s="192">
        <v>0.90961678672412605</v>
      </c>
      <c r="F252" s="192">
        <v>78581.11654671593</v>
      </c>
      <c r="G252" s="192">
        <v>-0.10318825666448483</v>
      </c>
      <c r="H252" s="203">
        <v>0.10318825666448483</v>
      </c>
      <c r="I252" s="192">
        <v>-21878.077047795523</v>
      </c>
      <c r="K252" s="202">
        <v>-113601.36283559477</v>
      </c>
      <c r="L252" s="202">
        <v>-139452.18776497297</v>
      </c>
      <c r="M252" s="221">
        <v>25850.824929378199</v>
      </c>
      <c r="N252" s="221">
        <v>25850.824929378188</v>
      </c>
      <c r="O252" s="221">
        <v>-212020.99691374556</v>
      </c>
      <c r="Q252" s="204">
        <f t="shared" si="3"/>
        <v>0</v>
      </c>
      <c r="R252" s="204">
        <f>IF(MAX(K253:L253)=K253,1,0)</f>
        <v>1</v>
      </c>
    </row>
    <row r="253" spans="1:18" x14ac:dyDescent="0.3">
      <c r="A253" s="110">
        <v>248</v>
      </c>
      <c r="C253" s="191">
        <v>1.1227989698422371</v>
      </c>
      <c r="D253" s="192">
        <v>116949.6094347157</v>
      </c>
      <c r="E253" s="192">
        <v>0.94261686766695252</v>
      </c>
      <c r="F253" s="192">
        <v>84477.97789677103</v>
      </c>
      <c r="G253" s="192">
        <v>-0.18018210217528463</v>
      </c>
      <c r="H253" s="203">
        <v>0.18018210217528463</v>
      </c>
      <c r="I253" s="192">
        <v>-32471.631537944675</v>
      </c>
      <c r="K253" s="202">
        <v>-120768.7273019487</v>
      </c>
      <c r="L253" s="202">
        <v>-160177.36977364184</v>
      </c>
      <c r="M253" s="221">
        <v>39408.642471693136</v>
      </c>
      <c r="N253" s="221">
        <v>39408.642471693136</v>
      </c>
      <c r="O253" s="221">
        <v>-180215.63266231428</v>
      </c>
      <c r="Q253" s="204">
        <f t="shared" si="3"/>
        <v>0</v>
      </c>
      <c r="R253" s="204">
        <f>IF(MAX(K254:L254)=K254,1,0)</f>
        <v>1</v>
      </c>
    </row>
    <row r="254" spans="1:18" x14ac:dyDescent="0.3">
      <c r="A254" s="110">
        <v>249</v>
      </c>
      <c r="C254" s="191">
        <v>1.3635038988689663</v>
      </c>
      <c r="D254" s="192">
        <v>88461.735409324581</v>
      </c>
      <c r="E254" s="192">
        <v>1.2600508772521892</v>
      </c>
      <c r="F254" s="192">
        <v>62194.03547757944</v>
      </c>
      <c r="G254" s="192">
        <v>-0.10345302161677705</v>
      </c>
      <c r="H254" s="203">
        <v>0.10345302161677705</v>
      </c>
      <c r="I254" s="192">
        <v>-26267.699931745141</v>
      </c>
      <c r="K254" s="202">
        <v>-110705.99425178872</v>
      </c>
      <c r="L254" s="202">
        <v>-140956.63551577978</v>
      </c>
      <c r="M254" s="221">
        <v>30250.641263991056</v>
      </c>
      <c r="N254" s="221">
        <v>30250.641263991056</v>
      </c>
      <c r="O254" s="221">
        <v>-253909.45108446488</v>
      </c>
      <c r="Q254" s="204">
        <f t="shared" si="3"/>
        <v>0</v>
      </c>
      <c r="R254" s="204">
        <f>IF(MAX(K255:L255)=K255,1,0)</f>
        <v>1</v>
      </c>
    </row>
    <row r="255" spans="1:18" x14ac:dyDescent="0.3">
      <c r="A255" s="110">
        <v>250</v>
      </c>
      <c r="C255" s="191">
        <v>1.403466594869796</v>
      </c>
      <c r="D255" s="192">
        <v>142938.44287276306</v>
      </c>
      <c r="E255" s="192">
        <v>1.3149613500955146</v>
      </c>
      <c r="F255" s="192">
        <v>105721.56954519123</v>
      </c>
      <c r="G255" s="192">
        <v>-8.8505244774281344E-2</v>
      </c>
      <c r="H255" s="203">
        <v>8.8505244774281344E-2</v>
      </c>
      <c r="I255" s="192">
        <v>-37216.873327571826</v>
      </c>
      <c r="K255" s="202">
        <v>-156347.58152386855</v>
      </c>
      <c r="L255" s="202">
        <v>-196971.90677525022</v>
      </c>
      <c r="M255" s="221">
        <v>40624.32525138167</v>
      </c>
      <c r="N255" s="221">
        <v>40624.325251381655</v>
      </c>
      <c r="O255" s="221">
        <v>-420504.72175392078</v>
      </c>
      <c r="Q255" s="204">
        <f t="shared" si="3"/>
        <v>0</v>
      </c>
      <c r="R255" s="204">
        <f>IF(MAX(K256:L256)=K256,1,0)</f>
        <v>1</v>
      </c>
    </row>
    <row r="256" spans="1:18" x14ac:dyDescent="0.3">
      <c r="A256" s="110">
        <v>251</v>
      </c>
      <c r="C256" s="191">
        <v>1.3636145837417966</v>
      </c>
      <c r="D256" s="192">
        <v>118669.72969477338</v>
      </c>
      <c r="E256" s="192">
        <v>1.1585015451480905</v>
      </c>
      <c r="F256" s="192">
        <v>79921.409317115147</v>
      </c>
      <c r="G256" s="192">
        <v>-0.20511303859370611</v>
      </c>
      <c r="H256" s="203">
        <v>0.20511303859370611</v>
      </c>
      <c r="I256" s="192">
        <v>-38748.320377658238</v>
      </c>
      <c r="K256" s="202">
        <v>-124523.71880531663</v>
      </c>
      <c r="L256" s="202">
        <v>-171168.89116883255</v>
      </c>
      <c r="M256" s="221">
        <v>46645.172363515914</v>
      </c>
      <c r="N256" s="221">
        <v>46645.172363515921</v>
      </c>
      <c r="O256" s="221">
        <v>-188912.02940253858</v>
      </c>
      <c r="Q256" s="204">
        <f t="shared" si="3"/>
        <v>0</v>
      </c>
      <c r="R256" s="204">
        <f>IF(MAX(K257:L257)=K257,1,0)</f>
        <v>1</v>
      </c>
    </row>
    <row r="257" spans="1:18" x14ac:dyDescent="0.3">
      <c r="A257" s="110">
        <v>252</v>
      </c>
      <c r="C257" s="191">
        <v>1.3729206765592126</v>
      </c>
      <c r="D257" s="192">
        <v>116128.96909061387</v>
      </c>
      <c r="E257" s="192">
        <v>1.1903183048120927</v>
      </c>
      <c r="F257" s="192">
        <v>79992.430790265455</v>
      </c>
      <c r="G257" s="192">
        <v>-0.18260237174711991</v>
      </c>
      <c r="H257" s="203">
        <v>0.18260237174711991</v>
      </c>
      <c r="I257" s="192">
        <v>-36136.538300348417</v>
      </c>
      <c r="K257" s="202">
        <v>-125819.68552553102</v>
      </c>
      <c r="L257" s="202">
        <v>-168986.41513814355</v>
      </c>
      <c r="M257" s="221">
        <v>43166.729612612529</v>
      </c>
      <c r="N257" s="221">
        <v>43166.729612612529</v>
      </c>
      <c r="O257" s="221">
        <v>-197897.420250339</v>
      </c>
      <c r="Q257" s="204">
        <f t="shared" si="3"/>
        <v>0</v>
      </c>
      <c r="R257" s="204">
        <f>IF(MAX(K258:L258)=K258,1,0)</f>
        <v>1</v>
      </c>
    </row>
    <row r="258" spans="1:18" x14ac:dyDescent="0.3">
      <c r="A258" s="110">
        <v>253</v>
      </c>
      <c r="C258" s="191">
        <v>1.4576226786215962</v>
      </c>
      <c r="D258" s="192">
        <v>111675.96203377785</v>
      </c>
      <c r="E258" s="192">
        <v>1.3637946823271672</v>
      </c>
      <c r="F258" s="192">
        <v>86956.833343769162</v>
      </c>
      <c r="G258" s="192">
        <v>-9.3827996294429061E-2</v>
      </c>
      <c r="H258" s="203">
        <v>9.3827996294429061E-2</v>
      </c>
      <c r="I258" s="192">
        <v>-24719.128690008685</v>
      </c>
      <c r="K258" s="202">
        <v>-139462.9286133651</v>
      </c>
      <c r="L258" s="202">
        <v>-167794.43516070931</v>
      </c>
      <c r="M258" s="221">
        <v>28331.506547344208</v>
      </c>
      <c r="N258" s="221">
        <v>28331.506547344205</v>
      </c>
      <c r="O258" s="221">
        <v>-263451.52477135824</v>
      </c>
      <c r="Q258" s="204">
        <f t="shared" si="3"/>
        <v>0</v>
      </c>
      <c r="R258" s="204">
        <f>IF(MAX(K259:L259)=K259,1,0)</f>
        <v>1</v>
      </c>
    </row>
    <row r="259" spans="1:18" x14ac:dyDescent="0.3">
      <c r="A259" s="110">
        <v>254</v>
      </c>
      <c r="C259" s="191">
        <v>1.4186599986428847</v>
      </c>
      <c r="D259" s="192">
        <v>131350.40164133016</v>
      </c>
      <c r="E259" s="192">
        <v>1.1978707527534107</v>
      </c>
      <c r="F259" s="192">
        <v>93570.147811574512</v>
      </c>
      <c r="G259" s="192">
        <v>-0.22078924588947402</v>
      </c>
      <c r="H259" s="203">
        <v>0.22078924588947402</v>
      </c>
      <c r="I259" s="192">
        <v>-37780.253829755646</v>
      </c>
      <c r="K259" s="202">
        <v>-139688.17179258083</v>
      </c>
      <c r="L259" s="202">
        <v>-185968.81158908122</v>
      </c>
      <c r="M259" s="221">
        <v>46280.639796500385</v>
      </c>
      <c r="N259" s="221">
        <v>46280.6397965004</v>
      </c>
      <c r="O259" s="221">
        <v>-171114.55622557021</v>
      </c>
      <c r="Q259" s="204">
        <f t="shared" si="3"/>
        <v>0</v>
      </c>
      <c r="R259" s="204">
        <f>IF(MAX(K260:L260)=K260,1,0)</f>
        <v>1</v>
      </c>
    </row>
    <row r="260" spans="1:18" x14ac:dyDescent="0.3">
      <c r="A260" s="110">
        <v>255</v>
      </c>
      <c r="C260" s="191">
        <v>1.1160500592491704</v>
      </c>
      <c r="D260" s="192">
        <v>138308.99065988313</v>
      </c>
      <c r="E260" s="192">
        <v>0.99821664016996137</v>
      </c>
      <c r="F260" s="192">
        <v>106385.59083854334</v>
      </c>
      <c r="G260" s="192">
        <v>-0.11783341907920908</v>
      </c>
      <c r="H260" s="203">
        <v>0.11783341907920908</v>
      </c>
      <c r="I260" s="192">
        <v>-31923.399821339786</v>
      </c>
      <c r="K260" s="202">
        <v>-144816.93148508685</v>
      </c>
      <c r="L260" s="202">
        <v>-181276.91794097619</v>
      </c>
      <c r="M260" s="221">
        <v>36459.986455889331</v>
      </c>
      <c r="N260" s="221">
        <v>36459.986455889339</v>
      </c>
      <c r="O260" s="221">
        <v>-270919.74476171721</v>
      </c>
      <c r="Q260" s="204">
        <f t="shared" si="3"/>
        <v>0</v>
      </c>
      <c r="R260" s="204">
        <f>IF(MAX(K261:L261)=K261,1,0)</f>
        <v>1</v>
      </c>
    </row>
    <row r="261" spans="1:18" x14ac:dyDescent="0.3">
      <c r="A261" s="110">
        <v>256</v>
      </c>
      <c r="C261" s="191">
        <v>1.1832191279597915</v>
      </c>
      <c r="D261" s="192">
        <v>132632.5227734918</v>
      </c>
      <c r="E261" s="192">
        <v>0.98223354047316669</v>
      </c>
      <c r="F261" s="192">
        <v>86202.598506073511</v>
      </c>
      <c r="G261" s="192">
        <v>-0.20098558748662476</v>
      </c>
      <c r="H261" s="203">
        <v>0.20098558748662476</v>
      </c>
      <c r="I261" s="192">
        <v>-46429.92426741829</v>
      </c>
      <c r="K261" s="202">
        <v>-124018.58981429043</v>
      </c>
      <c r="L261" s="202">
        <v>-178186.45919994375</v>
      </c>
      <c r="M261" s="221">
        <v>54167.869385653321</v>
      </c>
      <c r="N261" s="221">
        <v>54167.869385653343</v>
      </c>
      <c r="O261" s="221">
        <v>-231011.21253536709</v>
      </c>
      <c r="Q261" s="204">
        <f t="shared" si="3"/>
        <v>0</v>
      </c>
      <c r="R261" s="204">
        <f>IF(MAX(K262:L262)=K262,1,0)</f>
        <v>1</v>
      </c>
    </row>
    <row r="262" spans="1:18" x14ac:dyDescent="0.3">
      <c r="A262" s="110">
        <v>257</v>
      </c>
      <c r="C262" s="191">
        <v>1.5807027434842769</v>
      </c>
      <c r="D262" s="192">
        <v>137943.12737268439</v>
      </c>
      <c r="E262" s="192">
        <v>1.4814227491973786</v>
      </c>
      <c r="F262" s="192">
        <v>103406.2234842196</v>
      </c>
      <c r="G262" s="192">
        <v>-9.9279994286898265E-2</v>
      </c>
      <c r="H262" s="203">
        <v>9.9279994286898265E-2</v>
      </c>
      <c r="I262" s="192">
        <v>-34536.903888464789</v>
      </c>
      <c r="K262" s="202">
        <v>-160440.99932831869</v>
      </c>
      <c r="L262" s="202">
        <v>-198800.18299682904</v>
      </c>
      <c r="M262" s="221">
        <v>38359.183668510348</v>
      </c>
      <c r="N262" s="221">
        <v>38359.18366851037</v>
      </c>
      <c r="O262" s="221">
        <v>-347873.74975728156</v>
      </c>
      <c r="Q262" s="204">
        <f t="shared" si="3"/>
        <v>0</v>
      </c>
      <c r="R262" s="204">
        <f>IF(MAX(K263:L263)=K263,1,0)</f>
        <v>1</v>
      </c>
    </row>
    <row r="263" spans="1:18" x14ac:dyDescent="0.3">
      <c r="A263" s="110">
        <v>258</v>
      </c>
      <c r="C263" s="191">
        <v>1.4417788431289811</v>
      </c>
      <c r="D263" s="192">
        <v>113194.88071697345</v>
      </c>
      <c r="E263" s="192">
        <v>1.2596012389837588</v>
      </c>
      <c r="F263" s="192">
        <v>85452.974500581666</v>
      </c>
      <c r="G263" s="192">
        <v>-0.18217760414522233</v>
      </c>
      <c r="H263" s="203">
        <v>0.18217760414522233</v>
      </c>
      <c r="I263" s="192">
        <v>-27741.906216391784</v>
      </c>
      <c r="K263" s="202">
        <v>-133947.62220145637</v>
      </c>
      <c r="L263" s="202">
        <v>-168703.36617743922</v>
      </c>
      <c r="M263" s="221">
        <v>34755.743975982856</v>
      </c>
      <c r="N263" s="221">
        <v>34755.743975982841</v>
      </c>
      <c r="O263" s="221">
        <v>-152279.45469234191</v>
      </c>
      <c r="Q263" s="204">
        <f t="shared" ref="Q263:Q326" si="4">IF(MAX(K263:L263)=L263,1,0)</f>
        <v>0</v>
      </c>
      <c r="R263" s="204">
        <f>IF(MAX(K264:L264)=K264,1,0)</f>
        <v>1</v>
      </c>
    </row>
    <row r="264" spans="1:18" x14ac:dyDescent="0.3">
      <c r="A264" s="110">
        <v>259</v>
      </c>
      <c r="C264" s="191">
        <v>1.0236351643091735</v>
      </c>
      <c r="D264" s="192">
        <v>114475.43232283366</v>
      </c>
      <c r="E264" s="192">
        <v>0.83367496973301225</v>
      </c>
      <c r="F264" s="192">
        <v>84230.191671675304</v>
      </c>
      <c r="G264" s="192">
        <v>-0.1899601945761612</v>
      </c>
      <c r="H264" s="203">
        <v>0.1899601945761612</v>
      </c>
      <c r="I264" s="192">
        <v>-30245.240651158354</v>
      </c>
      <c r="K264" s="202">
        <v>-116326.67800639628</v>
      </c>
      <c r="L264" s="202">
        <v>-153885.38614873684</v>
      </c>
      <c r="M264" s="221">
        <v>37558.708142340562</v>
      </c>
      <c r="N264" s="221">
        <v>37558.708142340562</v>
      </c>
      <c r="O264" s="221">
        <v>-159218.83381221772</v>
      </c>
      <c r="Q264" s="204">
        <f t="shared" si="4"/>
        <v>0</v>
      </c>
      <c r="R264" s="204">
        <f>IF(MAX(K265:L265)=K265,1,0)</f>
        <v>1</v>
      </c>
    </row>
    <row r="265" spans="1:18" x14ac:dyDescent="0.3">
      <c r="A265" s="110">
        <v>260</v>
      </c>
      <c r="C265" s="191">
        <v>1.1771016120445696</v>
      </c>
      <c r="D265" s="192">
        <v>100721.7928697139</v>
      </c>
      <c r="E265" s="192">
        <v>1.0737075641265277</v>
      </c>
      <c r="F265" s="192">
        <v>71583.364049171447</v>
      </c>
      <c r="G265" s="192">
        <v>-0.10339404791804196</v>
      </c>
      <c r="H265" s="203">
        <v>0.10339404791804196</v>
      </c>
      <c r="I265" s="192">
        <v>-29138.428820542453</v>
      </c>
      <c r="K265" s="202">
        <v>-112921.10526804277</v>
      </c>
      <c r="L265" s="202">
        <v>-146040.20493342984</v>
      </c>
      <c r="M265" s="221">
        <v>33119.099665387068</v>
      </c>
      <c r="N265" s="221">
        <v>33119.099665387068</v>
      </c>
      <c r="O265" s="221">
        <v>-281819.20920283342</v>
      </c>
      <c r="Q265" s="204">
        <f t="shared" si="4"/>
        <v>0</v>
      </c>
      <c r="R265" s="204">
        <f>IF(MAX(K266:L266)=K266,1,0)</f>
        <v>1</v>
      </c>
    </row>
    <row r="266" spans="1:18" x14ac:dyDescent="0.3">
      <c r="A266" s="110">
        <v>261</v>
      </c>
      <c r="C266" s="191">
        <v>1.2715437340436166</v>
      </c>
      <c r="D266" s="192">
        <v>105699.97942559134</v>
      </c>
      <c r="E266" s="192">
        <v>1.1549464866886472</v>
      </c>
      <c r="F266" s="192">
        <v>75139.102566265414</v>
      </c>
      <c r="G266" s="192">
        <v>-0.11659724735496946</v>
      </c>
      <c r="H266" s="203">
        <v>0.11659724735496946</v>
      </c>
      <c r="I266" s="192">
        <v>-30560.87685932593</v>
      </c>
      <c r="K266" s="202">
        <v>-119604.54230377833</v>
      </c>
      <c r="L266" s="202">
        <v>-154654.41318627057</v>
      </c>
      <c r="M266" s="221">
        <v>35049.870882492236</v>
      </c>
      <c r="N266" s="221">
        <v>35049.870882492251</v>
      </c>
      <c r="O266" s="221">
        <v>-262106.33229004272</v>
      </c>
      <c r="Q266" s="204">
        <f t="shared" si="4"/>
        <v>0</v>
      </c>
      <c r="R266" s="204">
        <f>IF(MAX(K267:L267)=K267,1,0)</f>
        <v>1</v>
      </c>
    </row>
    <row r="267" spans="1:18" x14ac:dyDescent="0.3">
      <c r="A267" s="110">
        <v>262</v>
      </c>
      <c r="C267" s="191">
        <v>1.0586503045741043</v>
      </c>
      <c r="D267" s="192">
        <v>113673.28285828613</v>
      </c>
      <c r="E267" s="192">
        <v>1.1462260069698165</v>
      </c>
      <c r="F267" s="192">
        <v>101253.64805802023</v>
      </c>
      <c r="G267" s="192">
        <v>8.7575702395712218E-2</v>
      </c>
      <c r="H267" s="203">
        <v>-8.7575702395712218E-2</v>
      </c>
      <c r="I267" s="192">
        <v>-12419.634800265892</v>
      </c>
      <c r="K267" s="202">
        <v>-145383.34932635818</v>
      </c>
      <c r="L267" s="202">
        <v>-154431.31958438913</v>
      </c>
      <c r="M267" s="221">
        <v>9047.9702580309531</v>
      </c>
      <c r="N267" s="221">
        <v>9047.9702580309713</v>
      </c>
      <c r="O267" s="221">
        <v>141815.98845930546</v>
      </c>
      <c r="Q267" s="204">
        <f t="shared" si="4"/>
        <v>0</v>
      </c>
      <c r="R267" s="204">
        <f>IF(MAX(K268:L268)=K268,1,0)</f>
        <v>1</v>
      </c>
    </row>
    <row r="268" spans="1:18" x14ac:dyDescent="0.3">
      <c r="A268" s="110">
        <v>263</v>
      </c>
      <c r="C268" s="191">
        <v>1.5536216856208234</v>
      </c>
      <c r="D268" s="192">
        <v>131426.92236007593</v>
      </c>
      <c r="E268" s="192">
        <v>1.3881881715204292</v>
      </c>
      <c r="F268" s="192">
        <v>91973.441808470685</v>
      </c>
      <c r="G268" s="192">
        <v>-0.1654335141003942</v>
      </c>
      <c r="H268" s="203">
        <v>0.1654335141003942</v>
      </c>
      <c r="I268" s="192">
        <v>-39453.480551605244</v>
      </c>
      <c r="K268" s="202">
        <v>-145418.6864120072</v>
      </c>
      <c r="L268" s="202">
        <v>-191241.35725647764</v>
      </c>
      <c r="M268" s="221">
        <v>45822.670844470442</v>
      </c>
      <c r="N268" s="221">
        <v>45822.67084447042</v>
      </c>
      <c r="O268" s="221">
        <v>-238485.41673159823</v>
      </c>
      <c r="Q268" s="204">
        <f t="shared" si="4"/>
        <v>0</v>
      </c>
      <c r="R268" s="204">
        <f>IF(MAX(K269:L269)=K269,1,0)</f>
        <v>1</v>
      </c>
    </row>
    <row r="269" spans="1:18" x14ac:dyDescent="0.3">
      <c r="A269" s="110">
        <v>264</v>
      </c>
      <c r="C269" s="191">
        <v>1.4576154437995565</v>
      </c>
      <c r="D269" s="192">
        <v>86247.506872920378</v>
      </c>
      <c r="E269" s="192">
        <v>1.3609775543404341</v>
      </c>
      <c r="F269" s="192">
        <v>64330.242499476532</v>
      </c>
      <c r="G269" s="192">
        <v>-9.6637889459122439E-2</v>
      </c>
      <c r="H269" s="203">
        <v>9.6637889459122439E-2</v>
      </c>
      <c r="I269" s="192">
        <v>-21917.264373443846</v>
      </c>
      <c r="K269" s="202">
        <v>-116727.87834158324</v>
      </c>
      <c r="L269" s="202">
        <v>-142365.70145920329</v>
      </c>
      <c r="M269" s="221">
        <v>25637.82311762005</v>
      </c>
      <c r="N269" s="221">
        <v>25637.823117620061</v>
      </c>
      <c r="O269" s="221">
        <v>-226797.83774370185</v>
      </c>
      <c r="Q269" s="204">
        <f t="shared" si="4"/>
        <v>0</v>
      </c>
      <c r="R269" s="204">
        <f>IF(MAX(K270:L270)=K270,1,0)</f>
        <v>1</v>
      </c>
    </row>
    <row r="270" spans="1:18" x14ac:dyDescent="0.3">
      <c r="A270" s="110">
        <v>265</v>
      </c>
      <c r="C270" s="191">
        <v>1.4753235079654985</v>
      </c>
      <c r="D270" s="192">
        <v>168688.58681392545</v>
      </c>
      <c r="E270" s="192">
        <v>1.2647731813246388</v>
      </c>
      <c r="F270" s="192">
        <v>115493.05641446449</v>
      </c>
      <c r="G270" s="192">
        <v>-0.21055032664085971</v>
      </c>
      <c r="H270" s="203">
        <v>0.21055032664085971</v>
      </c>
      <c r="I270" s="192">
        <v>-53195.530399460957</v>
      </c>
      <c r="K270" s="202">
        <v>-164186.82389546308</v>
      </c>
      <c r="L270" s="202">
        <v>-225488.54187059714</v>
      </c>
      <c r="M270" s="221">
        <v>61301.717975134059</v>
      </c>
      <c r="N270" s="221">
        <v>61301.717975134059</v>
      </c>
      <c r="O270" s="221">
        <v>-252649.95428004125</v>
      </c>
      <c r="Q270" s="204">
        <f t="shared" si="4"/>
        <v>0</v>
      </c>
      <c r="R270" s="204">
        <f>IF(MAX(K271:L271)=K271,1,0)</f>
        <v>1</v>
      </c>
    </row>
    <row r="271" spans="1:18" x14ac:dyDescent="0.3">
      <c r="A271" s="110">
        <v>266</v>
      </c>
      <c r="C271" s="191">
        <v>1.3506194353791585</v>
      </c>
      <c r="D271" s="192">
        <v>133440.80253887034</v>
      </c>
      <c r="E271" s="192">
        <v>1.1823916312794824</v>
      </c>
      <c r="F271" s="192">
        <v>93774.949059949053</v>
      </c>
      <c r="G271" s="192">
        <v>-0.16822780409967608</v>
      </c>
      <c r="H271" s="203">
        <v>0.16822780409967608</v>
      </c>
      <c r="I271" s="192">
        <v>-39665.853478921286</v>
      </c>
      <c r="K271" s="202">
        <v>-139297.02686420913</v>
      </c>
      <c r="L271" s="202">
        <v>-185439.65080096794</v>
      </c>
      <c r="M271" s="221">
        <v>46142.623936758813</v>
      </c>
      <c r="N271" s="221">
        <v>46142.623936758813</v>
      </c>
      <c r="O271" s="221">
        <v>-235786.54962065016</v>
      </c>
      <c r="Q271" s="204">
        <f t="shared" si="4"/>
        <v>0</v>
      </c>
      <c r="R271" s="204">
        <f>IF(MAX(K272:L272)=K272,1,0)</f>
        <v>1</v>
      </c>
    </row>
    <row r="272" spans="1:18" x14ac:dyDescent="0.3">
      <c r="A272" s="110">
        <v>267</v>
      </c>
      <c r="C272" s="191">
        <v>1.2036900836590465</v>
      </c>
      <c r="D272" s="192">
        <v>121495.61159098803</v>
      </c>
      <c r="E272" s="192">
        <v>1.1499870460360324</v>
      </c>
      <c r="F272" s="192">
        <v>92321.56480854431</v>
      </c>
      <c r="G272" s="192">
        <v>-5.3703037623014094E-2</v>
      </c>
      <c r="H272" s="203">
        <v>5.3703037623014094E-2</v>
      </c>
      <c r="I272" s="192">
        <v>-29174.046782443722</v>
      </c>
      <c r="K272" s="202">
        <v>-136596.06608093157</v>
      </c>
      <c r="L272" s="202">
        <v>-167837.67981186131</v>
      </c>
      <c r="M272" s="221">
        <v>31241.613730929734</v>
      </c>
      <c r="N272" s="221">
        <v>31241.613730929763</v>
      </c>
      <c r="O272" s="221">
        <v>-543247.60895725142</v>
      </c>
      <c r="Q272" s="204">
        <f t="shared" si="4"/>
        <v>0</v>
      </c>
      <c r="R272" s="204">
        <f>IF(MAX(K273:L273)=K273,1,0)</f>
        <v>1</v>
      </c>
    </row>
    <row r="273" spans="1:18" x14ac:dyDescent="0.3">
      <c r="A273" s="110">
        <v>268</v>
      </c>
      <c r="C273" s="191">
        <v>1.3948950883403568</v>
      </c>
      <c r="D273" s="192">
        <v>141617.65954852698</v>
      </c>
      <c r="E273" s="192">
        <v>1.2578795148860338</v>
      </c>
      <c r="F273" s="192">
        <v>92089.276957069451</v>
      </c>
      <c r="G273" s="192">
        <v>-0.13701557345432303</v>
      </c>
      <c r="H273" s="203">
        <v>0.13701557345432303</v>
      </c>
      <c r="I273" s="192">
        <v>-49528.382591457528</v>
      </c>
      <c r="K273" s="202">
        <v>-140517.63828018174</v>
      </c>
      <c r="L273" s="202">
        <v>-195321.12044963072</v>
      </c>
      <c r="M273" s="221">
        <v>54803.48216944898</v>
      </c>
      <c r="N273" s="221">
        <v>54803.482169448966</v>
      </c>
      <c r="O273" s="221">
        <v>-361479.94963484089</v>
      </c>
      <c r="Q273" s="204">
        <f t="shared" si="4"/>
        <v>0</v>
      </c>
      <c r="R273" s="204">
        <f>IF(MAX(K274:L274)=K274,1,0)</f>
        <v>1</v>
      </c>
    </row>
    <row r="274" spans="1:18" x14ac:dyDescent="0.3">
      <c r="A274" s="110">
        <v>269</v>
      </c>
      <c r="C274" s="191">
        <v>1.1515598611666245</v>
      </c>
      <c r="D274" s="192">
        <v>59946.245393734025</v>
      </c>
      <c r="E274" s="192">
        <v>1.103775509850331</v>
      </c>
      <c r="F274" s="192">
        <v>50151.327708782956</v>
      </c>
      <c r="G274" s="192">
        <v>-4.7784351316293439E-2</v>
      </c>
      <c r="H274" s="203">
        <v>4.7784351316293439E-2</v>
      </c>
      <c r="I274" s="192">
        <v>-9794.9176849510695</v>
      </c>
      <c r="K274" s="202">
        <v>-92646.684838020708</v>
      </c>
      <c r="L274" s="202">
        <v>-104281.30004864906</v>
      </c>
      <c r="M274" s="221">
        <v>11634.615210628355</v>
      </c>
      <c r="N274" s="221">
        <v>11634.615210628366</v>
      </c>
      <c r="O274" s="221">
        <v>-204981.70248491399</v>
      </c>
      <c r="Q274" s="204">
        <f t="shared" si="4"/>
        <v>0</v>
      </c>
      <c r="R274" s="204">
        <f>IF(MAX(K275:L275)=K275,1,0)</f>
        <v>1</v>
      </c>
    </row>
    <row r="275" spans="1:18" x14ac:dyDescent="0.3">
      <c r="A275" s="110">
        <v>270</v>
      </c>
      <c r="C275" s="191">
        <v>1.1505134600241624</v>
      </c>
      <c r="D275" s="192">
        <v>121884.45983939317</v>
      </c>
      <c r="E275" s="192">
        <v>1.0087967727611851</v>
      </c>
      <c r="F275" s="192">
        <v>92680.226462771534</v>
      </c>
      <c r="G275" s="192">
        <v>-0.14171668726297737</v>
      </c>
      <c r="H275" s="203">
        <v>0.14171668726297737</v>
      </c>
      <c r="I275" s="192">
        <v>-29204.233376621632</v>
      </c>
      <c r="K275" s="202">
        <v>-131518.90221407716</v>
      </c>
      <c r="L275" s="202">
        <v>-166179.22805032344</v>
      </c>
      <c r="M275" s="221">
        <v>34660.32583624628</v>
      </c>
      <c r="N275" s="221">
        <v>34660.325836246258</v>
      </c>
      <c r="O275" s="221">
        <v>-206074.76748612273</v>
      </c>
      <c r="Q275" s="204">
        <f t="shared" si="4"/>
        <v>0</v>
      </c>
      <c r="R275" s="204">
        <f>IF(MAX(K276:L276)=K276,1,0)</f>
        <v>1</v>
      </c>
    </row>
    <row r="276" spans="1:18" x14ac:dyDescent="0.3">
      <c r="A276" s="110">
        <v>271</v>
      </c>
      <c r="C276" s="191">
        <v>1.2673604059998087</v>
      </c>
      <c r="D276" s="192">
        <v>124091.94811878406</v>
      </c>
      <c r="E276" s="192">
        <v>1.1162915660277297</v>
      </c>
      <c r="F276" s="192">
        <v>84858.961875155917</v>
      </c>
      <c r="G276" s="192">
        <v>-0.15106883997207898</v>
      </c>
      <c r="H276" s="203">
        <v>0.15106883997207898</v>
      </c>
      <c r="I276" s="192">
        <v>-39232.98624362814</v>
      </c>
      <c r="K276" s="202">
        <v>-127836.18716722351</v>
      </c>
      <c r="L276" s="202">
        <v>-172885.3237497767</v>
      </c>
      <c r="M276" s="221">
        <v>45049.136582553183</v>
      </c>
      <c r="N276" s="221">
        <v>45049.136582553183</v>
      </c>
      <c r="O276" s="221">
        <v>-259702.70408430556</v>
      </c>
      <c r="Q276" s="204">
        <f t="shared" si="4"/>
        <v>0</v>
      </c>
      <c r="R276" s="204">
        <f>IF(MAX(K277:L277)=K277,1,0)</f>
        <v>1</v>
      </c>
    </row>
    <row r="277" spans="1:18" x14ac:dyDescent="0.3">
      <c r="A277" s="110">
        <v>272</v>
      </c>
      <c r="C277" s="191">
        <v>1.1142943846915994</v>
      </c>
      <c r="D277" s="192">
        <v>122002.58020218156</v>
      </c>
      <c r="E277" s="192">
        <v>1.0270591813976091</v>
      </c>
      <c r="F277" s="192">
        <v>94683.583928327425</v>
      </c>
      <c r="G277" s="192">
        <v>-8.723520329399026E-2</v>
      </c>
      <c r="H277" s="203">
        <v>8.723520329399026E-2</v>
      </c>
      <c r="I277" s="192">
        <v>-27318.996273854136</v>
      </c>
      <c r="K277" s="202">
        <v>-134225.36241213538</v>
      </c>
      <c r="L277" s="202">
        <v>-164902.91401280812</v>
      </c>
      <c r="M277" s="221">
        <v>30677.551600672741</v>
      </c>
      <c r="N277" s="221">
        <v>30677.551600672763</v>
      </c>
      <c r="O277" s="221">
        <v>-313164.81468824839</v>
      </c>
      <c r="Q277" s="204">
        <f t="shared" si="4"/>
        <v>0</v>
      </c>
      <c r="R277" s="204">
        <f>IF(MAX(K278:L278)=K278,1,0)</f>
        <v>1</v>
      </c>
    </row>
    <row r="278" spans="1:18" x14ac:dyDescent="0.3">
      <c r="A278" s="110">
        <v>273</v>
      </c>
      <c r="C278" s="191">
        <v>1.2696964772081165</v>
      </c>
      <c r="D278" s="192">
        <v>104387.60326125519</v>
      </c>
      <c r="E278" s="192">
        <v>1.1095180711452179</v>
      </c>
      <c r="F278" s="192">
        <v>75343.217340315168</v>
      </c>
      <c r="G278" s="192">
        <v>-0.16017840606289857</v>
      </c>
      <c r="H278" s="203">
        <v>0.16017840606289857</v>
      </c>
      <c r="I278" s="192">
        <v>-29044.385920940025</v>
      </c>
      <c r="K278" s="202">
        <v>-118059.66307940606</v>
      </c>
      <c r="L278" s="202">
        <v>-153270.91763376768</v>
      </c>
      <c r="M278" s="221">
        <v>35211.254554361614</v>
      </c>
      <c r="N278" s="221">
        <v>35211.254554361622</v>
      </c>
      <c r="O278" s="221">
        <v>-181325.22750622782</v>
      </c>
      <c r="Q278" s="204">
        <f t="shared" si="4"/>
        <v>0</v>
      </c>
      <c r="R278" s="204">
        <f>IF(MAX(K279:L279)=K279,1,0)</f>
        <v>1</v>
      </c>
    </row>
    <row r="279" spans="1:18" x14ac:dyDescent="0.3">
      <c r="A279" s="110">
        <v>274</v>
      </c>
      <c r="C279" s="191">
        <v>1.2429340843464243</v>
      </c>
      <c r="D279" s="192">
        <v>150369.40479337727</v>
      </c>
      <c r="E279" s="192">
        <v>1.1289582921888002</v>
      </c>
      <c r="F279" s="192">
        <v>115293.94373231569</v>
      </c>
      <c r="G279" s="192">
        <v>-0.1139757921576241</v>
      </c>
      <c r="H279" s="203">
        <v>0.1139757921576241</v>
      </c>
      <c r="I279" s="192">
        <v>-35075.461061061578</v>
      </c>
      <c r="K279" s="202">
        <v>-158758.83798158448</v>
      </c>
      <c r="L279" s="202">
        <v>-198222.3670407146</v>
      </c>
      <c r="M279" s="221">
        <v>39463.529059130116</v>
      </c>
      <c r="N279" s="221">
        <v>39463.529059130109</v>
      </c>
      <c r="O279" s="221">
        <v>-307744.83245138207</v>
      </c>
      <c r="Q279" s="204">
        <f t="shared" si="4"/>
        <v>0</v>
      </c>
      <c r="R279" s="204">
        <f>IF(MAX(K280:L280)=K280,1,0)</f>
        <v>1</v>
      </c>
    </row>
    <row r="280" spans="1:18" x14ac:dyDescent="0.3">
      <c r="A280" s="110">
        <v>275</v>
      </c>
      <c r="C280" s="191">
        <v>1.7176040166599584</v>
      </c>
      <c r="D280" s="192">
        <v>141401.48265764586</v>
      </c>
      <c r="E280" s="192">
        <v>1.5255906316632959</v>
      </c>
      <c r="F280" s="192">
        <v>100811.26560531283</v>
      </c>
      <c r="G280" s="192">
        <v>-0.19201338499666254</v>
      </c>
      <c r="H280" s="203">
        <v>0.19201338499666254</v>
      </c>
      <c r="I280" s="192">
        <v>-40590.217052333028</v>
      </c>
      <c r="K280" s="202">
        <v>-159546.50492434972</v>
      </c>
      <c r="L280" s="202">
        <v>-207529.23729905428</v>
      </c>
      <c r="M280" s="221">
        <v>47982.732374704559</v>
      </c>
      <c r="N280" s="221">
        <v>47982.732374704538</v>
      </c>
      <c r="O280" s="221">
        <v>-211392.64355471128</v>
      </c>
      <c r="Q280" s="204">
        <f t="shared" si="4"/>
        <v>0</v>
      </c>
      <c r="R280" s="204">
        <f>IF(MAX(K281:L281)=K281,1,0)</f>
        <v>1</v>
      </c>
    </row>
    <row r="281" spans="1:18" x14ac:dyDescent="0.3">
      <c r="A281" s="110">
        <v>276</v>
      </c>
      <c r="C281" s="191">
        <v>1.0227227432917201</v>
      </c>
      <c r="D281" s="192">
        <v>93516.330172850037</v>
      </c>
      <c r="E281" s="192">
        <v>1.0587400525991795</v>
      </c>
      <c r="F281" s="192">
        <v>78407.291387260324</v>
      </c>
      <c r="G281" s="192">
        <v>3.6017309307459389E-2</v>
      </c>
      <c r="H281" s="203">
        <v>-3.6017309307459389E-2</v>
      </c>
      <c r="I281" s="192">
        <v>-15109.038785589713</v>
      </c>
      <c r="K281" s="202">
        <v>-119168.78341232873</v>
      </c>
      <c r="L281" s="202">
        <v>-132891.15578958124</v>
      </c>
      <c r="M281" s="221">
        <v>13722.372377252512</v>
      </c>
      <c r="N281" s="221">
        <v>13722.372377252526</v>
      </c>
      <c r="O281" s="221">
        <v>419493.82327847974</v>
      </c>
      <c r="Q281" s="204">
        <f t="shared" si="4"/>
        <v>0</v>
      </c>
      <c r="R281" s="204">
        <f>IF(MAX(K282:L282)=K282,1,0)</f>
        <v>1</v>
      </c>
    </row>
    <row r="282" spans="1:18" x14ac:dyDescent="0.3">
      <c r="A282" s="110">
        <v>277</v>
      </c>
      <c r="C282" s="191">
        <v>1.2400253268377175</v>
      </c>
      <c r="D282" s="192">
        <v>122352.79336676639</v>
      </c>
      <c r="E282" s="192">
        <v>1.0760328806405004</v>
      </c>
      <c r="F282" s="192">
        <v>85064.652998271529</v>
      </c>
      <c r="G282" s="192">
        <v>-0.16399244619721709</v>
      </c>
      <c r="H282" s="203">
        <v>0.16399244619721709</v>
      </c>
      <c r="I282" s="192">
        <v>-37288.14036849486</v>
      </c>
      <c r="K282" s="202">
        <v>-126491.9189029308</v>
      </c>
      <c r="L282" s="202">
        <v>-170093.76845001851</v>
      </c>
      <c r="M282" s="221">
        <v>43601.84954708771</v>
      </c>
      <c r="N282" s="221">
        <v>43601.849547087717</v>
      </c>
      <c r="O282" s="221">
        <v>-227377.18250541974</v>
      </c>
      <c r="Q282" s="204">
        <f t="shared" si="4"/>
        <v>0</v>
      </c>
      <c r="R282" s="204">
        <f>IF(MAX(K283:L283)=K283,1,0)</f>
        <v>1</v>
      </c>
    </row>
    <row r="283" spans="1:18" x14ac:dyDescent="0.3">
      <c r="A283" s="110">
        <v>278</v>
      </c>
      <c r="C283" s="191">
        <v>1.6888072766646982</v>
      </c>
      <c r="D283" s="192">
        <v>111888.88848587916</v>
      </c>
      <c r="E283" s="192">
        <v>1.467768382090896</v>
      </c>
      <c r="F283" s="192">
        <v>74204.454649876949</v>
      </c>
      <c r="G283" s="192">
        <v>-0.22103889457380221</v>
      </c>
      <c r="H283" s="203">
        <v>0.22103889457380221</v>
      </c>
      <c r="I283" s="192">
        <v>-37684.433836002208</v>
      </c>
      <c r="K283" s="202">
        <v>-130713.53736037645</v>
      </c>
      <c r="L283" s="202">
        <v>-176907.96863747004</v>
      </c>
      <c r="M283" s="221">
        <v>46194.431277093594</v>
      </c>
      <c r="N283" s="221">
        <v>46194.431277093594</v>
      </c>
      <c r="O283" s="221">
        <v>-170487.7954111367</v>
      </c>
      <c r="Q283" s="204">
        <f t="shared" si="4"/>
        <v>0</v>
      </c>
      <c r="R283" s="204">
        <f>IF(MAX(K284:L284)=K284,1,0)</f>
        <v>1</v>
      </c>
    </row>
    <row r="284" spans="1:18" x14ac:dyDescent="0.3">
      <c r="A284" s="110">
        <v>279</v>
      </c>
      <c r="C284" s="191">
        <v>1.3298419852252501</v>
      </c>
      <c r="D284" s="192">
        <v>117103.74946458246</v>
      </c>
      <c r="E284" s="192">
        <v>1.2538427527131129</v>
      </c>
      <c r="F284" s="192">
        <v>93838.492521730324</v>
      </c>
      <c r="G284" s="192">
        <v>-7.5999232512137249E-2</v>
      </c>
      <c r="H284" s="203">
        <v>7.5999232512137249E-2</v>
      </c>
      <c r="I284" s="192">
        <v>-23265.256942852138</v>
      </c>
      <c r="K284" s="202">
        <v>-142111.43850118516</v>
      </c>
      <c r="L284" s="202">
        <v>-168302.66589575459</v>
      </c>
      <c r="M284" s="221">
        <v>26191.227394569432</v>
      </c>
      <c r="N284" s="221">
        <v>26191.227394569421</v>
      </c>
      <c r="O284" s="221">
        <v>-306124.89328937139</v>
      </c>
      <c r="Q284" s="204">
        <f t="shared" si="4"/>
        <v>0</v>
      </c>
      <c r="R284" s="204">
        <f>IF(MAX(K285:L285)=K285,1,0)</f>
        <v>1</v>
      </c>
    </row>
    <row r="285" spans="1:18" x14ac:dyDescent="0.3">
      <c r="A285" s="110">
        <v>280</v>
      </c>
      <c r="C285" s="191">
        <v>1.8502316845308804</v>
      </c>
      <c r="D285" s="192">
        <v>115808.52918831038</v>
      </c>
      <c r="E285" s="192">
        <v>1.7497789046561423</v>
      </c>
      <c r="F285" s="192">
        <v>85026.938233603767</v>
      </c>
      <c r="G285" s="192">
        <v>-0.10045277987473811</v>
      </c>
      <c r="H285" s="203">
        <v>0.10045277987473811</v>
      </c>
      <c r="I285" s="192">
        <v>-30781.590954706611</v>
      </c>
      <c r="K285" s="202">
        <v>-152393.42606286524</v>
      </c>
      <c r="L285" s="202">
        <v>-187042.44904274927</v>
      </c>
      <c r="M285" s="221">
        <v>34649.02297988403</v>
      </c>
      <c r="N285" s="221">
        <v>34649.02297988403</v>
      </c>
      <c r="O285" s="221">
        <v>-306428.46313551918</v>
      </c>
      <c r="Q285" s="204">
        <f t="shared" si="4"/>
        <v>0</v>
      </c>
      <c r="R285" s="204">
        <f>IF(MAX(K286:L286)=K286,1,0)</f>
        <v>1</v>
      </c>
    </row>
    <row r="286" spans="1:18" x14ac:dyDescent="0.3">
      <c r="A286" s="110">
        <v>281</v>
      </c>
      <c r="C286" s="191">
        <v>1.1137713162364096</v>
      </c>
      <c r="D286" s="192">
        <v>120357.61648630888</v>
      </c>
      <c r="E286" s="192">
        <v>0.88015699949647908</v>
      </c>
      <c r="F286" s="192">
        <v>82953.011904252387</v>
      </c>
      <c r="G286" s="192">
        <v>-0.23361431673993049</v>
      </c>
      <c r="H286" s="203">
        <v>0.23361431673993049</v>
      </c>
      <c r="I286" s="192">
        <v>-37404.60458205649</v>
      </c>
      <c r="K286" s="202">
        <v>-116839.05638486682</v>
      </c>
      <c r="L286" s="202">
        <v>-163237.81216141063</v>
      </c>
      <c r="M286" s="221">
        <v>46398.75577654381</v>
      </c>
      <c r="N286" s="221">
        <v>46398.75577654381</v>
      </c>
      <c r="O286" s="221">
        <v>-160112.63823225742</v>
      </c>
      <c r="Q286" s="204">
        <f t="shared" si="4"/>
        <v>0</v>
      </c>
      <c r="R286" s="204">
        <f>IF(MAX(K287:L287)=K287,1,0)</f>
        <v>1</v>
      </c>
    </row>
    <row r="287" spans="1:18" x14ac:dyDescent="0.3">
      <c r="A287" s="110">
        <v>282</v>
      </c>
      <c r="C287" s="191">
        <v>1.335458546583641</v>
      </c>
      <c r="D287" s="192">
        <v>132366.51371374351</v>
      </c>
      <c r="E287" s="192">
        <v>1.167532900687918</v>
      </c>
      <c r="F287" s="192">
        <v>96154.382091223277</v>
      </c>
      <c r="G287" s="192">
        <v>-0.16792564589572301</v>
      </c>
      <c r="H287" s="203">
        <v>0.16792564589572301</v>
      </c>
      <c r="I287" s="192">
        <v>-36212.131622520232</v>
      </c>
      <c r="K287" s="202">
        <v>-141104.39876770813</v>
      </c>
      <c r="L287" s="202">
        <v>-183781.6677572137</v>
      </c>
      <c r="M287" s="221">
        <v>42677.268989505566</v>
      </c>
      <c r="N287" s="221">
        <v>42677.268989505566</v>
      </c>
      <c r="O287" s="221">
        <v>-215643.84301970722</v>
      </c>
      <c r="Q287" s="204">
        <f t="shared" si="4"/>
        <v>0</v>
      </c>
      <c r="R287" s="204">
        <f>IF(MAX(K288:L288)=K288,1,0)</f>
        <v>1</v>
      </c>
    </row>
    <row r="288" spans="1:18" x14ac:dyDescent="0.3">
      <c r="A288" s="110">
        <v>283</v>
      </c>
      <c r="C288" s="191">
        <v>1.0982473573846672</v>
      </c>
      <c r="D288" s="192">
        <v>133457.79896477249</v>
      </c>
      <c r="E288" s="192">
        <v>0.95694851737495379</v>
      </c>
      <c r="F288" s="192">
        <v>107138.38350078711</v>
      </c>
      <c r="G288" s="192">
        <v>-0.14129884000971338</v>
      </c>
      <c r="H288" s="203">
        <v>0.14129884000971338</v>
      </c>
      <c r="I288" s="192">
        <v>-26319.41546398538</v>
      </c>
      <c r="K288" s="202">
        <v>-143980.90141972282</v>
      </c>
      <c r="L288" s="202">
        <v>-175740.32222408219</v>
      </c>
      <c r="M288" s="221">
        <v>31759.420804359368</v>
      </c>
      <c r="N288" s="221">
        <v>31759.420804359346</v>
      </c>
      <c r="O288" s="221">
        <v>-186267.73908530382</v>
      </c>
      <c r="Q288" s="204">
        <f t="shared" si="4"/>
        <v>0</v>
      </c>
      <c r="R288" s="204">
        <f>IF(MAX(K289:L289)=K289,1,0)</f>
        <v>1</v>
      </c>
    </row>
    <row r="289" spans="1:18" x14ac:dyDescent="0.3">
      <c r="A289" s="110">
        <v>284</v>
      </c>
      <c r="C289" s="191">
        <v>1.0160493265565553</v>
      </c>
      <c r="D289" s="192">
        <v>127714.85603557668</v>
      </c>
      <c r="E289" s="192">
        <v>0.86959053697271349</v>
      </c>
      <c r="F289" s="192">
        <v>94046.624938866182</v>
      </c>
      <c r="G289" s="192">
        <v>-0.14645878958384184</v>
      </c>
      <c r="H289" s="203">
        <v>0.14645878958384184</v>
      </c>
      <c r="I289" s="192">
        <v>-33668.2310967105</v>
      </c>
      <c r="K289" s="202">
        <v>-127525.86061231565</v>
      </c>
      <c r="L289" s="202">
        <v>-166832.75510800406</v>
      </c>
      <c r="M289" s="221">
        <v>39306.894495688408</v>
      </c>
      <c r="N289" s="221">
        <v>39306.894495688408</v>
      </c>
      <c r="O289" s="221">
        <v>-229881.94284807178</v>
      </c>
      <c r="Q289" s="204">
        <f t="shared" si="4"/>
        <v>0</v>
      </c>
      <c r="R289" s="204">
        <f>IF(MAX(K290:L290)=K290,1,0)</f>
        <v>1</v>
      </c>
    </row>
    <row r="290" spans="1:18" x14ac:dyDescent="0.3">
      <c r="A290" s="110">
        <v>285</v>
      </c>
      <c r="C290" s="191">
        <v>1.1911880259064622</v>
      </c>
      <c r="D290" s="192">
        <v>115637.3359465059</v>
      </c>
      <c r="E290" s="192">
        <v>1.1020370292988357</v>
      </c>
      <c r="F290" s="192">
        <v>86998.512021381277</v>
      </c>
      <c r="G290" s="192">
        <v>-8.9150996607626487E-2</v>
      </c>
      <c r="H290" s="203">
        <v>8.9150996607626487E-2</v>
      </c>
      <c r="I290" s="192">
        <v>-28638.823925124627</v>
      </c>
      <c r="K290" s="202">
        <v>-129426.93764938645</v>
      </c>
      <c r="L290" s="202">
        <v>-161498.07494390471</v>
      </c>
      <c r="M290" s="221">
        <v>32071.137294518252</v>
      </c>
      <c r="N290" s="221">
        <v>32071.137294518245</v>
      </c>
      <c r="O290" s="221">
        <v>-321239.52636413596</v>
      </c>
      <c r="Q290" s="204">
        <f t="shared" si="4"/>
        <v>0</v>
      </c>
      <c r="R290" s="204">
        <f>IF(MAX(K291:L291)=K291,1,0)</f>
        <v>1</v>
      </c>
    </row>
    <row r="291" spans="1:18" x14ac:dyDescent="0.3">
      <c r="A291" s="110">
        <v>286</v>
      </c>
      <c r="C291" s="191">
        <v>1.1137662163263531</v>
      </c>
      <c r="D291" s="192">
        <v>111593.85287262918</v>
      </c>
      <c r="E291" s="192">
        <v>1.0633610391340802</v>
      </c>
      <c r="F291" s="192">
        <v>85314.436046114235</v>
      </c>
      <c r="G291" s="192">
        <v>-5.0405177192272888E-2</v>
      </c>
      <c r="H291" s="203">
        <v>5.0405177192272888E-2</v>
      </c>
      <c r="I291" s="192">
        <v>-26279.416826514949</v>
      </c>
      <c r="K291" s="202">
        <v>-126253.83605277631</v>
      </c>
      <c r="L291" s="202">
        <v>-154473.85220119377</v>
      </c>
      <c r="M291" s="221">
        <v>28220.01614841746</v>
      </c>
      <c r="N291" s="221">
        <v>28220.016148417457</v>
      </c>
      <c r="O291" s="221">
        <v>-521363.44499436824</v>
      </c>
      <c r="Q291" s="204">
        <f t="shared" si="4"/>
        <v>0</v>
      </c>
      <c r="R291" s="204">
        <f>IF(MAX(K292:L292)=K292,1,0)</f>
        <v>1</v>
      </c>
    </row>
    <row r="292" spans="1:18" x14ac:dyDescent="0.3">
      <c r="A292" s="110">
        <v>287</v>
      </c>
      <c r="C292" s="191">
        <v>1.6481199151992962</v>
      </c>
      <c r="D292" s="192">
        <v>110211.02873159992</v>
      </c>
      <c r="E292" s="192">
        <v>1.6441099204193002</v>
      </c>
      <c r="F292" s="192">
        <v>86396.036240697227</v>
      </c>
      <c r="G292" s="192">
        <v>-4.0099947799960844E-3</v>
      </c>
      <c r="H292" s="203">
        <v>4.0099947799960844E-3</v>
      </c>
      <c r="I292" s="192">
        <v>-23814.992490902689</v>
      </c>
      <c r="K292" s="202">
        <v>-149694.26817684027</v>
      </c>
      <c r="L292" s="202">
        <v>-173663.64546677281</v>
      </c>
      <c r="M292" s="221">
        <v>23969.377289932541</v>
      </c>
      <c r="N292" s="221">
        <v>23969.377289932538</v>
      </c>
      <c r="O292" s="221">
        <v>-5938908.6015034523</v>
      </c>
      <c r="Q292" s="204">
        <f t="shared" si="4"/>
        <v>0</v>
      </c>
      <c r="R292" s="204">
        <f>IF(MAX(K293:L293)=K293,1,0)</f>
        <v>1</v>
      </c>
    </row>
    <row r="293" spans="1:18" x14ac:dyDescent="0.3">
      <c r="A293" s="110">
        <v>288</v>
      </c>
      <c r="C293" s="191">
        <v>1.3839190845929732</v>
      </c>
      <c r="D293" s="192">
        <v>123205.28377260886</v>
      </c>
      <c r="E293" s="192">
        <v>1.1683637914789979</v>
      </c>
      <c r="F293" s="192">
        <v>90853.00124009086</v>
      </c>
      <c r="G293" s="192">
        <v>-0.21555529311397525</v>
      </c>
      <c r="H293" s="203">
        <v>0.21555529311397525</v>
      </c>
      <c r="I293" s="192">
        <v>-32352.282532518002</v>
      </c>
      <c r="K293" s="202">
        <v>-135835.00721203227</v>
      </c>
      <c r="L293" s="202">
        <v>-176486.16852943832</v>
      </c>
      <c r="M293" s="221">
        <v>40651.161317406048</v>
      </c>
      <c r="N293" s="221">
        <v>40651.161317406048</v>
      </c>
      <c r="O293" s="221">
        <v>-150088.0913901366</v>
      </c>
      <c r="Q293" s="204">
        <f t="shared" si="4"/>
        <v>0</v>
      </c>
      <c r="R293" s="204">
        <f>IF(MAX(K294:L294)=K294,1,0)</f>
        <v>1</v>
      </c>
    </row>
    <row r="294" spans="1:18" x14ac:dyDescent="0.3">
      <c r="A294" s="110">
        <v>289</v>
      </c>
      <c r="C294" s="191">
        <v>1.2274587659583345</v>
      </c>
      <c r="D294" s="192">
        <v>95116.813718605626</v>
      </c>
      <c r="E294" s="192">
        <v>1.0817818308066536</v>
      </c>
      <c r="F294" s="192">
        <v>73612.478867425467</v>
      </c>
      <c r="G294" s="192">
        <v>-0.1456769351516809</v>
      </c>
      <c r="H294" s="203">
        <v>0.1456769351516809</v>
      </c>
      <c r="I294" s="192">
        <v>-21504.33485118016</v>
      </c>
      <c r="K294" s="202">
        <v>-115261.07935348163</v>
      </c>
      <c r="L294" s="202">
        <v>-142373.97620800149</v>
      </c>
      <c r="M294" s="221">
        <v>27112.896854519859</v>
      </c>
      <c r="N294" s="221">
        <v>27112.896854519873</v>
      </c>
      <c r="O294" s="221">
        <v>-147616.60676612629</v>
      </c>
      <c r="Q294" s="204">
        <f t="shared" si="4"/>
        <v>0</v>
      </c>
      <c r="R294" s="204">
        <f>IF(MAX(K295:L295)=K295,1,0)</f>
        <v>1</v>
      </c>
    </row>
    <row r="295" spans="1:18" x14ac:dyDescent="0.3">
      <c r="A295" s="110">
        <v>290</v>
      </c>
      <c r="C295" s="191">
        <v>1.21271168872341</v>
      </c>
      <c r="D295" s="192">
        <v>114275.93172575634</v>
      </c>
      <c r="E295" s="192">
        <v>1.1041847879358817</v>
      </c>
      <c r="F295" s="192">
        <v>84071.407118204064</v>
      </c>
      <c r="G295" s="192">
        <v>-0.10852690078752825</v>
      </c>
      <c r="H295" s="203">
        <v>0.10852690078752825</v>
      </c>
      <c r="I295" s="192">
        <v>-30204.524607552274</v>
      </c>
      <c r="K295" s="202">
        <v>-126582.52145373551</v>
      </c>
      <c r="L295" s="202">
        <v>-160965.33174160763</v>
      </c>
      <c r="M295" s="221">
        <v>34382.810287872126</v>
      </c>
      <c r="N295" s="221">
        <v>34382.810287872111</v>
      </c>
      <c r="O295" s="221">
        <v>-278313.71197714453</v>
      </c>
      <c r="Q295" s="204">
        <f t="shared" si="4"/>
        <v>0</v>
      </c>
      <c r="R295" s="204">
        <f>IF(MAX(K296:L296)=K296,1,0)</f>
        <v>1</v>
      </c>
    </row>
    <row r="296" spans="1:18" x14ac:dyDescent="0.3">
      <c r="A296" s="110">
        <v>291</v>
      </c>
      <c r="C296" s="191">
        <v>1.1320517785073039</v>
      </c>
      <c r="D296" s="192">
        <v>143492.775845178</v>
      </c>
      <c r="E296" s="192">
        <v>0.96820655430787972</v>
      </c>
      <c r="F296" s="192">
        <v>110125.54189571916</v>
      </c>
      <c r="G296" s="192">
        <v>-0.16384522419942416</v>
      </c>
      <c r="H296" s="203">
        <v>0.16384522419942416</v>
      </c>
      <c r="I296" s="192">
        <v>-33367.233949458838</v>
      </c>
      <c r="K296" s="202">
        <v>-147401.49423657253</v>
      </c>
      <c r="L296" s="202">
        <v>-187076.7693177092</v>
      </c>
      <c r="M296" s="221">
        <v>39675.275081136671</v>
      </c>
      <c r="N296" s="221">
        <v>39675.275081136671</v>
      </c>
      <c r="O296" s="221">
        <v>-203650.9401631745</v>
      </c>
      <c r="Q296" s="204">
        <f t="shared" si="4"/>
        <v>0</v>
      </c>
      <c r="R296" s="204">
        <f>IF(MAX(K297:L297)=K297,1,0)</f>
        <v>1</v>
      </c>
    </row>
    <row r="297" spans="1:18" x14ac:dyDescent="0.3">
      <c r="A297" s="110">
        <v>292</v>
      </c>
      <c r="C297" s="191">
        <v>1.2239538543411856</v>
      </c>
      <c r="D297" s="192">
        <v>125103.18279825829</v>
      </c>
      <c r="E297" s="192">
        <v>1.0865191691892164</v>
      </c>
      <c r="F297" s="192">
        <v>96051.888683853627</v>
      </c>
      <c r="G297" s="192">
        <v>-0.13743468515196922</v>
      </c>
      <c r="H297" s="203">
        <v>0.13743468515196922</v>
      </c>
      <c r="I297" s="192">
        <v>-29051.294114404664</v>
      </c>
      <c r="K297" s="202">
        <v>-137882.87669763845</v>
      </c>
      <c r="L297" s="202">
        <v>-172225.40619039393</v>
      </c>
      <c r="M297" s="221">
        <v>34342.529492755479</v>
      </c>
      <c r="N297" s="221">
        <v>34342.529492755479</v>
      </c>
      <c r="O297" s="221">
        <v>-211382.54933447859</v>
      </c>
      <c r="Q297" s="204">
        <f t="shared" si="4"/>
        <v>0</v>
      </c>
      <c r="R297" s="204">
        <f>IF(MAX(K298:L298)=K298,1,0)</f>
        <v>1</v>
      </c>
    </row>
    <row r="298" spans="1:18" x14ac:dyDescent="0.3">
      <c r="A298" s="110">
        <v>293</v>
      </c>
      <c r="C298" s="191">
        <v>1.2664868956715112</v>
      </c>
      <c r="D298" s="192">
        <v>109041.3617850663</v>
      </c>
      <c r="E298" s="192">
        <v>1.1242365687741673</v>
      </c>
      <c r="F298" s="192">
        <v>78738.273914123114</v>
      </c>
      <c r="G298" s="192">
        <v>-0.14225032689734385</v>
      </c>
      <c r="H298" s="203">
        <v>0.14225032689734385</v>
      </c>
      <c r="I298" s="192">
        <v>-30303.087870943185</v>
      </c>
      <c r="K298" s="202">
        <v>-122021.38181192856</v>
      </c>
      <c r="L298" s="202">
        <v>-157801.10726841947</v>
      </c>
      <c r="M298" s="221">
        <v>35779.725456490909</v>
      </c>
      <c r="N298" s="221">
        <v>35779.725456490924</v>
      </c>
      <c r="O298" s="221">
        <v>-213026.49021546126</v>
      </c>
      <c r="Q298" s="204">
        <f t="shared" si="4"/>
        <v>0</v>
      </c>
      <c r="R298" s="204">
        <f>IF(MAX(K299:L299)=K299,1,0)</f>
        <v>1</v>
      </c>
    </row>
    <row r="299" spans="1:18" x14ac:dyDescent="0.3">
      <c r="A299" s="110">
        <v>294</v>
      </c>
      <c r="C299" s="191">
        <v>1.0695161209073805</v>
      </c>
      <c r="D299" s="192">
        <v>159579.24388926366</v>
      </c>
      <c r="E299" s="192">
        <v>0.789366679265461</v>
      </c>
      <c r="F299" s="192">
        <v>95619.106569171796</v>
      </c>
      <c r="G299" s="192">
        <v>-0.28014944164191946</v>
      </c>
      <c r="H299" s="203">
        <v>0.28014944164191946</v>
      </c>
      <c r="I299" s="192">
        <v>-63960.137320091861</v>
      </c>
      <c r="K299" s="202">
        <v>-126009.72372089204</v>
      </c>
      <c r="L299" s="202">
        <v>-200755.6145441978</v>
      </c>
      <c r="M299" s="221">
        <v>74745.890823305759</v>
      </c>
      <c r="N299" s="221">
        <v>74745.890823305759</v>
      </c>
      <c r="O299" s="221">
        <v>-228307.2096993298</v>
      </c>
      <c r="Q299" s="204">
        <f t="shared" si="4"/>
        <v>0</v>
      </c>
      <c r="R299" s="204">
        <f>IF(MAX(K300:L300)=K300,1,0)</f>
        <v>1</v>
      </c>
    </row>
    <row r="300" spans="1:18" x14ac:dyDescent="0.3">
      <c r="A300" s="110">
        <v>295</v>
      </c>
      <c r="C300" s="191">
        <v>1.9073934770789298</v>
      </c>
      <c r="D300" s="192">
        <v>121881.23697040438</v>
      </c>
      <c r="E300" s="192">
        <v>1.8244262103085558</v>
      </c>
      <c r="F300" s="192">
        <v>86916.508698343692</v>
      </c>
      <c r="G300" s="192">
        <v>-8.2967266770374026E-2</v>
      </c>
      <c r="H300" s="203">
        <v>8.2967266770374026E-2</v>
      </c>
      <c r="I300" s="192">
        <v>-34964.728272060689</v>
      </c>
      <c r="K300" s="202">
        <v>-157156.9177952231</v>
      </c>
      <c r="L300" s="202">
        <v>-195315.88583794318</v>
      </c>
      <c r="M300" s="221">
        <v>38158.96804272008</v>
      </c>
      <c r="N300" s="221">
        <v>38158.968042720087</v>
      </c>
      <c r="O300" s="221">
        <v>-421427.98760421388</v>
      </c>
      <c r="Q300" s="204">
        <f t="shared" si="4"/>
        <v>0</v>
      </c>
      <c r="R300" s="204">
        <f>IF(MAX(K301:L301)=K301,1,0)</f>
        <v>1</v>
      </c>
    </row>
    <row r="301" spans="1:18" x14ac:dyDescent="0.3">
      <c r="A301" s="110">
        <v>296</v>
      </c>
      <c r="C301" s="191">
        <v>1.6538164989737552</v>
      </c>
      <c r="D301" s="192">
        <v>133968.02003596173</v>
      </c>
      <c r="E301" s="192">
        <v>1.4872427763305653</v>
      </c>
      <c r="F301" s="192">
        <v>90194.442538199102</v>
      </c>
      <c r="G301" s="192">
        <v>-0.16657372264318981</v>
      </c>
      <c r="H301" s="203">
        <v>0.16657372264318981</v>
      </c>
      <c r="I301" s="192">
        <v>-43773.577497762628</v>
      </c>
      <c r="K301" s="202">
        <v>-147453.28942692588</v>
      </c>
      <c r="L301" s="202">
        <v>-197639.95524645131</v>
      </c>
      <c r="M301" s="221">
        <v>50186.665819525428</v>
      </c>
      <c r="N301" s="221">
        <v>50186.665819525435</v>
      </c>
      <c r="O301" s="221">
        <v>-262788.01243776048</v>
      </c>
      <c r="Q301" s="204">
        <f t="shared" si="4"/>
        <v>0</v>
      </c>
      <c r="R301" s="204">
        <f>IF(MAX(K302:L302)=K302,1,0)</f>
        <v>1</v>
      </c>
    </row>
    <row r="302" spans="1:18" x14ac:dyDescent="0.3">
      <c r="A302" s="110">
        <v>297</v>
      </c>
      <c r="C302" s="191">
        <v>1.201951455110887</v>
      </c>
      <c r="D302" s="192">
        <v>116867.05666713967</v>
      </c>
      <c r="E302" s="192">
        <v>1.0672468239327864</v>
      </c>
      <c r="F302" s="192">
        <v>84606.128488642717</v>
      </c>
      <c r="G302" s="192">
        <v>-0.13470463117810061</v>
      </c>
      <c r="H302" s="203">
        <v>0.13470463117810061</v>
      </c>
      <c r="I302" s="192">
        <v>-32260.92817849695</v>
      </c>
      <c r="K302" s="202">
        <v>-125695.131210055</v>
      </c>
      <c r="L302" s="202">
        <v>-163142.18768890883</v>
      </c>
      <c r="M302" s="221">
        <v>37447.056478853832</v>
      </c>
      <c r="N302" s="221">
        <v>37447.056478853825</v>
      </c>
      <c r="O302" s="221">
        <v>-239493.83103126538</v>
      </c>
      <c r="Q302" s="204">
        <f t="shared" si="4"/>
        <v>0</v>
      </c>
      <c r="R302" s="204">
        <f>IF(MAX(K303:L303)=K303,1,0)</f>
        <v>1</v>
      </c>
    </row>
    <row r="303" spans="1:18" x14ac:dyDescent="0.3">
      <c r="A303" s="110">
        <v>298</v>
      </c>
      <c r="C303" s="191">
        <v>1.239265305085109</v>
      </c>
      <c r="D303" s="192">
        <v>103664.58385070681</v>
      </c>
      <c r="E303" s="192">
        <v>1.0611883668897546</v>
      </c>
      <c r="F303" s="192">
        <v>74472.118347054973</v>
      </c>
      <c r="G303" s="192">
        <v>-0.17807693819535442</v>
      </c>
      <c r="H303" s="203">
        <v>0.17807693819535442</v>
      </c>
      <c r="I303" s="192">
        <v>-29192.465503651838</v>
      </c>
      <c r="K303" s="202">
        <v>-115327.87047231052</v>
      </c>
      <c r="L303" s="202">
        <v>-151376.29809648352</v>
      </c>
      <c r="M303" s="221">
        <v>36048.427624172997</v>
      </c>
      <c r="N303" s="221">
        <v>36048.427624172982</v>
      </c>
      <c r="O303" s="221">
        <v>-163931.75780923999</v>
      </c>
      <c r="Q303" s="204">
        <f t="shared" si="4"/>
        <v>0</v>
      </c>
      <c r="R303" s="204">
        <f>IF(MAX(K304:L304)=K304,1,0)</f>
        <v>1</v>
      </c>
    </row>
    <row r="304" spans="1:18" x14ac:dyDescent="0.3">
      <c r="A304" s="110">
        <v>299</v>
      </c>
      <c r="C304" s="191">
        <v>1.1212637951966817</v>
      </c>
      <c r="D304" s="192">
        <v>121117.68013383172</v>
      </c>
      <c r="E304" s="192">
        <v>0.88374913606954908</v>
      </c>
      <c r="F304" s="192">
        <v>78284.808798908387</v>
      </c>
      <c r="G304" s="192">
        <v>-0.23751465912713265</v>
      </c>
      <c r="H304" s="203">
        <v>0.23751465912713265</v>
      </c>
      <c r="I304" s="192">
        <v>-42832.871334923329</v>
      </c>
      <c r="K304" s="202">
        <v>-112309.15053758603</v>
      </c>
      <c r="L304" s="202">
        <v>-164286.33624890397</v>
      </c>
      <c r="M304" s="221">
        <v>51977.185711317943</v>
      </c>
      <c r="N304" s="221">
        <v>51977.185711317936</v>
      </c>
      <c r="O304" s="221">
        <v>-180337.80101124835</v>
      </c>
      <c r="Q304" s="204">
        <f t="shared" si="4"/>
        <v>0</v>
      </c>
      <c r="R304" s="204">
        <f>IF(MAX(K305:L305)=K305,1,0)</f>
        <v>1</v>
      </c>
    </row>
    <row r="305" spans="1:18" x14ac:dyDescent="0.3">
      <c r="A305" s="110">
        <v>300</v>
      </c>
      <c r="C305" s="191">
        <v>1.1327056434276681</v>
      </c>
      <c r="D305" s="192">
        <v>121815.57566477364</v>
      </c>
      <c r="E305" s="192">
        <v>0.93314393083364244</v>
      </c>
      <c r="F305" s="192">
        <v>81428.657188017474</v>
      </c>
      <c r="G305" s="192">
        <v>-0.19956171259402566</v>
      </c>
      <c r="H305" s="203">
        <v>0.19956171259402566</v>
      </c>
      <c r="I305" s="192">
        <v>-40386.918476756167</v>
      </c>
      <c r="K305" s="202">
        <v>-117354.6985251127</v>
      </c>
      <c r="L305" s="202">
        <v>-165424.74293673885</v>
      </c>
      <c r="M305" s="221">
        <v>48070.04441162615</v>
      </c>
      <c r="N305" s="221">
        <v>48070.044411626157</v>
      </c>
      <c r="O305" s="221">
        <v>-202378.09122693029</v>
      </c>
      <c r="Q305" s="204">
        <f t="shared" si="4"/>
        <v>0</v>
      </c>
      <c r="R305" s="204">
        <f>IF(MAX(K306:L306)=K306,1,0)</f>
        <v>1</v>
      </c>
    </row>
    <row r="306" spans="1:18" x14ac:dyDescent="0.3">
      <c r="A306" s="110">
        <v>301</v>
      </c>
      <c r="C306" s="191">
        <v>1.5121256051891496</v>
      </c>
      <c r="D306" s="192">
        <v>152680.32109607058</v>
      </c>
      <c r="E306" s="192">
        <v>1.3569081449895526</v>
      </c>
      <c r="F306" s="192">
        <v>115293.72762721726</v>
      </c>
      <c r="G306" s="192">
        <v>-0.15521746019959703</v>
      </c>
      <c r="H306" s="203">
        <v>0.15521746019959703</v>
      </c>
      <c r="I306" s="192">
        <v>-37386.593468853316</v>
      </c>
      <c r="K306" s="202">
        <v>-167534.69120931503</v>
      </c>
      <c r="L306" s="202">
        <v>-210897.15689585282</v>
      </c>
      <c r="M306" s="221">
        <v>43362.465686537791</v>
      </c>
      <c r="N306" s="221">
        <v>43362.465686537806</v>
      </c>
      <c r="O306" s="221">
        <v>-240865.90143130286</v>
      </c>
      <c r="Q306" s="204">
        <f t="shared" si="4"/>
        <v>0</v>
      </c>
      <c r="R306" s="204">
        <f>IF(MAX(K307:L307)=K307,1,0)</f>
        <v>1</v>
      </c>
    </row>
    <row r="307" spans="1:18" x14ac:dyDescent="0.3">
      <c r="A307" s="110">
        <v>302</v>
      </c>
      <c r="C307" s="191">
        <v>1.5014161396905592</v>
      </c>
      <c r="D307" s="192">
        <v>107962.66448049943</v>
      </c>
      <c r="E307" s="192">
        <v>1.4827824323070229</v>
      </c>
      <c r="F307" s="192">
        <v>93294.970376675774</v>
      </c>
      <c r="G307" s="192">
        <v>-1.8633707383536313E-2</v>
      </c>
      <c r="H307" s="203">
        <v>1.8633707383536313E-2</v>
      </c>
      <c r="I307" s="192">
        <v>-14667.694103823655</v>
      </c>
      <c r="K307" s="202">
        <v>-150382.09402049615</v>
      </c>
      <c r="L307" s="202">
        <v>-165767.18585858596</v>
      </c>
      <c r="M307" s="221">
        <v>15385.091838089807</v>
      </c>
      <c r="N307" s="221">
        <v>15385.091838089802</v>
      </c>
      <c r="O307" s="221">
        <v>-787159.1949964395</v>
      </c>
      <c r="Q307" s="204">
        <f t="shared" si="4"/>
        <v>0</v>
      </c>
      <c r="R307" s="204">
        <f>IF(MAX(K308:L308)=K308,1,0)</f>
        <v>1</v>
      </c>
    </row>
    <row r="308" spans="1:18" x14ac:dyDescent="0.3">
      <c r="A308" s="110">
        <v>303</v>
      </c>
      <c r="C308" s="191">
        <v>1.4576248362201991</v>
      </c>
      <c r="D308" s="192">
        <v>126659.75253163803</v>
      </c>
      <c r="E308" s="192">
        <v>1.307807068480731</v>
      </c>
      <c r="F308" s="192">
        <v>94239.998194203916</v>
      </c>
      <c r="G308" s="192">
        <v>-0.14981776773946809</v>
      </c>
      <c r="H308" s="203">
        <v>0.14981776773946809</v>
      </c>
      <c r="I308" s="192">
        <v>-32419.754337434118</v>
      </c>
      <c r="K308" s="202">
        <v>-144590.57033071207</v>
      </c>
      <c r="L308" s="202">
        <v>-182778.30872611571</v>
      </c>
      <c r="M308" s="221">
        <v>38187.738395403634</v>
      </c>
      <c r="N308" s="221">
        <v>38187.738395403641</v>
      </c>
      <c r="O308" s="221">
        <v>-216394.589417537</v>
      </c>
      <c r="Q308" s="204">
        <f t="shared" si="4"/>
        <v>0</v>
      </c>
      <c r="R308" s="204">
        <f>IF(MAX(K309:L309)=K309,1,0)</f>
        <v>1</v>
      </c>
    </row>
    <row r="309" spans="1:18" x14ac:dyDescent="0.3">
      <c r="A309" s="110">
        <v>304</v>
      </c>
      <c r="C309" s="191">
        <v>1.2791167054689905</v>
      </c>
      <c r="D309" s="192">
        <v>127330.81920829971</v>
      </c>
      <c r="E309" s="192">
        <v>1.1030657004994728</v>
      </c>
      <c r="F309" s="192">
        <v>101710.70573021716</v>
      </c>
      <c r="G309" s="192">
        <v>-0.17605100496951764</v>
      </c>
      <c r="H309" s="203">
        <v>0.17605100496951764</v>
      </c>
      <c r="I309" s="192">
        <v>-25620.113478082552</v>
      </c>
      <c r="K309" s="202">
        <v>-144178.73519944685</v>
      </c>
      <c r="L309" s="202">
        <v>-176576.81236885584</v>
      </c>
      <c r="M309" s="221">
        <v>32398.077169408993</v>
      </c>
      <c r="N309" s="221">
        <v>32398.077169408982</v>
      </c>
      <c r="O309" s="221">
        <v>-145526.65281586177</v>
      </c>
      <c r="Q309" s="204">
        <f t="shared" si="4"/>
        <v>0</v>
      </c>
      <c r="R309" s="204">
        <f>IF(MAX(K310:L310)=K310,1,0)</f>
        <v>1</v>
      </c>
    </row>
    <row r="310" spans="1:18" x14ac:dyDescent="0.3">
      <c r="A310" s="110">
        <v>305</v>
      </c>
      <c r="C310" s="191">
        <v>1.1750791925924666</v>
      </c>
      <c r="D310" s="192">
        <v>131144.91472552056</v>
      </c>
      <c r="E310" s="192">
        <v>1.1109509000725426</v>
      </c>
      <c r="F310" s="192">
        <v>111185.02677780371</v>
      </c>
      <c r="G310" s="192">
        <v>-6.4128292519924024E-2</v>
      </c>
      <c r="H310" s="203">
        <v>6.4128292519924024E-2</v>
      </c>
      <c r="I310" s="192">
        <v>-19959.887947716852</v>
      </c>
      <c r="K310" s="202">
        <v>-153956.63643059658</v>
      </c>
      <c r="L310" s="202">
        <v>-176385.46364033053</v>
      </c>
      <c r="M310" s="221">
        <v>22428.82720973395</v>
      </c>
      <c r="N310" s="221">
        <v>22428.827209733929</v>
      </c>
      <c r="O310" s="221">
        <v>-311249.32792363857</v>
      </c>
      <c r="Q310" s="204">
        <f t="shared" si="4"/>
        <v>0</v>
      </c>
      <c r="R310" s="204">
        <f>IF(MAX(K311:L311)=K311,1,0)</f>
        <v>1</v>
      </c>
    </row>
    <row r="311" spans="1:18" x14ac:dyDescent="0.3">
      <c r="A311" s="110">
        <v>306</v>
      </c>
      <c r="C311" s="191">
        <v>1.0596642025755034</v>
      </c>
      <c r="D311" s="192">
        <v>88289.079853669391</v>
      </c>
      <c r="E311" s="192">
        <v>0.91337955184840214</v>
      </c>
      <c r="F311" s="192">
        <v>62800.447537798384</v>
      </c>
      <c r="G311" s="192">
        <v>-0.14628465072710128</v>
      </c>
      <c r="H311" s="203">
        <v>0.14628465072710128</v>
      </c>
      <c r="I311" s="192">
        <v>-25488.632315871007</v>
      </c>
      <c r="K311" s="202">
        <v>-97965.560283961866</v>
      </c>
      <c r="L311" s="202">
        <v>-129086.15165282627</v>
      </c>
      <c r="M311" s="221">
        <v>31120.591368864407</v>
      </c>
      <c r="N311" s="221">
        <v>31120.591368864407</v>
      </c>
      <c r="O311" s="221">
        <v>-174239.9642695314</v>
      </c>
      <c r="Q311" s="204">
        <f t="shared" si="4"/>
        <v>0</v>
      </c>
      <c r="R311" s="204">
        <f>IF(MAX(K312:L312)=K312,1,0)</f>
        <v>1</v>
      </c>
    </row>
    <row r="312" spans="1:18" x14ac:dyDescent="0.3">
      <c r="A312" s="110">
        <v>307</v>
      </c>
      <c r="C312" s="191">
        <v>1.1394050913870422</v>
      </c>
      <c r="D312" s="192">
        <v>116367.86505905961</v>
      </c>
      <c r="E312" s="192">
        <v>1.0740468757600605</v>
      </c>
      <c r="F312" s="192">
        <v>95192.21238218456</v>
      </c>
      <c r="G312" s="192">
        <v>-6.5358215626981631E-2</v>
      </c>
      <c r="H312" s="203">
        <v>6.5358215626981631E-2</v>
      </c>
      <c r="I312" s="192">
        <v>-21175.652676875048</v>
      </c>
      <c r="K312" s="202">
        <v>-136543.0170989469</v>
      </c>
      <c r="L312" s="202">
        <v>-160234.96107746073</v>
      </c>
      <c r="M312" s="221">
        <v>23691.943978513824</v>
      </c>
      <c r="N312" s="221">
        <v>23691.943978513842</v>
      </c>
      <c r="O312" s="221">
        <v>-323993.73932927829</v>
      </c>
      <c r="Q312" s="204">
        <f t="shared" si="4"/>
        <v>0</v>
      </c>
      <c r="R312" s="204">
        <f>IF(MAX(K313:L313)=K313,1,0)</f>
        <v>1</v>
      </c>
    </row>
    <row r="313" spans="1:18" x14ac:dyDescent="0.3">
      <c r="A313" s="110">
        <v>308</v>
      </c>
      <c r="C313" s="191">
        <v>1.3490828215245909</v>
      </c>
      <c r="D313" s="192">
        <v>126306.6918116531</v>
      </c>
      <c r="E313" s="192">
        <v>1.3286087321528661</v>
      </c>
      <c r="F313" s="192">
        <v>108575.13036293484</v>
      </c>
      <c r="G313" s="192">
        <v>-2.0474089371724791E-2</v>
      </c>
      <c r="H313" s="203">
        <v>2.0474089371724791E-2</v>
      </c>
      <c r="I313" s="192">
        <v>-17731.561448718261</v>
      </c>
      <c r="K313" s="202">
        <v>-159726.56655082019</v>
      </c>
      <c r="L313" s="202">
        <v>-178246.38044034987</v>
      </c>
      <c r="M313" s="221">
        <v>18519.813889529672</v>
      </c>
      <c r="N313" s="221">
        <v>18519.813889529665</v>
      </c>
      <c r="O313" s="221">
        <v>-866048.84480019775</v>
      </c>
      <c r="Q313" s="204">
        <f t="shared" si="4"/>
        <v>0</v>
      </c>
      <c r="R313" s="204">
        <f>IF(MAX(K314:L314)=K314,1,0)</f>
        <v>1</v>
      </c>
    </row>
    <row r="314" spans="1:18" x14ac:dyDescent="0.3">
      <c r="A314" s="110">
        <v>309</v>
      </c>
      <c r="C314" s="191">
        <v>1.2947858689211611</v>
      </c>
      <c r="D314" s="192">
        <v>101165.07834997113</v>
      </c>
      <c r="E314" s="192">
        <v>1.15220947137993</v>
      </c>
      <c r="F314" s="192">
        <v>75772.050667740827</v>
      </c>
      <c r="G314" s="192">
        <v>-0.14257639754123108</v>
      </c>
      <c r="H314" s="203">
        <v>0.14257639754123108</v>
      </c>
      <c r="I314" s="192">
        <v>-25393.027682230299</v>
      </c>
      <c r="K314" s="202">
        <v>-120132.11531586814</v>
      </c>
      <c r="L314" s="202">
        <v>-151014.33430343581</v>
      </c>
      <c r="M314" s="221">
        <v>30882.21898756767</v>
      </c>
      <c r="N314" s="221">
        <v>30882.218987567696</v>
      </c>
      <c r="O314" s="221">
        <v>-178101.20132181761</v>
      </c>
      <c r="Q314" s="204">
        <f t="shared" si="4"/>
        <v>0</v>
      </c>
      <c r="R314" s="204">
        <f>IF(MAX(K315:L315)=K315,1,0)</f>
        <v>1</v>
      </c>
    </row>
    <row r="315" spans="1:18" x14ac:dyDescent="0.3">
      <c r="A315" s="110">
        <v>310</v>
      </c>
      <c r="C315" s="191">
        <v>1.1955140819222037</v>
      </c>
      <c r="D315" s="192">
        <v>128611.07426992293</v>
      </c>
      <c r="E315" s="192">
        <v>1.1122412559291606</v>
      </c>
      <c r="F315" s="192">
        <v>100360.53896927981</v>
      </c>
      <c r="G315" s="192">
        <v>-8.3272825993043087E-2</v>
      </c>
      <c r="H315" s="203">
        <v>8.3272825993043087E-2</v>
      </c>
      <c r="I315" s="192">
        <v>-28250.535300643125</v>
      </c>
      <c r="K315" s="202">
        <v>-143181.8273225525</v>
      </c>
      <c r="L315" s="202">
        <v>-174638.36642392777</v>
      </c>
      <c r="M315" s="221">
        <v>31456.539101375267</v>
      </c>
      <c r="N315" s="221">
        <v>31456.539101375285</v>
      </c>
      <c r="O315" s="221">
        <v>-339252.75098749832</v>
      </c>
      <c r="Q315" s="204">
        <f t="shared" si="4"/>
        <v>0</v>
      </c>
      <c r="R315" s="204">
        <f>IF(MAX(K316:L316)=K316,1,0)</f>
        <v>1</v>
      </c>
    </row>
    <row r="316" spans="1:18" x14ac:dyDescent="0.3">
      <c r="A316" s="110">
        <v>311</v>
      </c>
      <c r="C316" s="191">
        <v>1.0796365799417531</v>
      </c>
      <c r="D316" s="192">
        <v>155030.95892259385</v>
      </c>
      <c r="E316" s="192">
        <v>0.90407025708856747</v>
      </c>
      <c r="F316" s="192">
        <v>109981.17140345085</v>
      </c>
      <c r="G316" s="192">
        <v>-0.17556632285318563</v>
      </c>
      <c r="H316" s="203">
        <v>0.17556632285318563</v>
      </c>
      <c r="I316" s="192">
        <v>-45049.787519143007</v>
      </c>
      <c r="K316" s="202">
        <v>-144787.87630136069</v>
      </c>
      <c r="L316" s="202">
        <v>-196596.96725035136</v>
      </c>
      <c r="M316" s="221">
        <v>51809.090948990663</v>
      </c>
      <c r="N316" s="221">
        <v>51809.090948990655</v>
      </c>
      <c r="O316" s="221">
        <v>-256596.97592923406</v>
      </c>
      <c r="Q316" s="204">
        <f t="shared" si="4"/>
        <v>0</v>
      </c>
      <c r="R316" s="204">
        <f>IF(MAX(K317:L317)=K317,1,0)</f>
        <v>1</v>
      </c>
    </row>
    <row r="317" spans="1:18" x14ac:dyDescent="0.3">
      <c r="A317" s="110">
        <v>312</v>
      </c>
      <c r="C317" s="191">
        <v>0.85150810597475945</v>
      </c>
      <c r="D317" s="192">
        <v>117346.04543959707</v>
      </c>
      <c r="E317" s="192">
        <v>0.69679340910745613</v>
      </c>
      <c r="F317" s="192">
        <v>86917.115335646376</v>
      </c>
      <c r="G317" s="192">
        <v>-0.15471469686730333</v>
      </c>
      <c r="H317" s="203">
        <v>0.15471469686730333</v>
      </c>
      <c r="I317" s="192">
        <v>-30428.930103950697</v>
      </c>
      <c r="K317" s="202">
        <v>-113743.66158628344</v>
      </c>
      <c r="L317" s="202">
        <v>-150129.10751962531</v>
      </c>
      <c r="M317" s="221">
        <v>36385.445933341864</v>
      </c>
      <c r="N317" s="221">
        <v>36385.445933341878</v>
      </c>
      <c r="O317" s="221">
        <v>-196677.69591436535</v>
      </c>
      <c r="Q317" s="204">
        <f t="shared" si="4"/>
        <v>0</v>
      </c>
      <c r="R317" s="204">
        <f>IF(MAX(K318:L318)=K318,1,0)</f>
        <v>1</v>
      </c>
    </row>
    <row r="318" spans="1:18" x14ac:dyDescent="0.3">
      <c r="A318" s="110">
        <v>313</v>
      </c>
      <c r="C318" s="191">
        <v>1.2088971261751258</v>
      </c>
      <c r="D318" s="192">
        <v>124208.31164359926</v>
      </c>
      <c r="E318" s="192">
        <v>1.0011509841387167</v>
      </c>
      <c r="F318" s="192">
        <v>91072.444379871711</v>
      </c>
      <c r="G318" s="192">
        <v>-0.20774614203640906</v>
      </c>
      <c r="H318" s="203">
        <v>0.20774614203640906</v>
      </c>
      <c r="I318" s="192">
        <v>-33135.867263727545</v>
      </c>
      <c r="K318" s="202">
        <v>-129616.75726921231</v>
      </c>
      <c r="L318" s="202">
        <v>-170750.85100134159</v>
      </c>
      <c r="M318" s="221">
        <v>41134.093732129288</v>
      </c>
      <c r="N318" s="221">
        <v>41134.093732129295</v>
      </c>
      <c r="O318" s="221">
        <v>-159501.72137454295</v>
      </c>
      <c r="Q318" s="204">
        <f t="shared" si="4"/>
        <v>0</v>
      </c>
      <c r="R318" s="204">
        <f>IF(MAX(K319:L319)=K319,1,0)</f>
        <v>1</v>
      </c>
    </row>
    <row r="319" spans="1:18" x14ac:dyDescent="0.3">
      <c r="A319" s="110">
        <v>314</v>
      </c>
      <c r="C319" s="191">
        <v>1.6002804189229889</v>
      </c>
      <c r="D319" s="192">
        <v>137358.53510916632</v>
      </c>
      <c r="E319" s="192">
        <v>1.4097586725239313</v>
      </c>
      <c r="F319" s="192">
        <v>94119.538232911975</v>
      </c>
      <c r="G319" s="192">
        <v>-0.19052174639905761</v>
      </c>
      <c r="H319" s="203">
        <v>0.19052174639905761</v>
      </c>
      <c r="I319" s="192">
        <v>-43238.996876254343</v>
      </c>
      <c r="K319" s="202">
        <v>-148395.24712508332</v>
      </c>
      <c r="L319" s="202">
        <v>-198969.33123770141</v>
      </c>
      <c r="M319" s="221">
        <v>50574.084112618089</v>
      </c>
      <c r="N319" s="221">
        <v>50574.08411261806</v>
      </c>
      <c r="O319" s="221">
        <v>-226950.45417906277</v>
      </c>
      <c r="Q319" s="204">
        <f t="shared" si="4"/>
        <v>0</v>
      </c>
      <c r="R319" s="204">
        <f>IF(MAX(K320:L320)=K320,1,0)</f>
        <v>1</v>
      </c>
    </row>
    <row r="320" spans="1:18" x14ac:dyDescent="0.3">
      <c r="A320" s="110">
        <v>315</v>
      </c>
      <c r="C320" s="191">
        <v>1.1755024563502714</v>
      </c>
      <c r="D320" s="192">
        <v>92576.751976461674</v>
      </c>
      <c r="E320" s="192">
        <v>1.1169631345231135</v>
      </c>
      <c r="F320" s="192">
        <v>75470.817884571254</v>
      </c>
      <c r="G320" s="192">
        <v>-5.8539321827157931E-2</v>
      </c>
      <c r="H320" s="203">
        <v>5.8539321827157931E-2</v>
      </c>
      <c r="I320" s="192">
        <v>-17105.93409189042</v>
      </c>
      <c r="K320" s="202">
        <v>-118473.89856371112</v>
      </c>
      <c r="L320" s="202">
        <v>-137833.59654594713</v>
      </c>
      <c r="M320" s="221">
        <v>19359.697982236015</v>
      </c>
      <c r="N320" s="221">
        <v>19359.697982236001</v>
      </c>
      <c r="O320" s="221">
        <v>-292212.71374473843</v>
      </c>
      <c r="Q320" s="204">
        <f t="shared" si="4"/>
        <v>0</v>
      </c>
      <c r="R320" s="204">
        <f>IF(MAX(K321:L321)=K321,1,0)</f>
        <v>1</v>
      </c>
    </row>
    <row r="321" spans="1:18" x14ac:dyDescent="0.3">
      <c r="A321" s="110">
        <v>316</v>
      </c>
      <c r="C321" s="191">
        <v>1.2222075535327577</v>
      </c>
      <c r="D321" s="192">
        <v>119219.91759113027</v>
      </c>
      <c r="E321" s="192">
        <v>1.0700656769452703</v>
      </c>
      <c r="F321" s="192">
        <v>86636.202032901216</v>
      </c>
      <c r="G321" s="192">
        <v>-0.15214187658748735</v>
      </c>
      <c r="H321" s="203">
        <v>0.15214187658748735</v>
      </c>
      <c r="I321" s="192">
        <v>-32583.715558229058</v>
      </c>
      <c r="K321" s="202">
        <v>-127833.73059529412</v>
      </c>
      <c r="L321" s="202">
        <v>-166274.90840214145</v>
      </c>
      <c r="M321" s="221">
        <v>38441.177806847321</v>
      </c>
      <c r="N321" s="221">
        <v>38441.177806847321</v>
      </c>
      <c r="O321" s="221">
        <v>-214166.64687642516</v>
      </c>
      <c r="Q321" s="204">
        <f t="shared" si="4"/>
        <v>0</v>
      </c>
      <c r="R321" s="204">
        <f>IF(MAX(K322:L322)=K322,1,0)</f>
        <v>1</v>
      </c>
    </row>
    <row r="322" spans="1:18" x14ac:dyDescent="0.3">
      <c r="A322" s="110">
        <v>317</v>
      </c>
      <c r="C322" s="191">
        <v>1.2457098447002506</v>
      </c>
      <c r="D322" s="192">
        <v>121928.41411888675</v>
      </c>
      <c r="E322" s="192">
        <v>1.1164724249017728</v>
      </c>
      <c r="F322" s="192">
        <v>92895.916406917575</v>
      </c>
      <c r="G322" s="192">
        <v>-0.1292374197984778</v>
      </c>
      <c r="H322" s="203">
        <v>0.1292374197984778</v>
      </c>
      <c r="I322" s="192">
        <v>-29032.497711969176</v>
      </c>
      <c r="K322" s="202">
        <v>-135880.10476563583</v>
      </c>
      <c r="L322" s="202">
        <v>-169888.2431398464</v>
      </c>
      <c r="M322" s="221">
        <v>34008.138374210568</v>
      </c>
      <c r="N322" s="221">
        <v>34008.138374210568</v>
      </c>
      <c r="O322" s="221">
        <v>-224644.67146775342</v>
      </c>
      <c r="Q322" s="204">
        <f t="shared" si="4"/>
        <v>0</v>
      </c>
      <c r="R322" s="204">
        <f>IF(MAX(K323:L323)=K323,1,0)</f>
        <v>1</v>
      </c>
    </row>
    <row r="323" spans="1:18" x14ac:dyDescent="0.3">
      <c r="A323" s="110">
        <v>318</v>
      </c>
      <c r="C323" s="191">
        <v>1.5288340497230128</v>
      </c>
      <c r="D323" s="192">
        <v>130229.68984526912</v>
      </c>
      <c r="E323" s="192">
        <v>1.2929241734980632</v>
      </c>
      <c r="F323" s="192">
        <v>90784.793525576111</v>
      </c>
      <c r="G323" s="192">
        <v>-0.23590987622494963</v>
      </c>
      <c r="H323" s="203">
        <v>0.23590987622494963</v>
      </c>
      <c r="I323" s="192">
        <v>-39444.896319693013</v>
      </c>
      <c r="K323" s="202">
        <v>-140562.37420525154</v>
      </c>
      <c r="L323" s="202">
        <v>-189089.80075960513</v>
      </c>
      <c r="M323" s="221">
        <v>48527.426554353588</v>
      </c>
      <c r="N323" s="221">
        <v>48527.426554353573</v>
      </c>
      <c r="O323" s="221">
        <v>-167203.24282685269</v>
      </c>
      <c r="Q323" s="204">
        <f t="shared" si="4"/>
        <v>0</v>
      </c>
      <c r="R323" s="204">
        <f>IF(MAX(K324:L324)=K324,1,0)</f>
        <v>1</v>
      </c>
    </row>
    <row r="324" spans="1:18" x14ac:dyDescent="0.3">
      <c r="A324" s="110">
        <v>319</v>
      </c>
      <c r="C324" s="191">
        <v>1.420220219295832</v>
      </c>
      <c r="D324" s="192">
        <v>139272.40365125157</v>
      </c>
      <c r="E324" s="192">
        <v>1.3773526550724633</v>
      </c>
      <c r="F324" s="192">
        <v>109556.57537794109</v>
      </c>
      <c r="G324" s="192">
        <v>-4.2867564223368682E-2</v>
      </c>
      <c r="H324" s="203">
        <v>4.2867564223368682E-2</v>
      </c>
      <c r="I324" s="192">
        <v>-29715.828273310486</v>
      </c>
      <c r="K324" s="202">
        <v>-162584.65259823092</v>
      </c>
      <c r="L324" s="202">
        <v>-193950.8820941411</v>
      </c>
      <c r="M324" s="221">
        <v>31366.229495910171</v>
      </c>
      <c r="N324" s="221">
        <v>31366.229495910182</v>
      </c>
      <c r="O324" s="221">
        <v>-693200.76406653633</v>
      </c>
      <c r="Q324" s="204">
        <f t="shared" si="4"/>
        <v>0</v>
      </c>
      <c r="R324" s="204">
        <f>IF(MAX(K325:L325)=K325,1,0)</f>
        <v>1</v>
      </c>
    </row>
    <row r="325" spans="1:18" x14ac:dyDescent="0.3">
      <c r="A325" s="110">
        <v>320</v>
      </c>
      <c r="C325" s="191">
        <v>1.3022814994685248</v>
      </c>
      <c r="D325" s="192">
        <v>120569.4866967225</v>
      </c>
      <c r="E325" s="192">
        <v>1.1998234803513061</v>
      </c>
      <c r="F325" s="192">
        <v>93732.723779946886</v>
      </c>
      <c r="G325" s="192">
        <v>-0.10245801911721863</v>
      </c>
      <c r="H325" s="203">
        <v>0.10245801911721863</v>
      </c>
      <c r="I325" s="192">
        <v>-26836.762916775609</v>
      </c>
      <c r="K325" s="202">
        <v>-139925.92777347215</v>
      </c>
      <c r="L325" s="202">
        <v>-170707.32442626069</v>
      </c>
      <c r="M325" s="221">
        <v>30781.396652788535</v>
      </c>
      <c r="N325" s="221">
        <v>30781.396652788528</v>
      </c>
      <c r="O325" s="221">
        <v>-261929.35553509588</v>
      </c>
      <c r="Q325" s="204">
        <f t="shared" si="4"/>
        <v>0</v>
      </c>
      <c r="R325" s="204">
        <f>IF(MAX(K326:L326)=K326,1,0)</f>
        <v>1</v>
      </c>
    </row>
    <row r="326" spans="1:18" x14ac:dyDescent="0.3">
      <c r="A326" s="110">
        <v>321</v>
      </c>
      <c r="C326" s="191">
        <v>1.4548454733687737</v>
      </c>
      <c r="D326" s="192">
        <v>140139.09294373653</v>
      </c>
      <c r="E326" s="192">
        <v>1.4114823684270972</v>
      </c>
      <c r="F326" s="192">
        <v>103792.10509293985</v>
      </c>
      <c r="G326" s="192">
        <v>-4.33631049416765E-2</v>
      </c>
      <c r="H326" s="203">
        <v>4.33631049416765E-2</v>
      </c>
      <c r="I326" s="192">
        <v>-36346.987850796679</v>
      </c>
      <c r="K326" s="202">
        <v>-158134.17627738309</v>
      </c>
      <c r="L326" s="202">
        <v>-196150.64366843432</v>
      </c>
      <c r="M326" s="221">
        <v>38016.467391051236</v>
      </c>
      <c r="N326" s="221">
        <v>38016.467391051221</v>
      </c>
      <c r="O326" s="221">
        <v>-838200.76767296717</v>
      </c>
      <c r="Q326" s="204">
        <f t="shared" si="4"/>
        <v>0</v>
      </c>
      <c r="R326" s="204">
        <f>IF(MAX(K327:L327)=K327,1,0)</f>
        <v>1</v>
      </c>
    </row>
    <row r="327" spans="1:18" x14ac:dyDescent="0.3">
      <c r="A327" s="110">
        <v>322</v>
      </c>
      <c r="C327" s="191">
        <v>1.4364630134002583</v>
      </c>
      <c r="D327" s="192">
        <v>113559.28641427514</v>
      </c>
      <c r="E327" s="192">
        <v>1.3647249995845889</v>
      </c>
      <c r="F327" s="192">
        <v>86976.447440856078</v>
      </c>
      <c r="G327" s="192">
        <v>-7.1738013815669355E-2</v>
      </c>
      <c r="H327" s="203">
        <v>7.1738013815669355E-2</v>
      </c>
      <c r="I327" s="192">
        <v>-26582.838973419057</v>
      </c>
      <c r="K327" s="202">
        <v>-139518.35992486274</v>
      </c>
      <c r="L327" s="202">
        <v>-168863.11243018508</v>
      </c>
      <c r="M327" s="221">
        <v>29344.752505322336</v>
      </c>
      <c r="N327" s="221">
        <v>29344.752505322329</v>
      </c>
      <c r="O327" s="221">
        <v>-370554.4321553646</v>
      </c>
      <c r="Q327" s="204">
        <f t="shared" ref="Q327:Q390" si="5">IF(MAX(K327:L327)=L327,1,0)</f>
        <v>0</v>
      </c>
      <c r="R327" s="204">
        <f>IF(MAX(K328:L328)=K328,1,0)</f>
        <v>1</v>
      </c>
    </row>
    <row r="328" spans="1:18" x14ac:dyDescent="0.3">
      <c r="A328" s="110">
        <v>323</v>
      </c>
      <c r="C328" s="191">
        <v>1.4707255275947377</v>
      </c>
      <c r="D328" s="192">
        <v>130755.44766393963</v>
      </c>
      <c r="E328" s="192">
        <v>1.3279935649848584</v>
      </c>
      <c r="F328" s="192">
        <v>104582.97000939037</v>
      </c>
      <c r="G328" s="192">
        <v>-0.1427319626098793</v>
      </c>
      <c r="H328" s="203">
        <v>0.1427319626098793</v>
      </c>
      <c r="I328" s="192">
        <v>-26172.477654549264</v>
      </c>
      <c r="K328" s="202">
        <v>-155710.72226130741</v>
      </c>
      <c r="L328" s="202">
        <v>-187378.38047633704</v>
      </c>
      <c r="M328" s="221">
        <v>31667.658215029631</v>
      </c>
      <c r="N328" s="221">
        <v>31667.658215029616</v>
      </c>
      <c r="O328" s="221">
        <v>-183368.02196215099</v>
      </c>
      <c r="Q328" s="204">
        <f t="shared" si="5"/>
        <v>0</v>
      </c>
      <c r="R328" s="204">
        <f>IF(MAX(K329:L329)=K329,1,0)</f>
        <v>1</v>
      </c>
    </row>
    <row r="329" spans="1:18" x14ac:dyDescent="0.3">
      <c r="A329" s="110">
        <v>324</v>
      </c>
      <c r="C329" s="191">
        <v>1.4345587165362061</v>
      </c>
      <c r="D329" s="192">
        <v>131548.13780043888</v>
      </c>
      <c r="E329" s="192">
        <v>1.2537028552592315</v>
      </c>
      <c r="F329" s="192">
        <v>93145.103407347153</v>
      </c>
      <c r="G329" s="192">
        <v>-0.18085586127697462</v>
      </c>
      <c r="H329" s="203">
        <v>0.18085586127697462</v>
      </c>
      <c r="I329" s="192">
        <v>-38403.03439309173</v>
      </c>
      <c r="K329" s="202">
        <v>-141412.66333482758</v>
      </c>
      <c r="L329" s="202">
        <v>-186778.64838708282</v>
      </c>
      <c r="M329" s="221">
        <v>45365.985052255244</v>
      </c>
      <c r="N329" s="221">
        <v>45365.985052255252</v>
      </c>
      <c r="O329" s="221">
        <v>-212340.55740266436</v>
      </c>
      <c r="Q329" s="204">
        <f t="shared" si="5"/>
        <v>0</v>
      </c>
      <c r="R329" s="204">
        <f>IF(MAX(K330:L330)=K330,1,0)</f>
        <v>1</v>
      </c>
    </row>
    <row r="330" spans="1:18" x14ac:dyDescent="0.3">
      <c r="A330" s="110">
        <v>325</v>
      </c>
      <c r="C330" s="191">
        <v>1.3207584093876785</v>
      </c>
      <c r="D330" s="192">
        <v>111980.85350032758</v>
      </c>
      <c r="E330" s="192">
        <v>1.2579119644746195</v>
      </c>
      <c r="F330" s="192">
        <v>101768.21811225114</v>
      </c>
      <c r="G330" s="192">
        <v>-6.2846444913059019E-2</v>
      </c>
      <c r="H330" s="203">
        <v>6.2846444913059019E-2</v>
      </c>
      <c r="I330" s="192">
        <v>-10212.635388076436</v>
      </c>
      <c r="K330" s="202">
        <v>-150197.82874452398</v>
      </c>
      <c r="L330" s="202">
        <v>-162830.05226175318</v>
      </c>
      <c r="M330" s="221">
        <v>12632.223517229198</v>
      </c>
      <c r="N330" s="221">
        <v>12632.223517229209</v>
      </c>
      <c r="O330" s="221">
        <v>-162501.40166567048</v>
      </c>
      <c r="Q330" s="204">
        <f t="shared" si="5"/>
        <v>0</v>
      </c>
      <c r="R330" s="204">
        <f>IF(MAX(K331:L331)=K331,1,0)</f>
        <v>1</v>
      </c>
    </row>
    <row r="331" spans="1:18" x14ac:dyDescent="0.3">
      <c r="A331" s="110">
        <v>326</v>
      </c>
      <c r="C331" s="191">
        <v>1.3150721478282141</v>
      </c>
      <c r="D331" s="192">
        <v>118363.45409481823</v>
      </c>
      <c r="E331" s="192">
        <v>1.1747662075628342</v>
      </c>
      <c r="F331" s="192">
        <v>92016.933888723157</v>
      </c>
      <c r="G331" s="192">
        <v>-0.1403059402653799</v>
      </c>
      <c r="H331" s="203">
        <v>0.1403059402653799</v>
      </c>
      <c r="I331" s="192">
        <v>-26346.520206095069</v>
      </c>
      <c r="K331" s="202">
        <v>-137245.43287989227</v>
      </c>
      <c r="L331" s="202">
        <v>-168993.73178620447</v>
      </c>
      <c r="M331" s="221">
        <v>31748.298906312208</v>
      </c>
      <c r="N331" s="221">
        <v>31748.298906312193</v>
      </c>
      <c r="O331" s="221">
        <v>-187779.07874935499</v>
      </c>
      <c r="Q331" s="204">
        <f t="shared" si="5"/>
        <v>0</v>
      </c>
      <c r="R331" s="204">
        <f>IF(MAX(K332:L332)=K332,1,0)</f>
        <v>1</v>
      </c>
    </row>
    <row r="332" spans="1:18" x14ac:dyDescent="0.3">
      <c r="A332" s="110">
        <v>327</v>
      </c>
      <c r="C332" s="191">
        <v>1.4452641849515011</v>
      </c>
      <c r="D332" s="192">
        <v>114599.83165134041</v>
      </c>
      <c r="E332" s="192">
        <v>1.2896350593912469</v>
      </c>
      <c r="F332" s="192">
        <v>82945.615403970602</v>
      </c>
      <c r="G332" s="192">
        <v>-0.15562912556025421</v>
      </c>
      <c r="H332" s="203">
        <v>0.15562912556025421</v>
      </c>
      <c r="I332" s="192">
        <v>-31654.216247369812</v>
      </c>
      <c r="K332" s="202">
        <v>-132596.56519053361</v>
      </c>
      <c r="L332" s="202">
        <v>-170242.5027719732</v>
      </c>
      <c r="M332" s="221">
        <v>37645.93758143959</v>
      </c>
      <c r="N332" s="221">
        <v>37645.937581439597</v>
      </c>
      <c r="O332" s="221">
        <v>-203395.19439832869</v>
      </c>
      <c r="Q332" s="204">
        <f t="shared" si="5"/>
        <v>0</v>
      </c>
      <c r="R332" s="204">
        <f>IF(MAX(K333:L333)=K333,1,0)</f>
        <v>1</v>
      </c>
    </row>
    <row r="333" spans="1:18" x14ac:dyDescent="0.3">
      <c r="A333" s="110">
        <v>328</v>
      </c>
      <c r="C333" s="191">
        <v>1.2644291457745775</v>
      </c>
      <c r="D333" s="192">
        <v>119431.26684553314</v>
      </c>
      <c r="E333" s="192">
        <v>1.0770759174837063</v>
      </c>
      <c r="F333" s="192">
        <v>78798.450528596702</v>
      </c>
      <c r="G333" s="192">
        <v>-0.1873532282908712</v>
      </c>
      <c r="H333" s="203">
        <v>0.1873532282908712</v>
      </c>
      <c r="I333" s="192">
        <v>-40632.816316936442</v>
      </c>
      <c r="K333" s="202">
        <v>-120265.87335171941</v>
      </c>
      <c r="L333" s="202">
        <v>-168111.78895785438</v>
      </c>
      <c r="M333" s="221">
        <v>47845.915606134979</v>
      </c>
      <c r="N333" s="221">
        <v>47845.915606134986</v>
      </c>
      <c r="O333" s="221">
        <v>-216878.12207779437</v>
      </c>
      <c r="Q333" s="204">
        <f t="shared" si="5"/>
        <v>0</v>
      </c>
      <c r="R333" s="204">
        <f>IF(MAX(K334:L334)=K334,1,0)</f>
        <v>1</v>
      </c>
    </row>
    <row r="334" spans="1:18" x14ac:dyDescent="0.3">
      <c r="A334" s="110">
        <v>329</v>
      </c>
      <c r="C334" s="191">
        <v>1.3860926609696786</v>
      </c>
      <c r="D334" s="192">
        <v>128725.64175703484</v>
      </c>
      <c r="E334" s="192">
        <v>1.2971868011226662</v>
      </c>
      <c r="F334" s="192">
        <v>97867.43016289371</v>
      </c>
      <c r="G334" s="192">
        <v>-8.8905859847012492E-2</v>
      </c>
      <c r="H334" s="203">
        <v>8.8905859847012492E-2</v>
      </c>
      <c r="I334" s="192">
        <v>-30858.211594141132</v>
      </c>
      <c r="K334" s="202">
        <v>-147809.12200611635</v>
      </c>
      <c r="L334" s="202">
        <v>-182090.20920436748</v>
      </c>
      <c r="M334" s="221">
        <v>34281.087198251131</v>
      </c>
      <c r="N334" s="221">
        <v>34281.087198251116</v>
      </c>
      <c r="O334" s="221">
        <v>-347088.61313800188</v>
      </c>
      <c r="Q334" s="204">
        <f t="shared" si="5"/>
        <v>0</v>
      </c>
      <c r="R334" s="204">
        <f>IF(MAX(K335:L335)=K335,1,0)</f>
        <v>1</v>
      </c>
    </row>
    <row r="335" spans="1:18" x14ac:dyDescent="0.3">
      <c r="A335" s="110">
        <v>330</v>
      </c>
      <c r="C335" s="191">
        <v>1.44323982795061</v>
      </c>
      <c r="D335" s="192">
        <v>110167.73531574923</v>
      </c>
      <c r="E335" s="192">
        <v>1.3243663896621185</v>
      </c>
      <c r="F335" s="192">
        <v>83805.540178920535</v>
      </c>
      <c r="G335" s="192">
        <v>-0.11887343828849151</v>
      </c>
      <c r="H335" s="203">
        <v>0.11887343828849151</v>
      </c>
      <c r="I335" s="192">
        <v>-26362.195136828697</v>
      </c>
      <c r="K335" s="202">
        <v>-134793.6461809121</v>
      </c>
      <c r="L335" s="202">
        <v>-165732.46869184772</v>
      </c>
      <c r="M335" s="221">
        <v>30938.822510935628</v>
      </c>
      <c r="N335" s="221">
        <v>30938.822510935621</v>
      </c>
      <c r="O335" s="221">
        <v>-221766.91039129219</v>
      </c>
      <c r="Q335" s="204">
        <f t="shared" si="5"/>
        <v>0</v>
      </c>
      <c r="R335" s="204">
        <f>IF(MAX(K336:L336)=K336,1,0)</f>
        <v>1</v>
      </c>
    </row>
    <row r="336" spans="1:18" x14ac:dyDescent="0.3">
      <c r="A336" s="110">
        <v>331</v>
      </c>
      <c r="C336" s="191">
        <v>1.2818963307801869</v>
      </c>
      <c r="D336" s="192">
        <v>111149.80047855859</v>
      </c>
      <c r="E336" s="192">
        <v>1.1380051166024405</v>
      </c>
      <c r="F336" s="192">
        <v>85740.631848633668</v>
      </c>
      <c r="G336" s="192">
        <v>-0.14389121417774642</v>
      </c>
      <c r="H336" s="203">
        <v>0.14389121417774642</v>
      </c>
      <c r="I336" s="192">
        <v>-25409.168629924927</v>
      </c>
      <c r="K336" s="202">
        <v>-129553.82883782763</v>
      </c>
      <c r="L336" s="202">
        <v>-160502.80921359578</v>
      </c>
      <c r="M336" s="221">
        <v>30948.980375768151</v>
      </c>
      <c r="N336" s="221">
        <v>30948.980375768166</v>
      </c>
      <c r="O336" s="221">
        <v>-176585.96304940066</v>
      </c>
      <c r="Q336" s="204">
        <f t="shared" si="5"/>
        <v>0</v>
      </c>
      <c r="R336" s="204">
        <f>IF(MAX(K337:L337)=K337,1,0)</f>
        <v>1</v>
      </c>
    </row>
    <row r="337" spans="1:18" x14ac:dyDescent="0.3">
      <c r="A337" s="110">
        <v>332</v>
      </c>
      <c r="C337" s="191">
        <v>1.0746486123381105</v>
      </c>
      <c r="D337" s="192">
        <v>122277.32293874351</v>
      </c>
      <c r="E337" s="192">
        <v>0.93474968571235606</v>
      </c>
      <c r="F337" s="192">
        <v>95758.297596657532</v>
      </c>
      <c r="G337" s="192">
        <v>-0.13989892662575443</v>
      </c>
      <c r="H337" s="203">
        <v>0.13989892662575443</v>
      </c>
      <c r="I337" s="192">
        <v>-26519.025342085981</v>
      </c>
      <c r="K337" s="202">
        <v>-131746.16049658324</v>
      </c>
      <c r="L337" s="202">
        <v>-163651.29451376077</v>
      </c>
      <c r="M337" s="221">
        <v>31905.134017177537</v>
      </c>
      <c r="N337" s="221">
        <v>31905.134017177526</v>
      </c>
      <c r="O337" s="221">
        <v>-189558.46182456709</v>
      </c>
      <c r="Q337" s="204">
        <f t="shared" si="5"/>
        <v>0</v>
      </c>
      <c r="R337" s="204">
        <f>IF(MAX(K338:L338)=K338,1,0)</f>
        <v>1</v>
      </c>
    </row>
    <row r="338" spans="1:18" x14ac:dyDescent="0.3">
      <c r="A338" s="110">
        <v>333</v>
      </c>
      <c r="C338" s="191">
        <v>1.4313518982158007</v>
      </c>
      <c r="D338" s="192">
        <v>124425.82190415464</v>
      </c>
      <c r="E338" s="192">
        <v>1.2994177536798515</v>
      </c>
      <c r="F338" s="192">
        <v>96695.29841015031</v>
      </c>
      <c r="G338" s="192">
        <v>-0.1319341445359492</v>
      </c>
      <c r="H338" s="203">
        <v>0.1319341445359492</v>
      </c>
      <c r="I338" s="192">
        <v>-27730.52349400433</v>
      </c>
      <c r="K338" s="202">
        <v>-146722.8819268246</v>
      </c>
      <c r="L338" s="202">
        <v>-179532.86998546298</v>
      </c>
      <c r="M338" s="221">
        <v>32809.988058638381</v>
      </c>
      <c r="N338" s="221">
        <v>32809.988058638373</v>
      </c>
      <c r="O338" s="221">
        <v>-210184.5855865489</v>
      </c>
      <c r="Q338" s="204">
        <f t="shared" si="5"/>
        <v>0</v>
      </c>
      <c r="R338" s="204">
        <f>IF(MAX(K339:L339)=K339,1,0)</f>
        <v>1</v>
      </c>
    </row>
    <row r="339" spans="1:18" x14ac:dyDescent="0.3">
      <c r="A339" s="110">
        <v>334</v>
      </c>
      <c r="C339" s="191">
        <v>1.3222785252636546</v>
      </c>
      <c r="D339" s="192">
        <v>104842.77854092431</v>
      </c>
      <c r="E339" s="192">
        <v>1.1862554430597141</v>
      </c>
      <c r="F339" s="192">
        <v>71884.220038082916</v>
      </c>
      <c r="G339" s="192">
        <v>-0.13602308220394055</v>
      </c>
      <c r="H339" s="203">
        <v>0.13602308220394055</v>
      </c>
      <c r="I339" s="192">
        <v>-32958.558502841392</v>
      </c>
      <c r="K339" s="202">
        <v>-117555.0545958819</v>
      </c>
      <c r="L339" s="202">
        <v>-155750.50176357501</v>
      </c>
      <c r="M339" s="221">
        <v>38195.447167693113</v>
      </c>
      <c r="N339" s="221">
        <v>38195.447167693099</v>
      </c>
      <c r="O339" s="221">
        <v>-242301.21806405141</v>
      </c>
      <c r="Q339" s="204">
        <f t="shared" si="5"/>
        <v>0</v>
      </c>
      <c r="R339" s="204">
        <f>IF(MAX(K340:L340)=K340,1,0)</f>
        <v>1</v>
      </c>
    </row>
    <row r="340" spans="1:18" x14ac:dyDescent="0.3">
      <c r="A340" s="110">
        <v>335</v>
      </c>
      <c r="C340" s="191">
        <v>1.0391549414659098</v>
      </c>
      <c r="D340" s="192">
        <v>124543.07820584287</v>
      </c>
      <c r="E340" s="192">
        <v>0.87079976303695672</v>
      </c>
      <c r="F340" s="192">
        <v>92743.292399756843</v>
      </c>
      <c r="G340" s="192">
        <v>-0.16835517842895309</v>
      </c>
      <c r="H340" s="203">
        <v>0.16835517842895309</v>
      </c>
      <c r="I340" s="192">
        <v>-31799.785806086031</v>
      </c>
      <c r="K340" s="202">
        <v>-126269.08327667968</v>
      </c>
      <c r="L340" s="202">
        <v>-164550.5434522804</v>
      </c>
      <c r="M340" s="221">
        <v>38281.460175600718</v>
      </c>
      <c r="N340" s="221">
        <v>38281.460175600725</v>
      </c>
      <c r="O340" s="221">
        <v>-188885.10649231815</v>
      </c>
      <c r="Q340" s="204">
        <f t="shared" si="5"/>
        <v>0</v>
      </c>
      <c r="R340" s="204">
        <f>IF(MAX(K341:L341)=K341,1,0)</f>
        <v>1</v>
      </c>
    </row>
    <row r="341" spans="1:18" x14ac:dyDescent="0.3">
      <c r="A341" s="110">
        <v>336</v>
      </c>
      <c r="C341" s="191">
        <v>1.5546502196626819</v>
      </c>
      <c r="D341" s="192">
        <v>122332.79927637099</v>
      </c>
      <c r="E341" s="192">
        <v>1.431046825387442</v>
      </c>
      <c r="F341" s="192">
        <v>92006.925327007761</v>
      </c>
      <c r="G341" s="192">
        <v>-0.12360339427523992</v>
      </c>
      <c r="H341" s="203">
        <v>0.12360339427523992</v>
      </c>
      <c r="I341" s="192">
        <v>-30325.873949363231</v>
      </c>
      <c r="K341" s="202">
        <v>-147102.22810442428</v>
      </c>
      <c r="L341" s="202">
        <v>-182186.83273338425</v>
      </c>
      <c r="M341" s="221">
        <v>35084.604628959962</v>
      </c>
      <c r="N341" s="221">
        <v>35084.604628959969</v>
      </c>
      <c r="O341" s="221">
        <v>-245348.22953027976</v>
      </c>
      <c r="Q341" s="204">
        <f t="shared" si="5"/>
        <v>0</v>
      </c>
      <c r="R341" s="204">
        <f>IF(MAX(K342:L342)=K342,1,0)</f>
        <v>1</v>
      </c>
    </row>
    <row r="342" spans="1:18" x14ac:dyDescent="0.3">
      <c r="A342" s="110">
        <v>337</v>
      </c>
      <c r="C342" s="191">
        <v>1.255941691889066</v>
      </c>
      <c r="D342" s="192">
        <v>110484.08727914769</v>
      </c>
      <c r="E342" s="192">
        <v>1.0919406959375877</v>
      </c>
      <c r="F342" s="192">
        <v>78684.933404655414</v>
      </c>
      <c r="G342" s="192">
        <v>-0.16400099595147832</v>
      </c>
      <c r="H342" s="203">
        <v>0.16400099595147832</v>
      </c>
      <c r="I342" s="192">
        <v>-31799.153874492273</v>
      </c>
      <c r="K342" s="202">
        <v>-120724.65019825254</v>
      </c>
      <c r="L342" s="202">
        <v>-158837.84241687672</v>
      </c>
      <c r="M342" s="221">
        <v>38113.192218624186</v>
      </c>
      <c r="N342" s="221">
        <v>38113.192218624186</v>
      </c>
      <c r="O342" s="221">
        <v>-193896.10221574776</v>
      </c>
      <c r="Q342" s="204">
        <f t="shared" si="5"/>
        <v>0</v>
      </c>
      <c r="R342" s="204">
        <f>IF(MAX(K343:L343)=K343,1,0)</f>
        <v>1</v>
      </c>
    </row>
    <row r="343" spans="1:18" x14ac:dyDescent="0.3">
      <c r="A343" s="110">
        <v>338</v>
      </c>
      <c r="C343" s="191">
        <v>1.49528907765615</v>
      </c>
      <c r="D343" s="192">
        <v>108130.08064872505</v>
      </c>
      <c r="E343" s="192">
        <v>1.4320117882737091</v>
      </c>
      <c r="F343" s="192">
        <v>83985.803413345187</v>
      </c>
      <c r="G343" s="192">
        <v>-6.3277289382440927E-2</v>
      </c>
      <c r="H343" s="203">
        <v>6.3277289382440927E-2</v>
      </c>
      <c r="I343" s="192">
        <v>-24144.277235379865</v>
      </c>
      <c r="K343" s="202">
        <v>-139118.257261883</v>
      </c>
      <c r="L343" s="202">
        <v>-165698.71013848681</v>
      </c>
      <c r="M343" s="221">
        <v>26580.452876603813</v>
      </c>
      <c r="N343" s="221">
        <v>26580.452876603842</v>
      </c>
      <c r="O343" s="221">
        <v>-381563.07691144175</v>
      </c>
      <c r="Q343" s="204">
        <f t="shared" si="5"/>
        <v>0</v>
      </c>
      <c r="R343" s="204">
        <f>IF(MAX(K344:L344)=K344,1,0)</f>
        <v>1</v>
      </c>
    </row>
    <row r="344" spans="1:18" x14ac:dyDescent="0.3">
      <c r="A344" s="110">
        <v>339</v>
      </c>
      <c r="C344" s="191">
        <v>1.3926202951449713</v>
      </c>
      <c r="D344" s="192">
        <v>95966.846879988807</v>
      </c>
      <c r="E344" s="192">
        <v>1.3243833357570449</v>
      </c>
      <c r="F344" s="192">
        <v>73714.855284802063</v>
      </c>
      <c r="G344" s="192">
        <v>-6.8236959387926399E-2</v>
      </c>
      <c r="H344" s="203">
        <v>6.8236959387926399E-2</v>
      </c>
      <c r="I344" s="192">
        <v>-22251.991595186744</v>
      </c>
      <c r="K344" s="202">
        <v>-124703.6137114483</v>
      </c>
      <c r="L344" s="202">
        <v>-149582.72824307019</v>
      </c>
      <c r="M344" s="221">
        <v>24879.11453162189</v>
      </c>
      <c r="N344" s="221">
        <v>24879.114531621912</v>
      </c>
      <c r="O344" s="221">
        <v>-326098.814993857</v>
      </c>
      <c r="Q344" s="204">
        <f t="shared" si="5"/>
        <v>0</v>
      </c>
      <c r="R344" s="204">
        <f>IF(MAX(K345:L345)=K345,1,0)</f>
        <v>1</v>
      </c>
    </row>
    <row r="345" spans="1:18" x14ac:dyDescent="0.3">
      <c r="A345" s="110">
        <v>340</v>
      </c>
      <c r="C345" s="191">
        <v>1.3502496144709213</v>
      </c>
      <c r="D345" s="192">
        <v>141393.03044292142</v>
      </c>
      <c r="E345" s="192">
        <v>1.210284105447806</v>
      </c>
      <c r="F345" s="192">
        <v>95626.293835897784</v>
      </c>
      <c r="G345" s="192">
        <v>-0.13996550902311533</v>
      </c>
      <c r="H345" s="203">
        <v>0.13996550902311533</v>
      </c>
      <c r="I345" s="192">
        <v>-45766.736607023631</v>
      </c>
      <c r="K345" s="202">
        <v>-142222.23189563831</v>
      </c>
      <c r="L345" s="202">
        <v>-193377.64060005188</v>
      </c>
      <c r="M345" s="221">
        <v>51155.408704413567</v>
      </c>
      <c r="N345" s="221">
        <v>51155.408704413574</v>
      </c>
      <c r="O345" s="221">
        <v>-326985.81905250135</v>
      </c>
      <c r="Q345" s="204">
        <f t="shared" si="5"/>
        <v>0</v>
      </c>
      <c r="R345" s="204">
        <f>IF(MAX(K346:L346)=K346,1,0)</f>
        <v>1</v>
      </c>
    </row>
    <row r="346" spans="1:18" x14ac:dyDescent="0.3">
      <c r="A346" s="110">
        <v>341</v>
      </c>
      <c r="C346" s="191">
        <v>1.2710608335017128</v>
      </c>
      <c r="D346" s="192">
        <v>144368.21920423684</v>
      </c>
      <c r="E346" s="192">
        <v>1.0581437994105778</v>
      </c>
      <c r="F346" s="192">
        <v>94055.712752934225</v>
      </c>
      <c r="G346" s="192">
        <v>-0.21291703409113505</v>
      </c>
      <c r="H346" s="203">
        <v>0.21291703409113505</v>
      </c>
      <c r="I346" s="192">
        <v>-50312.506451302615</v>
      </c>
      <c r="K346" s="202">
        <v>-134794.24903024148</v>
      </c>
      <c r="L346" s="202">
        <v>-193304.06129405278</v>
      </c>
      <c r="M346" s="221">
        <v>58509.812263811298</v>
      </c>
      <c r="N346" s="221">
        <v>58509.812263811313</v>
      </c>
      <c r="O346" s="221">
        <v>-236300.99238451401</v>
      </c>
      <c r="Q346" s="204">
        <f t="shared" si="5"/>
        <v>0</v>
      </c>
      <c r="R346" s="204">
        <f>IF(MAX(K347:L347)=K347,1,0)</f>
        <v>1</v>
      </c>
    </row>
    <row r="347" spans="1:18" x14ac:dyDescent="0.3">
      <c r="A347" s="110">
        <v>342</v>
      </c>
      <c r="C347" s="191">
        <v>1.3276119898169323</v>
      </c>
      <c r="D347" s="192">
        <v>138766.26680074958</v>
      </c>
      <c r="E347" s="192">
        <v>1.1098032085744622</v>
      </c>
      <c r="F347" s="192">
        <v>96939.212127264982</v>
      </c>
      <c r="G347" s="192">
        <v>-0.21780878124247005</v>
      </c>
      <c r="H347" s="203">
        <v>0.21780878124247005</v>
      </c>
      <c r="I347" s="192">
        <v>-41827.054673484599</v>
      </c>
      <c r="K347" s="202">
        <v>-139666.63565738179</v>
      </c>
      <c r="L347" s="202">
        <v>-189879.32840870146</v>
      </c>
      <c r="M347" s="221">
        <v>50212.692751319672</v>
      </c>
      <c r="N347" s="221">
        <v>50212.692751319701</v>
      </c>
      <c r="O347" s="221">
        <v>-192035.66740921111</v>
      </c>
      <c r="Q347" s="204">
        <f t="shared" si="5"/>
        <v>0</v>
      </c>
      <c r="R347" s="204">
        <f>IF(MAX(K348:L348)=K348,1,0)</f>
        <v>1</v>
      </c>
    </row>
    <row r="348" spans="1:18" x14ac:dyDescent="0.3">
      <c r="A348" s="110">
        <v>343</v>
      </c>
      <c r="C348" s="191">
        <v>1.3097410220202663</v>
      </c>
      <c r="D348" s="192">
        <v>110886.54160783834</v>
      </c>
      <c r="E348" s="192">
        <v>1.1814866000824293</v>
      </c>
      <c r="F348" s="192">
        <v>83784.645648355494</v>
      </c>
      <c r="G348" s="192">
        <v>-0.12825442193783698</v>
      </c>
      <c r="H348" s="203">
        <v>0.12825442193783698</v>
      </c>
      <c r="I348" s="192">
        <v>-27101.895959482848</v>
      </c>
      <c r="K348" s="202">
        <v>-129271.87975152902</v>
      </c>
      <c r="L348" s="202">
        <v>-161311.5709556186</v>
      </c>
      <c r="M348" s="221">
        <v>32039.691204089584</v>
      </c>
      <c r="N348" s="221">
        <v>32039.691204089573</v>
      </c>
      <c r="O348" s="221">
        <v>-211313.54030521252</v>
      </c>
      <c r="Q348" s="204">
        <f t="shared" si="5"/>
        <v>0</v>
      </c>
      <c r="R348" s="204">
        <f>IF(MAX(K349:L349)=K349,1,0)</f>
        <v>1</v>
      </c>
    </row>
    <row r="349" spans="1:18" x14ac:dyDescent="0.3">
      <c r="A349" s="110">
        <v>344</v>
      </c>
      <c r="C349" s="191">
        <v>1.3856940396591453</v>
      </c>
      <c r="D349" s="192">
        <v>131909.5159265651</v>
      </c>
      <c r="E349" s="192">
        <v>1.2235301537606134</v>
      </c>
      <c r="F349" s="192">
        <v>100140.2953019972</v>
      </c>
      <c r="G349" s="192">
        <v>-0.16216388589853192</v>
      </c>
      <c r="H349" s="203">
        <v>0.16216388589853192</v>
      </c>
      <c r="I349" s="192">
        <v>-31769.220624567897</v>
      </c>
      <c r="K349" s="202">
        <v>-147246.20622178083</v>
      </c>
      <c r="L349" s="202">
        <v>-185258.73645344219</v>
      </c>
      <c r="M349" s="221">
        <v>38012.530231661367</v>
      </c>
      <c r="N349" s="221">
        <v>38012.530231661374</v>
      </c>
      <c r="O349" s="221">
        <v>-195908.11140555868</v>
      </c>
      <c r="Q349" s="204">
        <f t="shared" si="5"/>
        <v>0</v>
      </c>
      <c r="R349" s="204">
        <f>IF(MAX(K350:L350)=K350,1,0)</f>
        <v>1</v>
      </c>
    </row>
    <row r="350" spans="1:18" x14ac:dyDescent="0.3">
      <c r="A350" s="110">
        <v>345</v>
      </c>
      <c r="C350" s="191">
        <v>1.1337926851899454</v>
      </c>
      <c r="D350" s="192">
        <v>109385.73876096767</v>
      </c>
      <c r="E350" s="192">
        <v>1.094939411197567</v>
      </c>
      <c r="F350" s="192">
        <v>94587.606734323723</v>
      </c>
      <c r="G350" s="192">
        <v>-3.8853273992378368E-2</v>
      </c>
      <c r="H350" s="203">
        <v>3.8853273992378368E-2</v>
      </c>
      <c r="I350" s="192">
        <v>-14798.132026643943</v>
      </c>
      <c r="K350" s="202">
        <v>-136742.77406543004</v>
      </c>
      <c r="L350" s="202">
        <v>-153036.75714078057</v>
      </c>
      <c r="M350" s="221">
        <v>16293.983075350523</v>
      </c>
      <c r="N350" s="221">
        <v>16293.98307535051</v>
      </c>
      <c r="O350" s="221">
        <v>-380872.20216105372</v>
      </c>
      <c r="Q350" s="204">
        <f t="shared" si="5"/>
        <v>0</v>
      </c>
      <c r="R350" s="204">
        <f>IF(MAX(K351:L351)=K351,1,0)</f>
        <v>1</v>
      </c>
    </row>
    <row r="351" spans="1:18" x14ac:dyDescent="0.3">
      <c r="A351" s="110">
        <v>346</v>
      </c>
      <c r="C351" s="191">
        <v>0.85973955689211023</v>
      </c>
      <c r="D351" s="192">
        <v>122205.51845943292</v>
      </c>
      <c r="E351" s="192">
        <v>0.71412209822920214</v>
      </c>
      <c r="F351" s="192">
        <v>100579.92052710106</v>
      </c>
      <c r="G351" s="192">
        <v>-0.14561745866290809</v>
      </c>
      <c r="H351" s="203">
        <v>0.14561745866290809</v>
      </c>
      <c r="I351" s="192">
        <v>-21625.597932331861</v>
      </c>
      <c r="K351" s="202">
        <v>-128073.62130892534</v>
      </c>
      <c r="L351" s="202">
        <v>-155305.49139977916</v>
      </c>
      <c r="M351" s="221">
        <v>27231.870090853816</v>
      </c>
      <c r="N351" s="221">
        <v>27231.870090853823</v>
      </c>
      <c r="O351" s="221">
        <v>-148509.65077198099</v>
      </c>
      <c r="Q351" s="204">
        <f t="shared" si="5"/>
        <v>0</v>
      </c>
      <c r="R351" s="204">
        <f>IF(MAX(K352:L352)=K352,1,0)</f>
        <v>1</v>
      </c>
    </row>
    <row r="352" spans="1:18" x14ac:dyDescent="0.3">
      <c r="A352" s="110">
        <v>347</v>
      </c>
      <c r="C352" s="191">
        <v>1.9070741492952195</v>
      </c>
      <c r="D352" s="192">
        <v>144630.39295099032</v>
      </c>
      <c r="E352" s="192">
        <v>1.6234583439959254</v>
      </c>
      <c r="F352" s="192">
        <v>86701.427994664526</v>
      </c>
      <c r="G352" s="192">
        <v>-0.28361580529929409</v>
      </c>
      <c r="H352" s="203">
        <v>0.28361580529929409</v>
      </c>
      <c r="I352" s="192">
        <v>-57928.964956325799</v>
      </c>
      <c r="K352" s="202">
        <v>-149204.57423850766</v>
      </c>
      <c r="L352" s="202">
        <v>-218052.74769885628</v>
      </c>
      <c r="M352" s="221">
        <v>68848.173460348626</v>
      </c>
      <c r="N352" s="221">
        <v>68848.173460348626</v>
      </c>
      <c r="O352" s="221">
        <v>-204251.53984346718</v>
      </c>
      <c r="Q352" s="204">
        <f t="shared" si="5"/>
        <v>0</v>
      </c>
      <c r="R352" s="204">
        <f>IF(MAX(K353:L353)=K353,1,0)</f>
        <v>1</v>
      </c>
    </row>
    <row r="353" spans="1:18" x14ac:dyDescent="0.3">
      <c r="A353" s="110">
        <v>348</v>
      </c>
      <c r="C353" s="191">
        <v>1.0756990176401593</v>
      </c>
      <c r="D353" s="192">
        <v>111935.58048789787</v>
      </c>
      <c r="E353" s="192">
        <v>0.87786215181405347</v>
      </c>
      <c r="F353" s="192">
        <v>82191.306117287269</v>
      </c>
      <c r="G353" s="192">
        <v>-0.19783686582610582</v>
      </c>
      <c r="H353" s="203">
        <v>0.19783686582610582</v>
      </c>
      <c r="I353" s="192">
        <v>-29744.274370610598</v>
      </c>
      <c r="K353" s="202">
        <v>-115988.99896212833</v>
      </c>
      <c r="L353" s="202">
        <v>-153349.99266704399</v>
      </c>
      <c r="M353" s="221">
        <v>37360.993704915658</v>
      </c>
      <c r="N353" s="221">
        <v>37360.993704915672</v>
      </c>
      <c r="O353" s="221">
        <v>-150347.4807205809</v>
      </c>
      <c r="Q353" s="204">
        <f t="shared" si="5"/>
        <v>0</v>
      </c>
      <c r="R353" s="204">
        <f>IF(MAX(K354:L354)=K354,1,0)</f>
        <v>1</v>
      </c>
    </row>
    <row r="354" spans="1:18" x14ac:dyDescent="0.3">
      <c r="A354" s="110">
        <v>349</v>
      </c>
      <c r="C354" s="191">
        <v>1.395697694000654</v>
      </c>
      <c r="D354" s="192">
        <v>121102.82446083541</v>
      </c>
      <c r="E354" s="192">
        <v>1.2717602495411262</v>
      </c>
      <c r="F354" s="192">
        <v>87695.95208281462</v>
      </c>
      <c r="G354" s="192">
        <v>-0.12393744445952781</v>
      </c>
      <c r="H354" s="203">
        <v>0.12393744445952781</v>
      </c>
      <c r="I354" s="192">
        <v>-33406.872378020795</v>
      </c>
      <c r="K354" s="202">
        <v>-136658.72169014797</v>
      </c>
      <c r="L354" s="202">
        <v>-174837.18567986059</v>
      </c>
      <c r="M354" s="221">
        <v>38178.463989712618</v>
      </c>
      <c r="N354" s="221">
        <v>38178.463989712618</v>
      </c>
      <c r="O354" s="221">
        <v>-269546.24184565886</v>
      </c>
      <c r="Q354" s="204">
        <f t="shared" si="5"/>
        <v>0</v>
      </c>
      <c r="R354" s="204">
        <f>IF(MAX(K355:L355)=K355,1,0)</f>
        <v>1</v>
      </c>
    </row>
    <row r="355" spans="1:18" x14ac:dyDescent="0.3">
      <c r="A355" s="110">
        <v>350</v>
      </c>
      <c r="C355" s="191">
        <v>1.6265707684215536</v>
      </c>
      <c r="D355" s="192">
        <v>122926.43542599509</v>
      </c>
      <c r="E355" s="192">
        <v>1.4922235264771189</v>
      </c>
      <c r="F355" s="192">
        <v>87963.355028250851</v>
      </c>
      <c r="G355" s="192">
        <v>-0.1343472419444347</v>
      </c>
      <c r="H355" s="203">
        <v>0.1343472419444347</v>
      </c>
      <c r="I355" s="192">
        <v>-34963.080397744241</v>
      </c>
      <c r="K355" s="202">
        <v>-145413.96079761992</v>
      </c>
      <c r="L355" s="202">
        <v>-185549.41001022491</v>
      </c>
      <c r="M355" s="221">
        <v>40135.449212604988</v>
      </c>
      <c r="N355" s="221">
        <v>40135.449212604974</v>
      </c>
      <c r="O355" s="221">
        <v>-260244.12478973542</v>
      </c>
      <c r="Q355" s="204">
        <f t="shared" si="5"/>
        <v>0</v>
      </c>
      <c r="R355" s="204">
        <f>IF(MAX(K356:L356)=K356,1,0)</f>
        <v>1</v>
      </c>
    </row>
    <row r="356" spans="1:18" x14ac:dyDescent="0.3">
      <c r="A356" s="110">
        <v>351</v>
      </c>
      <c r="C356" s="191">
        <v>1.2207415185028132</v>
      </c>
      <c r="D356" s="192">
        <v>103622.50715931821</v>
      </c>
      <c r="E356" s="192">
        <v>1.0983663097098184</v>
      </c>
      <c r="F356" s="192">
        <v>81018.677546312669</v>
      </c>
      <c r="G356" s="192">
        <v>-0.12237520879299479</v>
      </c>
      <c r="H356" s="203">
        <v>0.12237520879299479</v>
      </c>
      <c r="I356" s="192">
        <v>-22603.829613005539</v>
      </c>
      <c r="K356" s="202">
        <v>-123305.78047014069</v>
      </c>
      <c r="L356" s="202">
        <v>-150621.05562167653</v>
      </c>
      <c r="M356" s="221">
        <v>27315.27515153584</v>
      </c>
      <c r="N356" s="221">
        <v>27315.27515153584</v>
      </c>
      <c r="O356" s="221">
        <v>-184709.22203892874</v>
      </c>
      <c r="Q356" s="204">
        <f t="shared" si="5"/>
        <v>0</v>
      </c>
      <c r="R356" s="204">
        <f>IF(MAX(K357:L357)=K357,1,0)</f>
        <v>1</v>
      </c>
    </row>
    <row r="357" spans="1:18" x14ac:dyDescent="0.3">
      <c r="A357" s="110">
        <v>352</v>
      </c>
      <c r="C357" s="191">
        <v>1.5382257665756989</v>
      </c>
      <c r="D357" s="192">
        <v>157210.84700809323</v>
      </c>
      <c r="E357" s="192">
        <v>1.3280534633053549</v>
      </c>
      <c r="F357" s="192">
        <v>107716.75015355324</v>
      </c>
      <c r="G357" s="192">
        <v>-0.21017230327034397</v>
      </c>
      <c r="H357" s="203">
        <v>0.21017230327034397</v>
      </c>
      <c r="I357" s="192">
        <v>-49494.096854539996</v>
      </c>
      <c r="K357" s="202">
        <v>-158846.8084908094</v>
      </c>
      <c r="L357" s="202">
        <v>-216432.53902125763</v>
      </c>
      <c r="M357" s="221">
        <v>57585.730530448229</v>
      </c>
      <c r="N357" s="221">
        <v>57585.730530448236</v>
      </c>
      <c r="O357" s="221">
        <v>-235492.9554674761</v>
      </c>
      <c r="Q357" s="204">
        <f t="shared" si="5"/>
        <v>0</v>
      </c>
      <c r="R357" s="204">
        <f>IF(MAX(K358:L358)=K358,1,0)</f>
        <v>1</v>
      </c>
    </row>
    <row r="358" spans="1:18" x14ac:dyDescent="0.3">
      <c r="A358" s="110">
        <v>353</v>
      </c>
      <c r="C358" s="191">
        <v>1.6310973371065556</v>
      </c>
      <c r="D358" s="192">
        <v>132988.69804753648</v>
      </c>
      <c r="E358" s="192">
        <v>1.4057529117203096</v>
      </c>
      <c r="F358" s="192">
        <v>96452.002892099874</v>
      </c>
      <c r="G358" s="192">
        <v>-0.22534442538624599</v>
      </c>
      <c r="H358" s="203">
        <v>0.22534442538624599</v>
      </c>
      <c r="I358" s="192">
        <v>-36536.69515543661</v>
      </c>
      <c r="K358" s="202">
        <v>-150573.48999333178</v>
      </c>
      <c r="L358" s="202">
        <v>-195785.94552613888</v>
      </c>
      <c r="M358" s="221">
        <v>45212.4555328071</v>
      </c>
      <c r="N358" s="221">
        <v>45212.455532807078</v>
      </c>
      <c r="O358" s="221">
        <v>-162137.11563004853</v>
      </c>
      <c r="Q358" s="204">
        <f t="shared" si="5"/>
        <v>0</v>
      </c>
      <c r="R358" s="204">
        <f>IF(MAX(K359:L359)=K359,1,0)</f>
        <v>1</v>
      </c>
    </row>
    <row r="359" spans="1:18" x14ac:dyDescent="0.3">
      <c r="A359" s="110">
        <v>354</v>
      </c>
      <c r="C359" s="191">
        <v>1.8350257212338494</v>
      </c>
      <c r="D359" s="192">
        <v>91809.404259313451</v>
      </c>
      <c r="E359" s="192">
        <v>1.7224386732101655</v>
      </c>
      <c r="F359" s="192">
        <v>72828.733013651174</v>
      </c>
      <c r="G359" s="192">
        <v>-0.11258704802368391</v>
      </c>
      <c r="H359" s="203">
        <v>0.11258704802368391</v>
      </c>
      <c r="I359" s="192">
        <v>-18980.671245662277</v>
      </c>
      <c r="K359" s="202">
        <v>-139142.62193224253</v>
      </c>
      <c r="L359" s="202">
        <v>-162457.89452681667</v>
      </c>
      <c r="M359" s="221">
        <v>23315.27259457414</v>
      </c>
      <c r="N359" s="221">
        <v>23315.272594574108</v>
      </c>
      <c r="O359" s="221">
        <v>-168586.63211126634</v>
      </c>
      <c r="Q359" s="204">
        <f t="shared" si="5"/>
        <v>0</v>
      </c>
      <c r="R359" s="204">
        <f>IF(MAX(K360:L360)=K360,1,0)</f>
        <v>1</v>
      </c>
    </row>
    <row r="360" spans="1:18" x14ac:dyDescent="0.3">
      <c r="A360" s="110">
        <v>355</v>
      </c>
      <c r="C360" s="191">
        <v>1.3707155111602141</v>
      </c>
      <c r="D360" s="192">
        <v>154029.32331258149</v>
      </c>
      <c r="E360" s="192">
        <v>1.2272379274634317</v>
      </c>
      <c r="F360" s="192">
        <v>110464.34939427742</v>
      </c>
      <c r="G360" s="192">
        <v>-0.14347758369678232</v>
      </c>
      <c r="H360" s="203">
        <v>0.14347758369678232</v>
      </c>
      <c r="I360" s="192">
        <v>-43564.973918304066</v>
      </c>
      <c r="K360" s="202">
        <v>-157713.00960161956</v>
      </c>
      <c r="L360" s="202">
        <v>-206801.87049224973</v>
      </c>
      <c r="M360" s="221">
        <v>49088.860890630167</v>
      </c>
      <c r="N360" s="221">
        <v>49088.860890630182</v>
      </c>
      <c r="O360" s="221">
        <v>-303636.09977131966</v>
      </c>
      <c r="Q360" s="204">
        <f t="shared" si="5"/>
        <v>0</v>
      </c>
      <c r="R360" s="204">
        <f>IF(MAX(K361:L361)=K361,1,0)</f>
        <v>1</v>
      </c>
    </row>
    <row r="361" spans="1:18" x14ac:dyDescent="0.3">
      <c r="A361" s="110">
        <v>356</v>
      </c>
      <c r="C361" s="191">
        <v>1.0222729172672562</v>
      </c>
      <c r="D361" s="192">
        <v>80122.027689400507</v>
      </c>
      <c r="E361" s="192">
        <v>0.91742754332248366</v>
      </c>
      <c r="F361" s="192">
        <v>64667.393702651891</v>
      </c>
      <c r="G361" s="192">
        <v>-0.10484537394477256</v>
      </c>
      <c r="H361" s="203">
        <v>0.10484537394477256</v>
      </c>
      <c r="I361" s="192">
        <v>-15454.633986748617</v>
      </c>
      <c r="K361" s="202">
        <v>-99988.354120567514</v>
      </c>
      <c r="L361" s="202">
        <v>-119479.53500418988</v>
      </c>
      <c r="M361" s="221">
        <v>19491.180883622364</v>
      </c>
      <c r="N361" s="221">
        <v>19491.180883622361</v>
      </c>
      <c r="O361" s="221">
        <v>-147404.06186055826</v>
      </c>
      <c r="Q361" s="204">
        <f t="shared" si="5"/>
        <v>0</v>
      </c>
      <c r="R361" s="204">
        <f>IF(MAX(K362:L362)=K362,1,0)</f>
        <v>1</v>
      </c>
    </row>
    <row r="362" spans="1:18" x14ac:dyDescent="0.3">
      <c r="A362" s="110">
        <v>357</v>
      </c>
      <c r="C362" s="191">
        <v>1.8561244112772306</v>
      </c>
      <c r="D362" s="192">
        <v>177306.45568442412</v>
      </c>
      <c r="E362" s="192">
        <v>1.7095859861368021</v>
      </c>
      <c r="F362" s="192">
        <v>120464.16596448584</v>
      </c>
      <c r="G362" s="192">
        <v>-0.14653842514042847</v>
      </c>
      <c r="H362" s="203">
        <v>0.14653842514042847</v>
      </c>
      <c r="I362" s="192">
        <v>-56842.289719938271</v>
      </c>
      <c r="K362" s="202">
        <v>-186283.22643075272</v>
      </c>
      <c r="L362" s="202">
        <v>-248767.24551859748</v>
      </c>
      <c r="M362" s="221">
        <v>62484.019087844761</v>
      </c>
      <c r="N362" s="221">
        <v>62484.019087844768</v>
      </c>
      <c r="O362" s="221">
        <v>-387900.23616990581</v>
      </c>
      <c r="Q362" s="204">
        <f t="shared" si="5"/>
        <v>0</v>
      </c>
      <c r="R362" s="204">
        <f>IF(MAX(K363:L363)=K363,1,0)</f>
        <v>1</v>
      </c>
    </row>
    <row r="363" spans="1:18" x14ac:dyDescent="0.3">
      <c r="A363" s="110">
        <v>358</v>
      </c>
      <c r="C363" s="191">
        <v>1.3594573906811096</v>
      </c>
      <c r="D363" s="192">
        <v>136493.63487626184</v>
      </c>
      <c r="E363" s="192">
        <v>1.2260360000645649</v>
      </c>
      <c r="F363" s="192">
        <v>111911.92683209585</v>
      </c>
      <c r="G363" s="192">
        <v>-0.13342139061654468</v>
      </c>
      <c r="H363" s="203">
        <v>0.13342139061654468</v>
      </c>
      <c r="I363" s="192">
        <v>-24581.708044165993</v>
      </c>
      <c r="K363" s="202">
        <v>-159114.31283458159</v>
      </c>
      <c r="L363" s="202">
        <v>-188832.74441748456</v>
      </c>
      <c r="M363" s="221">
        <v>29718.431582902966</v>
      </c>
      <c r="N363" s="221">
        <v>29718.431582902962</v>
      </c>
      <c r="O363" s="221">
        <v>-184241.13202967757</v>
      </c>
      <c r="Q363" s="204">
        <f t="shared" si="5"/>
        <v>0</v>
      </c>
      <c r="R363" s="204">
        <f>IF(MAX(K364:L364)=K364,1,0)</f>
        <v>1</v>
      </c>
    </row>
    <row r="364" spans="1:18" x14ac:dyDescent="0.3">
      <c r="A364" s="110">
        <v>359</v>
      </c>
      <c r="C364" s="191">
        <v>0.97417839527134553</v>
      </c>
      <c r="D364" s="192">
        <v>97772.997228735228</v>
      </c>
      <c r="E364" s="192">
        <v>0.81748143175973498</v>
      </c>
      <c r="F364" s="192">
        <v>73750.152750544017</v>
      </c>
      <c r="G364" s="192">
        <v>-0.15669696351161055</v>
      </c>
      <c r="H364" s="203">
        <v>0.15669696351161055</v>
      </c>
      <c r="I364" s="192">
        <v>-24022.844478191211</v>
      </c>
      <c r="K364" s="202">
        <v>-105223.18787329382</v>
      </c>
      <c r="L364" s="202">
        <v>-135278.86544668203</v>
      </c>
      <c r="M364" s="221">
        <v>30055.67757338821</v>
      </c>
      <c r="N364" s="221">
        <v>30055.677573388217</v>
      </c>
      <c r="O364" s="221">
        <v>-153307.65791394052</v>
      </c>
      <c r="Q364" s="204">
        <f t="shared" si="5"/>
        <v>0</v>
      </c>
      <c r="R364" s="204">
        <f>IF(MAX(K365:L365)=K365,1,0)</f>
        <v>1</v>
      </c>
    </row>
    <row r="365" spans="1:18" x14ac:dyDescent="0.3">
      <c r="A365" s="110">
        <v>360</v>
      </c>
      <c r="C365" s="191">
        <v>1.5332940087580922</v>
      </c>
      <c r="D365" s="192">
        <v>111481.20312102327</v>
      </c>
      <c r="E365" s="192">
        <v>1.4535556533660201</v>
      </c>
      <c r="F365" s="192">
        <v>87375.035858773015</v>
      </c>
      <c r="G365" s="192">
        <v>-7.973835539207208E-2</v>
      </c>
      <c r="H365" s="203">
        <v>7.973835539207208E-2</v>
      </c>
      <c r="I365" s="192">
        <v>-24106.167262250252</v>
      </c>
      <c r="K365" s="202">
        <v>-143336.92851336478</v>
      </c>
      <c r="L365" s="202">
        <v>-170513.02245820983</v>
      </c>
      <c r="M365" s="221">
        <v>27176.093944845052</v>
      </c>
      <c r="N365" s="221">
        <v>27176.093944845026</v>
      </c>
      <c r="O365" s="221">
        <v>-302315.83212019678</v>
      </c>
      <c r="Q365" s="204">
        <f t="shared" si="5"/>
        <v>0</v>
      </c>
      <c r="R365" s="204">
        <f>IF(MAX(K366:L366)=K366,1,0)</f>
        <v>1</v>
      </c>
    </row>
    <row r="366" spans="1:18" x14ac:dyDescent="0.3">
      <c r="A366" s="110">
        <v>361</v>
      </c>
      <c r="C366" s="191">
        <v>1.014353758908519</v>
      </c>
      <c r="D366" s="192">
        <v>142873.43244063616</v>
      </c>
      <c r="E366" s="192">
        <v>0.87201932569413543</v>
      </c>
      <c r="F366" s="192">
        <v>110526.64035335192</v>
      </c>
      <c r="G366" s="192">
        <v>-0.14233443321438355</v>
      </c>
      <c r="H366" s="203">
        <v>0.14233443321438355</v>
      </c>
      <c r="I366" s="192">
        <v>-32346.792087284237</v>
      </c>
      <c r="K366" s="202">
        <v>-144099.38439257612</v>
      </c>
      <c r="L366" s="202">
        <v>-181926.05215861413</v>
      </c>
      <c r="M366" s="221">
        <v>37826.667766038008</v>
      </c>
      <c r="N366" s="221">
        <v>37826.667766038001</v>
      </c>
      <c r="O366" s="221">
        <v>-227259.07819201858</v>
      </c>
      <c r="Q366" s="204">
        <f t="shared" si="5"/>
        <v>0</v>
      </c>
      <c r="R366" s="204">
        <f>IF(MAX(K367:L367)=K367,1,0)</f>
        <v>1</v>
      </c>
    </row>
    <row r="367" spans="1:18" x14ac:dyDescent="0.3">
      <c r="A367" s="110">
        <v>362</v>
      </c>
      <c r="C367" s="191">
        <v>1.4492586654966588</v>
      </c>
      <c r="D367" s="192">
        <v>144385.24903467676</v>
      </c>
      <c r="E367" s="192">
        <v>1.3401356576768402</v>
      </c>
      <c r="F367" s="192">
        <v>114651.75520275679</v>
      </c>
      <c r="G367" s="192">
        <v>-0.10912300781981865</v>
      </c>
      <c r="H367" s="203">
        <v>0.10912300781981865</v>
      </c>
      <c r="I367" s="192">
        <v>-29733.493831919972</v>
      </c>
      <c r="K367" s="202">
        <v>-166246.97802331514</v>
      </c>
      <c r="L367" s="202">
        <v>-200181.70765629812</v>
      </c>
      <c r="M367" s="221">
        <v>33934.729632982984</v>
      </c>
      <c r="N367" s="221">
        <v>33934.729632982991</v>
      </c>
      <c r="O367" s="221">
        <v>-272476.85365322058</v>
      </c>
      <c r="Q367" s="204">
        <f t="shared" si="5"/>
        <v>0</v>
      </c>
      <c r="R367" s="204">
        <f>IF(MAX(K368:L368)=K368,1,0)</f>
        <v>1</v>
      </c>
    </row>
    <row r="368" spans="1:18" x14ac:dyDescent="0.3">
      <c r="A368" s="110">
        <v>363</v>
      </c>
      <c r="C368" s="191">
        <v>1.2659250621689324</v>
      </c>
      <c r="D368" s="192">
        <v>122661.89133490621</v>
      </c>
      <c r="E368" s="192">
        <v>1.0623039822468665</v>
      </c>
      <c r="F368" s="192">
        <v>85555.554213013209</v>
      </c>
      <c r="G368" s="192">
        <v>-0.20362107992206591</v>
      </c>
      <c r="H368" s="203">
        <v>0.20362107992206591</v>
      </c>
      <c r="I368" s="192">
        <v>-37106.337121892997</v>
      </c>
      <c r="K368" s="202">
        <v>-126454.25752951758</v>
      </c>
      <c r="L368" s="202">
        <v>-171400.00622841011</v>
      </c>
      <c r="M368" s="221">
        <v>44945.748698892538</v>
      </c>
      <c r="N368" s="221">
        <v>44945.748698892538</v>
      </c>
      <c r="O368" s="221">
        <v>-182232.29704947595</v>
      </c>
      <c r="Q368" s="204">
        <f t="shared" si="5"/>
        <v>0</v>
      </c>
      <c r="R368" s="204">
        <f>IF(MAX(K369:L369)=K369,1,0)</f>
        <v>1</v>
      </c>
    </row>
    <row r="369" spans="1:18" x14ac:dyDescent="0.3">
      <c r="A369" s="110">
        <v>364</v>
      </c>
      <c r="C369" s="191">
        <v>1.1533647042086015</v>
      </c>
      <c r="D369" s="192">
        <v>122095.07074501889</v>
      </c>
      <c r="E369" s="192">
        <v>1.0079136204326993</v>
      </c>
      <c r="F369" s="192">
        <v>88568.813581655835</v>
      </c>
      <c r="G369" s="192">
        <v>-0.14545108377590221</v>
      </c>
      <c r="H369" s="203">
        <v>0.14545108377590221</v>
      </c>
      <c r="I369" s="192">
        <v>-33526.257163363058</v>
      </c>
      <c r="K369" s="202">
        <v>-127373.48796831476</v>
      </c>
      <c r="L369" s="202">
        <v>-166499.61185705004</v>
      </c>
      <c r="M369" s="221">
        <v>39126.123888735281</v>
      </c>
      <c r="N369" s="221">
        <v>39126.123888735296</v>
      </c>
      <c r="O369" s="221">
        <v>-230498.50364138407</v>
      </c>
      <c r="Q369" s="204">
        <f t="shared" si="5"/>
        <v>0</v>
      </c>
      <c r="R369" s="204">
        <f>IF(MAX(K370:L370)=K370,1,0)</f>
        <v>1</v>
      </c>
    </row>
    <row r="370" spans="1:18" x14ac:dyDescent="0.3">
      <c r="A370" s="110">
        <v>365</v>
      </c>
      <c r="C370" s="191">
        <v>1.3480598725847535</v>
      </c>
      <c r="D370" s="192">
        <v>132538.17260306791</v>
      </c>
      <c r="E370" s="192">
        <v>1.1240310186685067</v>
      </c>
      <c r="F370" s="192">
        <v>101780.73733809387</v>
      </c>
      <c r="G370" s="192">
        <v>-0.22402885391624672</v>
      </c>
      <c r="H370" s="203">
        <v>0.22402885391624672</v>
      </c>
      <c r="I370" s="192">
        <v>-30757.435264974047</v>
      </c>
      <c r="K370" s="202">
        <v>-145055.93155683138</v>
      </c>
      <c r="L370" s="202">
        <v>-184438.47769758094</v>
      </c>
      <c r="M370" s="221">
        <v>39382.54614074956</v>
      </c>
      <c r="N370" s="221">
        <v>39382.546140749546</v>
      </c>
      <c r="O370" s="221">
        <v>-137292.29394921035</v>
      </c>
      <c r="Q370" s="204">
        <f t="shared" si="5"/>
        <v>0</v>
      </c>
      <c r="R370" s="204">
        <f>IF(MAX(K371:L371)=K371,1,0)</f>
        <v>1</v>
      </c>
    </row>
    <row r="371" spans="1:18" x14ac:dyDescent="0.3">
      <c r="A371" s="110">
        <v>366</v>
      </c>
      <c r="C371" s="191">
        <v>1.5101699819878465</v>
      </c>
      <c r="D371" s="192">
        <v>125235.10166549141</v>
      </c>
      <c r="E371" s="192">
        <v>1.3384687287304267</v>
      </c>
      <c r="F371" s="192">
        <v>91541.46300685934</v>
      </c>
      <c r="G371" s="192">
        <v>-0.17170125325741981</v>
      </c>
      <c r="H371" s="203">
        <v>0.17170125325741981</v>
      </c>
      <c r="I371" s="192">
        <v>-33693.638658632073</v>
      </c>
      <c r="K371" s="202">
        <v>-143072.50906298077</v>
      </c>
      <c r="L371" s="202">
        <v>-183376.64597202349</v>
      </c>
      <c r="M371" s="221">
        <v>40304.136909042718</v>
      </c>
      <c r="N371" s="221">
        <v>40304.136909042732</v>
      </c>
      <c r="O371" s="221">
        <v>-196234.08693539081</v>
      </c>
      <c r="Q371" s="204">
        <f t="shared" si="5"/>
        <v>0</v>
      </c>
      <c r="R371" s="204">
        <f>IF(MAX(K372:L372)=K372,1,0)</f>
        <v>1</v>
      </c>
    </row>
    <row r="372" spans="1:18" x14ac:dyDescent="0.3">
      <c r="A372" s="110">
        <v>367</v>
      </c>
      <c r="C372" s="191">
        <v>1.0599739865568047</v>
      </c>
      <c r="D372" s="192">
        <v>113393.1820250115</v>
      </c>
      <c r="E372" s="192">
        <v>0.88358688470170232</v>
      </c>
      <c r="F372" s="192">
        <v>87479.381266789715</v>
      </c>
      <c r="G372" s="192">
        <v>-0.17638710185510242</v>
      </c>
      <c r="H372" s="203">
        <v>0.17638710185510242</v>
      </c>
      <c r="I372" s="192">
        <v>-25913.800758221783</v>
      </c>
      <c r="K372" s="202">
        <v>-121497.47632780526</v>
      </c>
      <c r="L372" s="202">
        <v>-154202.18050744847</v>
      </c>
      <c r="M372" s="221">
        <v>32704.704179643217</v>
      </c>
      <c r="N372" s="221">
        <v>32704.704179643228</v>
      </c>
      <c r="O372" s="221">
        <v>-146914.37460948431</v>
      </c>
      <c r="Q372" s="204">
        <f t="shared" si="5"/>
        <v>0</v>
      </c>
      <c r="R372" s="204">
        <f>IF(MAX(K373:L373)=K373,1,0)</f>
        <v>1</v>
      </c>
    </row>
    <row r="373" spans="1:18" x14ac:dyDescent="0.3">
      <c r="A373" s="110">
        <v>368</v>
      </c>
      <c r="C373" s="191">
        <v>1.3039036180796422</v>
      </c>
      <c r="D373" s="192">
        <v>133808.292966801</v>
      </c>
      <c r="E373" s="192">
        <v>1.1079430804229471</v>
      </c>
      <c r="F373" s="192">
        <v>90069.899416914064</v>
      </c>
      <c r="G373" s="192">
        <v>-0.19596053765669508</v>
      </c>
      <c r="H373" s="203">
        <v>0.19596053765669508</v>
      </c>
      <c r="I373" s="192">
        <v>-43738.39354988694</v>
      </c>
      <c r="K373" s="202">
        <v>-132725.70801319752</v>
      </c>
      <c r="L373" s="202">
        <v>-184008.58226286722</v>
      </c>
      <c r="M373" s="221">
        <v>51282.874249669694</v>
      </c>
      <c r="N373" s="221">
        <v>51282.874249669701</v>
      </c>
      <c r="O373" s="221">
        <v>-223200.00788379443</v>
      </c>
      <c r="Q373" s="204">
        <f t="shared" si="5"/>
        <v>0</v>
      </c>
      <c r="R373" s="204">
        <f>IF(MAX(K374:L374)=K374,1,0)</f>
        <v>1</v>
      </c>
    </row>
    <row r="374" spans="1:18" x14ac:dyDescent="0.3">
      <c r="A374" s="110">
        <v>369</v>
      </c>
      <c r="C374" s="191">
        <v>1.419805959152433</v>
      </c>
      <c r="D374" s="192">
        <v>103627.92844401712</v>
      </c>
      <c r="E374" s="192">
        <v>1.2670206349788309</v>
      </c>
      <c r="F374" s="192">
        <v>83162.358597177532</v>
      </c>
      <c r="G374" s="192">
        <v>-0.15278532417360213</v>
      </c>
      <c r="H374" s="203">
        <v>0.15278532417360213</v>
      </c>
      <c r="I374" s="192">
        <v>-20465.569846839586</v>
      </c>
      <c r="K374" s="202">
        <v>-131942.65304386252</v>
      </c>
      <c r="L374" s="202">
        <v>-158290.45787138579</v>
      </c>
      <c r="M374" s="221">
        <v>26347.804827523272</v>
      </c>
      <c r="N374" s="221">
        <v>26347.804827523269</v>
      </c>
      <c r="O374" s="221">
        <v>-133949.84078173377</v>
      </c>
      <c r="Q374" s="204">
        <f t="shared" si="5"/>
        <v>0</v>
      </c>
      <c r="R374" s="204">
        <f>IF(MAX(K375:L375)=K375,1,0)</f>
        <v>1</v>
      </c>
    </row>
    <row r="375" spans="1:18" x14ac:dyDescent="0.3">
      <c r="A375" s="110">
        <v>370</v>
      </c>
      <c r="C375" s="191">
        <v>1.1640905429041692</v>
      </c>
      <c r="D375" s="192">
        <v>112922.3926297695</v>
      </c>
      <c r="E375" s="192">
        <v>1.0798662301621651</v>
      </c>
      <c r="F375" s="192">
        <v>92263.951145157407</v>
      </c>
      <c r="G375" s="192">
        <v>-8.4224312742004148E-2</v>
      </c>
      <c r="H375" s="203">
        <v>8.4224312742004148E-2</v>
      </c>
      <c r="I375" s="192">
        <v>-20658.441484612093</v>
      </c>
      <c r="K375" s="202">
        <v>-133838.80100640075</v>
      </c>
      <c r="L375" s="202">
        <v>-157739.87853158001</v>
      </c>
      <c r="M375" s="221">
        <v>23901.077525179251</v>
      </c>
      <c r="N375" s="221">
        <v>23901.077525179251</v>
      </c>
      <c r="O375" s="221">
        <v>-245278.83709651648</v>
      </c>
      <c r="Q375" s="204">
        <f t="shared" si="5"/>
        <v>0</v>
      </c>
      <c r="R375" s="204">
        <f>IF(MAX(K376:L376)=K376,1,0)</f>
        <v>1</v>
      </c>
    </row>
    <row r="376" spans="1:18" x14ac:dyDescent="0.3">
      <c r="A376" s="110">
        <v>371</v>
      </c>
      <c r="C376" s="191">
        <v>1.3737396547344558</v>
      </c>
      <c r="D376" s="192">
        <v>137750.20038664923</v>
      </c>
      <c r="E376" s="192">
        <v>1.0850519040101501</v>
      </c>
      <c r="F376" s="192">
        <v>91649.925402886729</v>
      </c>
      <c r="G376" s="192">
        <v>-0.28868775072430575</v>
      </c>
      <c r="H376" s="203">
        <v>0.28868775072430575</v>
      </c>
      <c r="I376" s="192">
        <v>-46100.274983762502</v>
      </c>
      <c r="K376" s="202">
        <v>-133424.42370727751</v>
      </c>
      <c r="L376" s="202">
        <v>-190639.17709392577</v>
      </c>
      <c r="M376" s="221">
        <v>57214.753386648255</v>
      </c>
      <c r="N376" s="221">
        <v>57214.75338664827</v>
      </c>
      <c r="O376" s="221">
        <v>-159689.05805008629</v>
      </c>
      <c r="Q376" s="204">
        <f t="shared" si="5"/>
        <v>0</v>
      </c>
      <c r="R376" s="204">
        <f>IF(MAX(K377:L377)=K377,1,0)</f>
        <v>1</v>
      </c>
    </row>
    <row r="377" spans="1:18" x14ac:dyDescent="0.3">
      <c r="A377" s="110">
        <v>372</v>
      </c>
      <c r="C377" s="191">
        <v>1.152428854175602</v>
      </c>
      <c r="D377" s="192">
        <v>142695.56471429978</v>
      </c>
      <c r="E377" s="192">
        <v>0.99434450876373248</v>
      </c>
      <c r="F377" s="192">
        <v>104687.22388159891</v>
      </c>
      <c r="G377" s="192">
        <v>-0.15808434541186955</v>
      </c>
      <c r="H377" s="203">
        <v>0.15808434541186955</v>
      </c>
      <c r="I377" s="192">
        <v>-38008.340832700866</v>
      </c>
      <c r="K377" s="202">
        <v>-142969.4874690026</v>
      </c>
      <c r="L377" s="202">
        <v>-187064.07560006046</v>
      </c>
      <c r="M377" s="221">
        <v>44094.588131057855</v>
      </c>
      <c r="N377" s="221">
        <v>44094.588131057841</v>
      </c>
      <c r="O377" s="221">
        <v>-240430.76962285387</v>
      </c>
      <c r="Q377" s="204">
        <f t="shared" si="5"/>
        <v>0</v>
      </c>
      <c r="R377" s="204">
        <f>IF(MAX(K378:L378)=K378,1,0)</f>
        <v>1</v>
      </c>
    </row>
    <row r="378" spans="1:18" x14ac:dyDescent="0.3">
      <c r="A378" s="110">
        <v>373</v>
      </c>
      <c r="C378" s="191">
        <v>1.1468088908659326</v>
      </c>
      <c r="D378" s="192">
        <v>123493.84524777818</v>
      </c>
      <c r="E378" s="192">
        <v>0.97454271623394939</v>
      </c>
      <c r="F378" s="192">
        <v>89634.551930636298</v>
      </c>
      <c r="G378" s="192">
        <v>-0.17226617463198324</v>
      </c>
      <c r="H378" s="203">
        <v>0.17226617463198324</v>
      </c>
      <c r="I378" s="192">
        <v>-33859.293317141884</v>
      </c>
      <c r="K378" s="202">
        <v>-127154.44650564334</v>
      </c>
      <c r="L378" s="202">
        <v>-167645.98754611658</v>
      </c>
      <c r="M378" s="221">
        <v>40491.541040473239</v>
      </c>
      <c r="N378" s="221">
        <v>40491.541040473239</v>
      </c>
      <c r="O378" s="221">
        <v>-196552.18669292671</v>
      </c>
      <c r="Q378" s="204">
        <f t="shared" si="5"/>
        <v>0</v>
      </c>
      <c r="R378" s="204">
        <f>IF(MAX(K379:L379)=K379,1,0)</f>
        <v>1</v>
      </c>
    </row>
    <row r="379" spans="1:18" x14ac:dyDescent="0.3">
      <c r="A379" s="110">
        <v>374</v>
      </c>
      <c r="C379" s="191">
        <v>1.2735507752402304</v>
      </c>
      <c r="D379" s="192">
        <v>122966.93495434345</v>
      </c>
      <c r="E379" s="192">
        <v>1.1382985843300863</v>
      </c>
      <c r="F379" s="192">
        <v>91926.448550284927</v>
      </c>
      <c r="G379" s="192">
        <v>-0.13525219091014407</v>
      </c>
      <c r="H379" s="203">
        <v>0.13525219091014407</v>
      </c>
      <c r="I379" s="192">
        <v>-31040.486404058523</v>
      </c>
      <c r="K379" s="202">
        <v>-135750.94404699325</v>
      </c>
      <c r="L379" s="202">
        <v>-171998.63980109233</v>
      </c>
      <c r="M379" s="221">
        <v>36247.695754099084</v>
      </c>
      <c r="N379" s="221">
        <v>36247.69575409907</v>
      </c>
      <c r="O379" s="221">
        <v>-229500.80287187756</v>
      </c>
      <c r="Q379" s="204">
        <f t="shared" si="5"/>
        <v>0</v>
      </c>
      <c r="R379" s="204">
        <f>IF(MAX(K380:L380)=K380,1,0)</f>
        <v>1</v>
      </c>
    </row>
    <row r="380" spans="1:18" x14ac:dyDescent="0.3">
      <c r="A380" s="110">
        <v>375</v>
      </c>
      <c r="C380" s="191">
        <v>1.1723622110111291</v>
      </c>
      <c r="D380" s="192">
        <v>102390.82405810694</v>
      </c>
      <c r="E380" s="192">
        <v>1.021299081842211</v>
      </c>
      <c r="F380" s="192">
        <v>72720.963300098665</v>
      </c>
      <c r="G380" s="192">
        <v>-0.15106312916891818</v>
      </c>
      <c r="H380" s="203">
        <v>0.15106312916891818</v>
      </c>
      <c r="I380" s="192">
        <v>-29669.860758008275</v>
      </c>
      <c r="K380" s="202">
        <v>-112040.97795102379</v>
      </c>
      <c r="L380" s="202">
        <v>-147526.76918203541</v>
      </c>
      <c r="M380" s="221">
        <v>35485.791231011623</v>
      </c>
      <c r="N380" s="221">
        <v>35485.791231011623</v>
      </c>
      <c r="O380" s="221">
        <v>-196407.03142612358</v>
      </c>
      <c r="Q380" s="204">
        <f t="shared" si="5"/>
        <v>0</v>
      </c>
      <c r="R380" s="204">
        <f>IF(MAX(K381:L381)=K381,1,0)</f>
        <v>1</v>
      </c>
    </row>
    <row r="381" spans="1:18" x14ac:dyDescent="0.3">
      <c r="A381" s="110">
        <v>376</v>
      </c>
      <c r="C381" s="191">
        <v>1.3757547948093736</v>
      </c>
      <c r="D381" s="192">
        <v>116368.32618329659</v>
      </c>
      <c r="E381" s="192">
        <v>1.2714431288948091</v>
      </c>
      <c r="F381" s="192">
        <v>89171.77825432051</v>
      </c>
      <c r="G381" s="192">
        <v>-0.10431166591456442</v>
      </c>
      <c r="H381" s="203">
        <v>0.10431166591456442</v>
      </c>
      <c r="I381" s="192">
        <v>-27196.547928976084</v>
      </c>
      <c r="K381" s="202">
        <v>-138122.33871677067</v>
      </c>
      <c r="L381" s="202">
        <v>-169334.88578345749</v>
      </c>
      <c r="M381" s="221">
        <v>31212.54706668682</v>
      </c>
      <c r="N381" s="221">
        <v>31212.547066686813</v>
      </c>
      <c r="O381" s="221">
        <v>-260723.93428412106</v>
      </c>
      <c r="Q381" s="204">
        <f t="shared" si="5"/>
        <v>0</v>
      </c>
      <c r="R381" s="204">
        <f>IF(MAX(K382:L382)=K382,1,0)</f>
        <v>1</v>
      </c>
    </row>
    <row r="382" spans="1:18" x14ac:dyDescent="0.3">
      <c r="A382" s="110">
        <v>377</v>
      </c>
      <c r="C382" s="191">
        <v>1.2911167196390294</v>
      </c>
      <c r="D382" s="192">
        <v>150741.33765912769</v>
      </c>
      <c r="E382" s="192">
        <v>1.1545263342696095</v>
      </c>
      <c r="F382" s="192">
        <v>112784.80545879228</v>
      </c>
      <c r="G382" s="192">
        <v>-0.13659038536941992</v>
      </c>
      <c r="H382" s="203">
        <v>0.13659038536941992</v>
      </c>
      <c r="I382" s="192">
        <v>-37956.532200335409</v>
      </c>
      <c r="K382" s="202">
        <v>-157234.06932817225</v>
      </c>
      <c r="L382" s="202">
        <v>-200449.33136523032</v>
      </c>
      <c r="M382" s="221">
        <v>43215.26203705807</v>
      </c>
      <c r="N382" s="221">
        <v>43215.262037058077</v>
      </c>
      <c r="O382" s="221">
        <v>-277885.82701248588</v>
      </c>
      <c r="Q382" s="204">
        <f t="shared" si="5"/>
        <v>0</v>
      </c>
      <c r="R382" s="204">
        <f>IF(MAX(K383:L383)=K383,1,0)</f>
        <v>1</v>
      </c>
    </row>
    <row r="383" spans="1:18" x14ac:dyDescent="0.3">
      <c r="A383" s="110">
        <v>378</v>
      </c>
      <c r="C383" s="191">
        <v>1.3232350229779302</v>
      </c>
      <c r="D383" s="192">
        <v>109251.08237192169</v>
      </c>
      <c r="E383" s="192">
        <v>1.2233595705081184</v>
      </c>
      <c r="F383" s="192">
        <v>81880.819437349608</v>
      </c>
      <c r="G383" s="192">
        <v>-9.9875452469811776E-2</v>
      </c>
      <c r="H383" s="203">
        <v>9.9875452469811776E-2</v>
      </c>
      <c r="I383" s="192">
        <v>-27370.262934572078</v>
      </c>
      <c r="K383" s="202">
        <v>-128980.16290191218</v>
      </c>
      <c r="L383" s="202">
        <v>-160195.63075657201</v>
      </c>
      <c r="M383" s="221">
        <v>31215.46785465983</v>
      </c>
      <c r="N383" s="221">
        <v>31215.46785465983</v>
      </c>
      <c r="O383" s="221">
        <v>-274043.94430998928</v>
      </c>
      <c r="Q383" s="204">
        <f t="shared" si="5"/>
        <v>0</v>
      </c>
      <c r="R383" s="204">
        <f>IF(MAX(K384:L384)=K384,1,0)</f>
        <v>1</v>
      </c>
    </row>
    <row r="384" spans="1:18" x14ac:dyDescent="0.3">
      <c r="A384" s="110">
        <v>379</v>
      </c>
      <c r="C384" s="191">
        <v>1.5100757671273266</v>
      </c>
      <c r="D384" s="192">
        <v>124505.08729614869</v>
      </c>
      <c r="E384" s="192">
        <v>1.3530649053765011</v>
      </c>
      <c r="F384" s="192">
        <v>86469.047076088988</v>
      </c>
      <c r="G384" s="192">
        <v>-0.15701086175082546</v>
      </c>
      <c r="H384" s="203">
        <v>0.15701086175082546</v>
      </c>
      <c r="I384" s="192">
        <v>-38036.040220059702</v>
      </c>
      <c r="K384" s="202">
        <v>-138562.04593308427</v>
      </c>
      <c r="L384" s="202">
        <v>-182643.00433055076</v>
      </c>
      <c r="M384" s="221">
        <v>44080.958397466486</v>
      </c>
      <c r="N384" s="221">
        <v>44080.958397466486</v>
      </c>
      <c r="O384" s="221">
        <v>-242251.01241990816</v>
      </c>
      <c r="Q384" s="204">
        <f t="shared" si="5"/>
        <v>0</v>
      </c>
      <c r="R384" s="204">
        <f>IF(MAX(K385:L385)=K385,1,0)</f>
        <v>1</v>
      </c>
    </row>
    <row r="385" spans="1:18" x14ac:dyDescent="0.3">
      <c r="A385" s="110">
        <v>380</v>
      </c>
      <c r="C385" s="191">
        <v>1.1919380114805287</v>
      </c>
      <c r="D385" s="192">
        <v>112291.08294921993</v>
      </c>
      <c r="E385" s="192">
        <v>0.9715637220160096</v>
      </c>
      <c r="F385" s="192">
        <v>75601.891620450275</v>
      </c>
      <c r="G385" s="192">
        <v>-0.22037428946451909</v>
      </c>
      <c r="H385" s="203">
        <v>0.22037428946451909</v>
      </c>
      <c r="I385" s="192">
        <v>-36689.191328769652</v>
      </c>
      <c r="K385" s="202">
        <v>-113007.09491806664</v>
      </c>
      <c r="L385" s="202">
        <v>-158180.69639122029</v>
      </c>
      <c r="M385" s="221">
        <v>45173.601473153656</v>
      </c>
      <c r="N385" s="221">
        <v>45173.601473153634</v>
      </c>
      <c r="O385" s="221">
        <v>-166485.8065699026</v>
      </c>
      <c r="Q385" s="204">
        <f t="shared" si="5"/>
        <v>0</v>
      </c>
      <c r="R385" s="204">
        <f>IF(MAX(K386:L386)=K386,1,0)</f>
        <v>1</v>
      </c>
    </row>
    <row r="386" spans="1:18" x14ac:dyDescent="0.3">
      <c r="A386" s="110">
        <v>381</v>
      </c>
      <c r="C386" s="191">
        <v>1.5374267383465914</v>
      </c>
      <c r="D386" s="192">
        <v>133769.5323982439</v>
      </c>
      <c r="E386" s="192">
        <v>1.3256726439304654</v>
      </c>
      <c r="F386" s="192">
        <v>99580.424540436463</v>
      </c>
      <c r="G386" s="192">
        <v>-0.21175409441612603</v>
      </c>
      <c r="H386" s="203">
        <v>0.21175409441612603</v>
      </c>
      <c r="I386" s="192">
        <v>-34189.107857807438</v>
      </c>
      <c r="K386" s="202">
        <v>-150618.82133175939</v>
      </c>
      <c r="L386" s="202">
        <v>-192960.46182458766</v>
      </c>
      <c r="M386" s="221">
        <v>42341.640492828272</v>
      </c>
      <c r="N386" s="221">
        <v>42341.640492828286</v>
      </c>
      <c r="O386" s="221">
        <v>-161456.65542891994</v>
      </c>
      <c r="Q386" s="204">
        <f t="shared" si="5"/>
        <v>0</v>
      </c>
      <c r="R386" s="204">
        <f>IF(MAX(K387:L387)=K387,1,0)</f>
        <v>1</v>
      </c>
    </row>
    <row r="387" spans="1:18" x14ac:dyDescent="0.3">
      <c r="A387" s="110">
        <v>382</v>
      </c>
      <c r="C387" s="191">
        <v>1.3951377712541169</v>
      </c>
      <c r="D387" s="192">
        <v>170155.74790019583</v>
      </c>
      <c r="E387" s="192">
        <v>1.1013729203792977</v>
      </c>
      <c r="F387" s="192">
        <v>115368.45763866494</v>
      </c>
      <c r="G387" s="192">
        <v>-0.29376485087481918</v>
      </c>
      <c r="H387" s="203">
        <v>0.29376485087481918</v>
      </c>
      <c r="I387" s="192">
        <v>-54787.290261530885</v>
      </c>
      <c r="K387" s="202">
        <v>-157771.31507326791</v>
      </c>
      <c r="L387" s="202">
        <v>-223868.55209347932</v>
      </c>
      <c r="M387" s="221">
        <v>66097.237020211411</v>
      </c>
      <c r="N387" s="221">
        <v>66097.237020211425</v>
      </c>
      <c r="O387" s="221">
        <v>-186500.49554389055</v>
      </c>
      <c r="Q387" s="204">
        <f t="shared" si="5"/>
        <v>0</v>
      </c>
      <c r="R387" s="204">
        <f>IF(MAX(K388:L388)=K388,1,0)</f>
        <v>1</v>
      </c>
    </row>
    <row r="388" spans="1:18" x14ac:dyDescent="0.3">
      <c r="A388" s="110">
        <v>383</v>
      </c>
      <c r="C388" s="191">
        <v>1.6093253176457851</v>
      </c>
      <c r="D388" s="192">
        <v>128846.34565621798</v>
      </c>
      <c r="E388" s="192">
        <v>1.4751572268966364</v>
      </c>
      <c r="F388" s="192">
        <v>92147.458808364638</v>
      </c>
      <c r="G388" s="192">
        <v>-0.13416809074914871</v>
      </c>
      <c r="H388" s="203">
        <v>0.13416809074914871</v>
      </c>
      <c r="I388" s="192">
        <v>-36698.88684785334</v>
      </c>
      <c r="K388" s="202">
        <v>-148941.01204388513</v>
      </c>
      <c r="L388" s="202">
        <v>-190805.3703855807</v>
      </c>
      <c r="M388" s="221">
        <v>41864.358341695566</v>
      </c>
      <c r="N388" s="221">
        <v>41864.358341695566</v>
      </c>
      <c r="O388" s="221">
        <v>-273529.17256956786</v>
      </c>
      <c r="Q388" s="204">
        <f t="shared" si="5"/>
        <v>0</v>
      </c>
      <c r="R388" s="204">
        <f>IF(MAX(K389:L389)=K389,1,0)</f>
        <v>1</v>
      </c>
    </row>
    <row r="389" spans="1:18" x14ac:dyDescent="0.3">
      <c r="A389" s="110">
        <v>384</v>
      </c>
      <c r="C389" s="191">
        <v>1.2574899377365234</v>
      </c>
      <c r="D389" s="192">
        <v>117643.70499245975</v>
      </c>
      <c r="E389" s="192">
        <v>1.0749574133476638</v>
      </c>
      <c r="F389" s="192">
        <v>86447.234044964411</v>
      </c>
      <c r="G389" s="192">
        <v>-0.18253252438885958</v>
      </c>
      <c r="H389" s="203">
        <v>0.18253252438885958</v>
      </c>
      <c r="I389" s="192">
        <v>-31196.470947495342</v>
      </c>
      <c r="K389" s="202">
        <v>-127833.09445884946</v>
      </c>
      <c r="L389" s="202">
        <v>-166057.06759531589</v>
      </c>
      <c r="M389" s="221">
        <v>38223.973136466433</v>
      </c>
      <c r="N389" s="221">
        <v>38223.973136466433</v>
      </c>
      <c r="O389" s="221">
        <v>-170909.10812713957</v>
      </c>
      <c r="Q389" s="204">
        <f t="shared" si="5"/>
        <v>0</v>
      </c>
      <c r="R389" s="204">
        <f>IF(MAX(K390:L390)=K390,1,0)</f>
        <v>1</v>
      </c>
    </row>
    <row r="390" spans="1:18" x14ac:dyDescent="0.3">
      <c r="A390" s="110">
        <v>385</v>
      </c>
      <c r="C390" s="191">
        <v>1.3759374899940271</v>
      </c>
      <c r="D390" s="192">
        <v>131379.52808741701</v>
      </c>
      <c r="E390" s="192">
        <v>1.2973266828790941</v>
      </c>
      <c r="F390" s="192">
        <v>103677.75117911247</v>
      </c>
      <c r="G390" s="192">
        <v>-7.8610807114932957E-2</v>
      </c>
      <c r="H390" s="203">
        <v>7.8610807114932957E-2</v>
      </c>
      <c r="I390" s="192">
        <v>-27701.776908304542</v>
      </c>
      <c r="K390" s="202">
        <v>-153624.8284699576</v>
      </c>
      <c r="L390" s="202">
        <v>-184353.12145218707</v>
      </c>
      <c r="M390" s="221">
        <v>30728.292982229468</v>
      </c>
      <c r="N390" s="221">
        <v>30728.292982229461</v>
      </c>
      <c r="O390" s="221">
        <v>-352391.45767582755</v>
      </c>
      <c r="Q390" s="204">
        <f t="shared" si="5"/>
        <v>0</v>
      </c>
      <c r="R390" s="204">
        <f>IF(MAX(K391:L391)=K391,1,0)</f>
        <v>1</v>
      </c>
    </row>
    <row r="391" spans="1:18" x14ac:dyDescent="0.3">
      <c r="A391" s="110">
        <v>386</v>
      </c>
      <c r="C391" s="191">
        <v>0.98909186510718061</v>
      </c>
      <c r="D391" s="192">
        <v>97248.088126970033</v>
      </c>
      <c r="E391" s="192">
        <v>0.92899604410162195</v>
      </c>
      <c r="F391" s="192">
        <v>71643.278426402991</v>
      </c>
      <c r="G391" s="192">
        <v>-6.0095821005558658E-2</v>
      </c>
      <c r="H391" s="203">
        <v>6.0095821005558658E-2</v>
      </c>
      <c r="I391" s="192">
        <v>-25604.809700567042</v>
      </c>
      <c r="K391" s="202">
        <v>-107409.62612431543</v>
      </c>
      <c r="L391" s="202">
        <v>-135328.1249335965</v>
      </c>
      <c r="M391" s="221">
        <v>27918.498809281067</v>
      </c>
      <c r="N391" s="221">
        <v>27918.498809281053</v>
      </c>
      <c r="O391" s="221">
        <v>-426066.39317230869</v>
      </c>
      <c r="Q391" s="204">
        <f t="shared" ref="Q391:Q454" si="6">IF(MAX(K391:L391)=L391,1,0)</f>
        <v>0</v>
      </c>
      <c r="R391" s="204">
        <f>IF(MAX(K392:L392)=K392,1,0)</f>
        <v>1</v>
      </c>
    </row>
    <row r="392" spans="1:18" x14ac:dyDescent="0.3">
      <c r="A392" s="110">
        <v>387</v>
      </c>
      <c r="C392" s="191">
        <v>1.372518665327997</v>
      </c>
      <c r="D392" s="192">
        <v>143138.5990941537</v>
      </c>
      <c r="E392" s="192">
        <v>1.2130348908910904</v>
      </c>
      <c r="F392" s="192">
        <v>104336.19470766492</v>
      </c>
      <c r="G392" s="192">
        <v>-0.15948377443690664</v>
      </c>
      <c r="H392" s="203">
        <v>0.15948377443690664</v>
      </c>
      <c r="I392" s="192">
        <v>-38802.404386488779</v>
      </c>
      <c r="K392" s="202">
        <v>-151038.03800697191</v>
      </c>
      <c r="L392" s="202">
        <v>-195980.56770928157</v>
      </c>
      <c r="M392" s="221">
        <v>44942.529702309665</v>
      </c>
      <c r="N392" s="221">
        <v>44942.529702309686</v>
      </c>
      <c r="O392" s="221">
        <v>-243300.01295422934</v>
      </c>
      <c r="Q392" s="204">
        <f t="shared" si="6"/>
        <v>0</v>
      </c>
      <c r="R392" s="204">
        <f>IF(MAX(K393:L393)=K393,1,0)</f>
        <v>1</v>
      </c>
    </row>
    <row r="393" spans="1:18" x14ac:dyDescent="0.3">
      <c r="A393" s="110">
        <v>388</v>
      </c>
      <c r="C393" s="191">
        <v>1.6230596015902126</v>
      </c>
      <c r="D393" s="192">
        <v>134197.94373171349</v>
      </c>
      <c r="E393" s="192">
        <v>1.4945530708197192</v>
      </c>
      <c r="F393" s="192">
        <v>90761.040113058058</v>
      </c>
      <c r="G393" s="192">
        <v>-0.12850653077049334</v>
      </c>
      <c r="H393" s="203">
        <v>0.12850653077049334</v>
      </c>
      <c r="I393" s="192">
        <v>-43436.903618655429</v>
      </c>
      <c r="K393" s="202">
        <v>-148301.33333961724</v>
      </c>
      <c r="L393" s="202">
        <v>-196685.73839293668</v>
      </c>
      <c r="M393" s="221">
        <v>48384.405053319439</v>
      </c>
      <c r="N393" s="221">
        <v>48384.405053319424</v>
      </c>
      <c r="O393" s="221">
        <v>-338013.19947101915</v>
      </c>
      <c r="Q393" s="204">
        <f t="shared" si="6"/>
        <v>0</v>
      </c>
      <c r="R393" s="204">
        <f>IF(MAX(K394:L394)=K394,1,0)</f>
        <v>1</v>
      </c>
    </row>
    <row r="394" spans="1:18" x14ac:dyDescent="0.3">
      <c r="A394" s="110">
        <v>389</v>
      </c>
      <c r="C394" s="191">
        <v>0.93672896226960733</v>
      </c>
      <c r="D394" s="192">
        <v>111509.88266592585</v>
      </c>
      <c r="E394" s="192">
        <v>0.91406709622194526</v>
      </c>
      <c r="F394" s="192">
        <v>96237.930674780131</v>
      </c>
      <c r="G394" s="192">
        <v>-2.2661866047662071E-2</v>
      </c>
      <c r="H394" s="203">
        <v>2.2661866047662071E-2</v>
      </c>
      <c r="I394" s="192">
        <v>-15271.951991145717</v>
      </c>
      <c r="K394" s="202">
        <v>-131429.51387932501</v>
      </c>
      <c r="L394" s="202">
        <v>-147573.94771330574</v>
      </c>
      <c r="M394" s="221">
        <v>16144.433833980729</v>
      </c>
      <c r="N394" s="221">
        <v>16144.433833980707</v>
      </c>
      <c r="O394" s="221">
        <v>-673905.31560931448</v>
      </c>
      <c r="Q394" s="204">
        <f t="shared" si="6"/>
        <v>0</v>
      </c>
      <c r="R394" s="204">
        <f>IF(MAX(K395:L395)=K395,1,0)</f>
        <v>1</v>
      </c>
    </row>
    <row r="395" spans="1:18" x14ac:dyDescent="0.3">
      <c r="A395" s="110">
        <v>390</v>
      </c>
      <c r="C395" s="191">
        <v>1.5493540559072096</v>
      </c>
      <c r="D395" s="192">
        <v>143055.14476212062</v>
      </c>
      <c r="E395" s="192">
        <v>1.4383702468422401</v>
      </c>
      <c r="F395" s="192">
        <v>113474.53764537569</v>
      </c>
      <c r="G395" s="192">
        <v>-0.11098380906496952</v>
      </c>
      <c r="H395" s="203">
        <v>0.11098380906496952</v>
      </c>
      <c r="I395" s="192">
        <v>-29580.607116744926</v>
      </c>
      <c r="K395" s="202">
        <v>-168851.79214880193</v>
      </c>
      <c r="L395" s="202">
        <v>-202705.2759145482</v>
      </c>
      <c r="M395" s="221">
        <v>33853.483765746263</v>
      </c>
      <c r="N395" s="221">
        <v>33853.483765746256</v>
      </c>
      <c r="O395" s="221">
        <v>-266530.83333469433</v>
      </c>
      <c r="Q395" s="204">
        <f t="shared" si="6"/>
        <v>0</v>
      </c>
      <c r="R395" s="204">
        <f>IF(MAX(K396:L396)=K396,1,0)</f>
        <v>1</v>
      </c>
    </row>
    <row r="396" spans="1:18" x14ac:dyDescent="0.3">
      <c r="A396" s="110">
        <v>391</v>
      </c>
      <c r="C396" s="191">
        <v>1.3236414655140392</v>
      </c>
      <c r="D396" s="192">
        <v>131173.00295559785</v>
      </c>
      <c r="E396" s="192">
        <v>1.1346635854257623</v>
      </c>
      <c r="F396" s="192">
        <v>92314.914639862225</v>
      </c>
      <c r="G396" s="192">
        <v>-0.18897788008827687</v>
      </c>
      <c r="H396" s="203">
        <v>0.18897788008827687</v>
      </c>
      <c r="I396" s="192">
        <v>-38858.088315735629</v>
      </c>
      <c r="K396" s="202">
        <v>-135999.46267875406</v>
      </c>
      <c r="L396" s="202">
        <v>-182133.19937788835</v>
      </c>
      <c r="M396" s="221">
        <v>46133.736699134286</v>
      </c>
      <c r="N396" s="221">
        <v>46133.736699134286</v>
      </c>
      <c r="O396" s="221">
        <v>-205622.41621921002</v>
      </c>
      <c r="Q396" s="204">
        <f t="shared" si="6"/>
        <v>0</v>
      </c>
      <c r="R396" s="204">
        <f>IF(MAX(K397:L397)=K397,1,0)</f>
        <v>1</v>
      </c>
    </row>
    <row r="397" spans="1:18" x14ac:dyDescent="0.3">
      <c r="A397" s="110">
        <v>392</v>
      </c>
      <c r="C397" s="191">
        <v>1.3987491529949085</v>
      </c>
      <c r="D397" s="192">
        <v>161682.763808522</v>
      </c>
      <c r="E397" s="192">
        <v>1.1559171645511614</v>
      </c>
      <c r="F397" s="192">
        <v>107423.06978203426</v>
      </c>
      <c r="G397" s="192">
        <v>-0.24283198844374709</v>
      </c>
      <c r="H397" s="203">
        <v>0.24283198844374709</v>
      </c>
      <c r="I397" s="192">
        <v>-54259.694026487734</v>
      </c>
      <c r="K397" s="202">
        <v>-151925.88061725398</v>
      </c>
      <c r="L397" s="202">
        <v>-215534.60619882599</v>
      </c>
      <c r="M397" s="221">
        <v>63608.725581572013</v>
      </c>
      <c r="N397" s="221">
        <v>63608.725581571998</v>
      </c>
      <c r="O397" s="221">
        <v>-223445.41332558906</v>
      </c>
      <c r="Q397" s="204">
        <f t="shared" si="6"/>
        <v>0</v>
      </c>
      <c r="R397" s="204">
        <f>IF(MAX(K398:L398)=K398,1,0)</f>
        <v>1</v>
      </c>
    </row>
    <row r="398" spans="1:18" x14ac:dyDescent="0.3">
      <c r="A398" s="110">
        <v>393</v>
      </c>
      <c r="C398" s="191">
        <v>1.1367467391712249</v>
      </c>
      <c r="D398" s="192">
        <v>165262.28640654768</v>
      </c>
      <c r="E398" s="192">
        <v>1.0621792371937127</v>
      </c>
      <c r="F398" s="192">
        <v>121650.31351248031</v>
      </c>
      <c r="G398" s="192">
        <v>-7.4567501977512274E-2</v>
      </c>
      <c r="H398" s="203">
        <v>7.4567501977512274E-2</v>
      </c>
      <c r="I398" s="192">
        <v>-43611.972894067367</v>
      </c>
      <c r="K398" s="202">
        <v>-162544.21414443824</v>
      </c>
      <c r="L398" s="202">
        <v>-209027.03586463985</v>
      </c>
      <c r="M398" s="221">
        <v>46482.821720201609</v>
      </c>
      <c r="N398" s="221">
        <v>46482.821720201588</v>
      </c>
      <c r="O398" s="221">
        <v>-584865.68193232035</v>
      </c>
      <c r="Q398" s="204">
        <f t="shared" si="6"/>
        <v>0</v>
      </c>
      <c r="R398" s="204">
        <f>IF(MAX(K399:L399)=K399,1,0)</f>
        <v>1</v>
      </c>
    </row>
    <row r="399" spans="1:18" x14ac:dyDescent="0.3">
      <c r="A399" s="110">
        <v>394</v>
      </c>
      <c r="C399" s="191">
        <v>1.2518187790039843</v>
      </c>
      <c r="D399" s="192">
        <v>112319.59103420145</v>
      </c>
      <c r="E399" s="192">
        <v>1.1430484783964026</v>
      </c>
      <c r="F399" s="192">
        <v>83980.038260028101</v>
      </c>
      <c r="G399" s="192">
        <v>-0.10877030060758175</v>
      </c>
      <c r="H399" s="203">
        <v>0.10877030060758175</v>
      </c>
      <c r="I399" s="192">
        <v>-28339.552774173353</v>
      </c>
      <c r="K399" s="202">
        <v>-127987.4046782896</v>
      </c>
      <c r="L399" s="202">
        <v>-160514.61402585485</v>
      </c>
      <c r="M399" s="221">
        <v>32527.209347565251</v>
      </c>
      <c r="N399" s="221">
        <v>32527.209347565251</v>
      </c>
      <c r="O399" s="221">
        <v>-260544.95221463023</v>
      </c>
      <c r="Q399" s="204">
        <f t="shared" si="6"/>
        <v>0</v>
      </c>
      <c r="R399" s="204">
        <f>IF(MAX(K400:L400)=K400,1,0)</f>
        <v>1</v>
      </c>
    </row>
    <row r="400" spans="1:18" x14ac:dyDescent="0.3">
      <c r="A400" s="110">
        <v>395</v>
      </c>
      <c r="C400" s="191">
        <v>1.5341373179796802</v>
      </c>
      <c r="D400" s="192">
        <v>157623.1769246177</v>
      </c>
      <c r="E400" s="192">
        <v>1.4009168225412154</v>
      </c>
      <c r="F400" s="192">
        <v>104350.3447137777</v>
      </c>
      <c r="G400" s="192">
        <v>-0.13322049543846481</v>
      </c>
      <c r="H400" s="203">
        <v>0.13322049543846481</v>
      </c>
      <c r="I400" s="192">
        <v>-53272.832210840003</v>
      </c>
      <c r="K400" s="202">
        <v>-158285.64238161448</v>
      </c>
      <c r="L400" s="202">
        <v>-216687.46366683539</v>
      </c>
      <c r="M400" s="221">
        <v>58401.821285220911</v>
      </c>
      <c r="N400" s="221">
        <v>58401.821285220896</v>
      </c>
      <c r="O400" s="221">
        <v>-399884.65765349881</v>
      </c>
      <c r="Q400" s="204">
        <f t="shared" si="6"/>
        <v>0</v>
      </c>
      <c r="R400" s="204">
        <f>IF(MAX(K401:L401)=K401,1,0)</f>
        <v>1</v>
      </c>
    </row>
    <row r="401" spans="1:20" x14ac:dyDescent="0.3">
      <c r="A401" s="110">
        <v>396</v>
      </c>
      <c r="C401" s="191">
        <v>1.0958304878178289</v>
      </c>
      <c r="D401" s="192">
        <v>132278.48073241572</v>
      </c>
      <c r="E401" s="192">
        <v>0.89749465913934956</v>
      </c>
      <c r="F401" s="192">
        <v>91518.529114850709</v>
      </c>
      <c r="G401" s="192">
        <v>-0.19833582867847932</v>
      </c>
      <c r="H401" s="203">
        <v>0.19833582867847932</v>
      </c>
      <c r="I401" s="192">
        <v>-40759.951617565006</v>
      </c>
      <c r="K401" s="202">
        <v>-126072.07349171567</v>
      </c>
      <c r="L401" s="202">
        <v>-174467.95451340213</v>
      </c>
      <c r="M401" s="221">
        <v>48395.881021686466</v>
      </c>
      <c r="N401" s="221">
        <v>48395.881021686459</v>
      </c>
      <c r="O401" s="221">
        <v>-205509.77546089591</v>
      </c>
      <c r="Q401" s="204">
        <f t="shared" si="6"/>
        <v>0</v>
      </c>
      <c r="R401" s="204">
        <f>IF(MAX(K402:L402)=K402,1,0)</f>
        <v>1</v>
      </c>
    </row>
    <row r="402" spans="1:20" x14ac:dyDescent="0.3">
      <c r="A402" s="110">
        <v>397</v>
      </c>
      <c r="C402" s="191">
        <v>1.4010866044555921</v>
      </c>
      <c r="D402" s="192">
        <v>151441.03635881402</v>
      </c>
      <c r="E402" s="192">
        <v>1.3025107461121719</v>
      </c>
      <c r="F402" s="192">
        <v>108318.44851942074</v>
      </c>
      <c r="G402" s="192">
        <v>-9.8575858343420197E-2</v>
      </c>
      <c r="H402" s="203">
        <v>9.8575858343420197E-2</v>
      </c>
      <c r="I402" s="192">
        <v>-43122.58783939328</v>
      </c>
      <c r="K402" s="202">
        <v>-158465.11224473937</v>
      </c>
      <c r="L402" s="202">
        <v>-205382.87063035433</v>
      </c>
      <c r="M402" s="221">
        <v>46917.758385614958</v>
      </c>
      <c r="N402" s="221">
        <v>46917.758385614958</v>
      </c>
      <c r="O402" s="221">
        <v>-437455.86966295639</v>
      </c>
      <c r="Q402" s="204">
        <f t="shared" si="6"/>
        <v>0</v>
      </c>
      <c r="R402" s="204">
        <f>IF(MAX(K403:L403)=K403,1,0)</f>
        <v>1</v>
      </c>
    </row>
    <row r="403" spans="1:20" x14ac:dyDescent="0.3">
      <c r="A403" s="110">
        <v>398</v>
      </c>
      <c r="C403" s="191">
        <v>1.1160392973306954</v>
      </c>
      <c r="D403" s="192">
        <v>117444.49411532038</v>
      </c>
      <c r="E403" s="192">
        <v>1.0376219279002146</v>
      </c>
      <c r="F403" s="192">
        <v>101795.40544424775</v>
      </c>
      <c r="G403" s="192">
        <v>-7.8417369430480832E-2</v>
      </c>
      <c r="H403" s="203">
        <v>7.8417369430480832E-2</v>
      </c>
      <c r="I403" s="192">
        <v>-15649.088671072634</v>
      </c>
      <c r="K403" s="202">
        <v>-141743.84966840601</v>
      </c>
      <c r="L403" s="202">
        <v>-160412.00706255215</v>
      </c>
      <c r="M403" s="221">
        <v>18668.157394146139</v>
      </c>
      <c r="N403" s="221">
        <v>18668.157394146147</v>
      </c>
      <c r="O403" s="221">
        <v>-199561.51022058938</v>
      </c>
      <c r="Q403" s="204">
        <f t="shared" si="6"/>
        <v>0</v>
      </c>
      <c r="R403" s="204">
        <f>IF(MAX(K404:L404)=K404,1,0)</f>
        <v>1</v>
      </c>
    </row>
    <row r="404" spans="1:20" x14ac:dyDescent="0.3">
      <c r="A404" s="110">
        <v>399</v>
      </c>
      <c r="C404" s="191">
        <v>1.3980013690711992</v>
      </c>
      <c r="D404" s="192">
        <v>118794.09108443011</v>
      </c>
      <c r="E404" s="192">
        <v>1.3092360597188817</v>
      </c>
      <c r="F404" s="192">
        <v>90076.765929907517</v>
      </c>
      <c r="G404" s="192">
        <v>-8.8765309352317523E-2</v>
      </c>
      <c r="H404" s="203">
        <v>8.8765309352317523E-2</v>
      </c>
      <c r="I404" s="192">
        <v>-28717.325154522594</v>
      </c>
      <c r="K404" s="202">
        <v>-140482.35422908445</v>
      </c>
      <c r="L404" s="202">
        <v>-172617.14379367128</v>
      </c>
      <c r="M404" s="221">
        <v>32134.789564586827</v>
      </c>
      <c r="N404" s="221">
        <v>32134.789564586819</v>
      </c>
      <c r="O404" s="221">
        <v>-323519.68763541325</v>
      </c>
      <c r="Q404" s="204">
        <f t="shared" si="6"/>
        <v>0</v>
      </c>
      <c r="R404" s="204">
        <f>IF(MAX(K405:L405)=K405,1,0)</f>
        <v>1</v>
      </c>
    </row>
    <row r="405" spans="1:20" x14ac:dyDescent="0.3">
      <c r="A405" s="110">
        <v>400</v>
      </c>
      <c r="C405" s="191">
        <v>1.3433537477191884</v>
      </c>
      <c r="D405" s="192">
        <v>136922.64283461191</v>
      </c>
      <c r="E405" s="192">
        <v>1.2808287272511445</v>
      </c>
      <c r="F405" s="192">
        <v>119771.24178708564</v>
      </c>
      <c r="G405" s="192">
        <v>-6.2525020468043868E-2</v>
      </c>
      <c r="H405" s="203">
        <v>6.2525020468043868E-2</v>
      </c>
      <c r="I405" s="192">
        <v>-17151.401047526262</v>
      </c>
      <c r="K405" s="202">
        <v>-169083.1477862547</v>
      </c>
      <c r="L405" s="202">
        <v>-188641.76212180065</v>
      </c>
      <c r="M405" s="221">
        <v>19558.61433554595</v>
      </c>
      <c r="N405" s="221">
        <v>19558.61433554595</v>
      </c>
      <c r="O405" s="221">
        <v>-274312.60188538814</v>
      </c>
      <c r="Q405" s="204">
        <f t="shared" si="6"/>
        <v>0</v>
      </c>
      <c r="R405" s="204">
        <f>IF(MAX(K406:L406)=K406,1,0)</f>
        <v>1</v>
      </c>
    </row>
    <row r="406" spans="1:20" x14ac:dyDescent="0.3">
      <c r="A406" s="110">
        <v>401</v>
      </c>
      <c r="C406" s="191">
        <v>1.156613508834565</v>
      </c>
      <c r="D406" s="192">
        <v>118533.50935307085</v>
      </c>
      <c r="E406" s="192">
        <v>0.96526243420178104</v>
      </c>
      <c r="F406" s="192">
        <v>94627.548448242829</v>
      </c>
      <c r="G406" s="192">
        <v>-0.191351074632784</v>
      </c>
      <c r="H406" s="203">
        <v>0.191351074632784</v>
      </c>
      <c r="I406" s="192">
        <v>-23905.960904828025</v>
      </c>
      <c r="K406" s="202">
        <v>-131790.15216501139</v>
      </c>
      <c r="L406" s="202">
        <v>-163063.12944320161</v>
      </c>
      <c r="M406" s="221">
        <v>31272.977278190228</v>
      </c>
      <c r="N406" s="221">
        <v>31272.97727819021</v>
      </c>
      <c r="O406" s="221">
        <v>-124932.46223312424</v>
      </c>
      <c r="Q406" s="204">
        <f t="shared" si="6"/>
        <v>0</v>
      </c>
      <c r="R406" s="204">
        <f>IF(MAX(K407:L407)=K407,1,0)</f>
        <v>1</v>
      </c>
    </row>
    <row r="407" spans="1:20" x14ac:dyDescent="0.3">
      <c r="A407" s="110">
        <v>402</v>
      </c>
      <c r="C407" s="191">
        <v>1.846444557635603</v>
      </c>
      <c r="D407" s="192">
        <v>167079.85148356724</v>
      </c>
      <c r="E407" s="192">
        <v>1.5827271864983106</v>
      </c>
      <c r="F407" s="192">
        <v>102914.31082708767</v>
      </c>
      <c r="G407" s="192">
        <v>-0.26371737113729243</v>
      </c>
      <c r="H407" s="203">
        <v>0.26371737113729243</v>
      </c>
      <c r="I407" s="192">
        <v>-64165.54065647957</v>
      </c>
      <c r="K407" s="202">
        <v>-163849.30750727264</v>
      </c>
      <c r="L407" s="202">
        <v>-238167.96695253794</v>
      </c>
      <c r="M407" s="221">
        <v>74318.659445265308</v>
      </c>
      <c r="N407" s="221">
        <v>74318.659445265337</v>
      </c>
      <c r="O407" s="221">
        <v>-243311.77115774716</v>
      </c>
      <c r="Q407" s="204">
        <f t="shared" si="6"/>
        <v>0</v>
      </c>
      <c r="R407" s="204">
        <f>IF(MAX(K408:L408)=K408,1,0)</f>
        <v>1</v>
      </c>
    </row>
    <row r="408" spans="1:20" x14ac:dyDescent="0.3">
      <c r="A408" s="110">
        <v>403</v>
      </c>
      <c r="C408" s="191">
        <v>1.0946670650317707</v>
      </c>
      <c r="D408" s="192">
        <v>149731.93363994078</v>
      </c>
      <c r="E408" s="192">
        <v>1.0631341136846979</v>
      </c>
      <c r="F408" s="192">
        <v>136763.01061198264</v>
      </c>
      <c r="G408" s="192">
        <v>-3.1532951347072791E-2</v>
      </c>
      <c r="H408" s="203">
        <v>3.1532951347072791E-2</v>
      </c>
      <c r="I408" s="192">
        <v>-12968.923027958139</v>
      </c>
      <c r="K408" s="202">
        <v>-177693.67398884351</v>
      </c>
      <c r="L408" s="202">
        <v>-191876.61564366394</v>
      </c>
      <c r="M408" s="221">
        <v>14182.941654820432</v>
      </c>
      <c r="N408" s="221">
        <v>14182.941654820441</v>
      </c>
      <c r="O408" s="221">
        <v>-411281.61094765546</v>
      </c>
      <c r="Q408" s="204">
        <f t="shared" si="6"/>
        <v>0</v>
      </c>
      <c r="R408" s="204">
        <f>IF(MAX(K409:L409)=K409,1,0)</f>
        <v>1</v>
      </c>
    </row>
    <row r="409" spans="1:20" x14ac:dyDescent="0.3">
      <c r="A409" s="110">
        <v>404</v>
      </c>
      <c r="C409" s="191">
        <v>1.480360248009023</v>
      </c>
      <c r="D409" s="192">
        <v>151616.61320900172</v>
      </c>
      <c r="E409" s="192">
        <v>1.2527377981263446</v>
      </c>
      <c r="F409" s="192">
        <v>104531.85025077786</v>
      </c>
      <c r="G409" s="192">
        <v>-0.22762244988267843</v>
      </c>
      <c r="H409" s="203">
        <v>0.22762244988267843</v>
      </c>
      <c r="I409" s="192">
        <v>-47084.762958223859</v>
      </c>
      <c r="K409" s="202">
        <v>-152762.25547864212</v>
      </c>
      <c r="L409" s="202">
        <v>-208610.48275734909</v>
      </c>
      <c r="M409" s="221">
        <v>55848.227278706967</v>
      </c>
      <c r="N409" s="221">
        <v>55848.227278706981</v>
      </c>
      <c r="O409" s="221">
        <v>-206854.65331953141</v>
      </c>
      <c r="Q409" s="204">
        <f t="shared" si="6"/>
        <v>0</v>
      </c>
      <c r="R409" s="204">
        <f>IF(MAX(K410:L410)=K410,1,0)</f>
        <v>1</v>
      </c>
    </row>
    <row r="410" spans="1:20" x14ac:dyDescent="0.3">
      <c r="A410" s="110">
        <v>405</v>
      </c>
      <c r="C410" s="191">
        <v>1.5785605033910841</v>
      </c>
      <c r="D410" s="192">
        <v>93882.87620229063</v>
      </c>
      <c r="E410" s="192">
        <v>1.2805580190321306</v>
      </c>
      <c r="F410" s="192">
        <v>65482.352675739028</v>
      </c>
      <c r="G410" s="192">
        <v>-0.29800248435895349</v>
      </c>
      <c r="H410" s="203">
        <v>0.29800248435895349</v>
      </c>
      <c r="I410" s="192">
        <v>-28400.523526551602</v>
      </c>
      <c r="K410" s="202">
        <v>-114783.83640847605</v>
      </c>
      <c r="L410" s="202">
        <v>-154657.45558284735</v>
      </c>
      <c r="M410" s="221">
        <v>39873.619174371299</v>
      </c>
      <c r="N410" s="221">
        <v>39873.619174371313</v>
      </c>
      <c r="O410" s="221">
        <v>-95302.975703861128</v>
      </c>
      <c r="Q410" s="204">
        <f t="shared" si="6"/>
        <v>0</v>
      </c>
      <c r="R410" s="204">
        <f>IF(MAX(K411:L411)=K411,1,0)</f>
        <v>1</v>
      </c>
    </row>
    <row r="411" spans="1:20" x14ac:dyDescent="0.3">
      <c r="A411" s="110">
        <v>406</v>
      </c>
      <c r="C411" s="191">
        <v>1.5551115267166371</v>
      </c>
      <c r="D411" s="192">
        <v>105260.76317105569</v>
      </c>
      <c r="E411" s="192">
        <v>1.4539663815804895</v>
      </c>
      <c r="F411" s="192">
        <v>71755.074801257419</v>
      </c>
      <c r="G411" s="192">
        <v>-0.10114514513614759</v>
      </c>
      <c r="H411" s="203">
        <v>0.10114514513614759</v>
      </c>
      <c r="I411" s="192">
        <v>-33505.68836979827</v>
      </c>
      <c r="K411" s="202">
        <v>-127732.78049210626</v>
      </c>
      <c r="L411" s="202">
        <v>-165132.55694964621</v>
      </c>
      <c r="M411" s="221">
        <v>37399.776457539949</v>
      </c>
      <c r="N411" s="221">
        <v>37399.776457539949</v>
      </c>
      <c r="O411" s="221">
        <v>-331263.43656630826</v>
      </c>
      <c r="Q411" s="204">
        <f t="shared" si="6"/>
        <v>0</v>
      </c>
      <c r="R411" s="204">
        <f>IF(MAX(K412:L412)=K412,1,0)</f>
        <v>1</v>
      </c>
    </row>
    <row r="412" spans="1:20" x14ac:dyDescent="0.3">
      <c r="A412" s="110">
        <v>407</v>
      </c>
      <c r="C412" s="191">
        <v>1.084436278960067</v>
      </c>
      <c r="D412" s="192">
        <v>107063.44854037136</v>
      </c>
      <c r="E412" s="192">
        <v>0.94811603029175651</v>
      </c>
      <c r="F412" s="192">
        <v>80918.094795128942</v>
      </c>
      <c r="G412" s="192">
        <v>-0.1363202486683105</v>
      </c>
      <c r="H412" s="203">
        <v>0.1363202486683105</v>
      </c>
      <c r="I412" s="192">
        <v>-26145.353745242421</v>
      </c>
      <c r="K412" s="202">
        <v>-117420.56196136157</v>
      </c>
      <c r="L412" s="202">
        <v>-148814.24528033394</v>
      </c>
      <c r="M412" s="221">
        <v>31393.683318972369</v>
      </c>
      <c r="N412" s="221">
        <v>31393.683318972377</v>
      </c>
      <c r="O412" s="221">
        <v>-191793.61834101661</v>
      </c>
      <c r="Q412" s="204">
        <f t="shared" si="6"/>
        <v>0</v>
      </c>
      <c r="R412" s="204">
        <f>IF(MAX(K413:L413)=K413,1,0)</f>
        <v>1</v>
      </c>
    </row>
    <row r="413" spans="1:20" x14ac:dyDescent="0.3">
      <c r="A413" s="110">
        <v>408</v>
      </c>
      <c r="C413" s="191">
        <v>1.1590637157120647</v>
      </c>
      <c r="D413" s="192">
        <v>111782.31875801762</v>
      </c>
      <c r="E413" s="192">
        <v>1.1507509112517624</v>
      </c>
      <c r="F413" s="192">
        <v>86809.072679056946</v>
      </c>
      <c r="G413" s="192">
        <v>-8.3128044603022477E-3</v>
      </c>
      <c r="H413" s="203">
        <v>8.3128044603022477E-3</v>
      </c>
      <c r="I413" s="192">
        <v>-24973.24607896067</v>
      </c>
      <c r="K413" s="202">
        <v>-131112.9827622498</v>
      </c>
      <c r="L413" s="202">
        <v>-156406.2718129321</v>
      </c>
      <c r="M413" s="221">
        <v>25293.289050682302</v>
      </c>
      <c r="N413" s="221">
        <v>25293.289050682306</v>
      </c>
      <c r="O413" s="221">
        <v>-3004190.2462905594</v>
      </c>
      <c r="Q413" s="204">
        <f t="shared" si="6"/>
        <v>0</v>
      </c>
      <c r="R413" s="204">
        <f>IF(MAX(K414:L414)=K414,1,0)</f>
        <v>1</v>
      </c>
      <c r="T413" s="224"/>
    </row>
    <row r="414" spans="1:20" x14ac:dyDescent="0.3">
      <c r="A414" s="110">
        <v>409</v>
      </c>
      <c r="C414" s="191">
        <v>0.84252623207751121</v>
      </c>
      <c r="D414" s="192">
        <v>80126.321169248127</v>
      </c>
      <c r="E414" s="192">
        <v>0.78066305495247257</v>
      </c>
      <c r="F414" s="192">
        <v>58567.735222342351</v>
      </c>
      <c r="G414" s="192">
        <v>-6.1863177125038638E-2</v>
      </c>
      <c r="H414" s="203">
        <v>6.1863177125038638E-2</v>
      </c>
      <c r="I414" s="192">
        <v>-21558.585946905776</v>
      </c>
      <c r="K414" s="202">
        <v>-88623.262838012539</v>
      </c>
      <c r="L414" s="202">
        <v>-112563.5811042323</v>
      </c>
      <c r="M414" s="221">
        <v>23940.318266219765</v>
      </c>
      <c r="N414" s="221">
        <v>23940.318266219765</v>
      </c>
      <c r="O414" s="221">
        <v>-348488.17905571335</v>
      </c>
      <c r="Q414" s="204">
        <f t="shared" si="6"/>
        <v>0</v>
      </c>
      <c r="R414" s="204">
        <f>IF(MAX(K415:L415)=K415,1,0)</f>
        <v>1</v>
      </c>
    </row>
    <row r="415" spans="1:20" x14ac:dyDescent="0.3">
      <c r="A415" s="110">
        <v>410</v>
      </c>
      <c r="C415" s="191">
        <v>1.4301408462121838</v>
      </c>
      <c r="D415" s="192">
        <v>97884.957830199564</v>
      </c>
      <c r="E415" s="192">
        <v>1.3099997937064478</v>
      </c>
      <c r="F415" s="192">
        <v>74863.156513585607</v>
      </c>
      <c r="G415" s="192">
        <v>-0.12014105250573603</v>
      </c>
      <c r="H415" s="203">
        <v>0.12014105250573603</v>
      </c>
      <c r="I415" s="192">
        <v>-23021.801316613957</v>
      </c>
      <c r="K415" s="202">
        <v>-125298.14857128385</v>
      </c>
      <c r="L415" s="202">
        <v>-152945.38040936863</v>
      </c>
      <c r="M415" s="221">
        <v>27647.231838084786</v>
      </c>
      <c r="N415" s="221">
        <v>27647.231838084794</v>
      </c>
      <c r="O415" s="221">
        <v>-191623.10331445449</v>
      </c>
      <c r="Q415" s="204">
        <f t="shared" si="6"/>
        <v>0</v>
      </c>
      <c r="R415" s="204">
        <f>IF(MAX(K416:L416)=K416,1,0)</f>
        <v>1</v>
      </c>
    </row>
    <row r="416" spans="1:20" x14ac:dyDescent="0.3">
      <c r="A416" s="110">
        <v>411</v>
      </c>
      <c r="C416" s="191">
        <v>1.0685801970622772</v>
      </c>
      <c r="D416" s="192">
        <v>94893.126532139446</v>
      </c>
      <c r="E416" s="192">
        <v>0.98202940419573503</v>
      </c>
      <c r="F416" s="192">
        <v>75640.870908814017</v>
      </c>
      <c r="G416" s="192">
        <v>-8.6550792866542214E-2</v>
      </c>
      <c r="H416" s="203">
        <v>8.6550792866542214E-2</v>
      </c>
      <c r="I416" s="192">
        <v>-19252.255623325429</v>
      </c>
      <c r="K416" s="202">
        <v>-113449.00297034981</v>
      </c>
      <c r="L416" s="202">
        <v>-136033.46411903712</v>
      </c>
      <c r="M416" s="221">
        <v>22584.461148687304</v>
      </c>
      <c r="N416" s="221">
        <v>22584.461148687304</v>
      </c>
      <c r="O416" s="221">
        <v>-222438.81292932373</v>
      </c>
      <c r="Q416" s="204">
        <f t="shared" si="6"/>
        <v>0</v>
      </c>
      <c r="R416" s="204">
        <f>IF(MAX(K417:L417)=K417,1,0)</f>
        <v>1</v>
      </c>
    </row>
    <row r="417" spans="1:18" x14ac:dyDescent="0.3">
      <c r="A417" s="110">
        <v>412</v>
      </c>
      <c r="C417" s="191">
        <v>1.4233659227552145</v>
      </c>
      <c r="D417" s="192">
        <v>128774.89618146524</v>
      </c>
      <c r="E417" s="192">
        <v>1.3826880616564403</v>
      </c>
      <c r="F417" s="192">
        <v>108690.32811495464</v>
      </c>
      <c r="G417" s="192">
        <v>-4.0677861098774137E-2</v>
      </c>
      <c r="H417" s="203">
        <v>4.0677861098774137E-2</v>
      </c>
      <c r="I417" s="192">
        <v>-20084.568066510605</v>
      </c>
      <c r="K417" s="202">
        <v>-161923.81848872759</v>
      </c>
      <c r="L417" s="202">
        <v>-183574.48420754098</v>
      </c>
      <c r="M417" s="221">
        <v>21650.665718813398</v>
      </c>
      <c r="N417" s="221">
        <v>21650.665718813409</v>
      </c>
      <c r="O417" s="221">
        <v>-493746.90615470614</v>
      </c>
      <c r="Q417" s="204">
        <f t="shared" si="6"/>
        <v>0</v>
      </c>
      <c r="R417" s="204">
        <f>IF(MAX(K418:L418)=K418,1,0)</f>
        <v>1</v>
      </c>
    </row>
    <row r="418" spans="1:18" x14ac:dyDescent="0.3">
      <c r="A418" s="110">
        <v>413</v>
      </c>
      <c r="C418" s="191">
        <v>1.5561483504141547</v>
      </c>
      <c r="D418" s="192">
        <v>140575.46082856573</v>
      </c>
      <c r="E418" s="192">
        <v>1.467684819037065</v>
      </c>
      <c r="F418" s="192">
        <v>103514.36978284089</v>
      </c>
      <c r="G418" s="192">
        <v>-8.8463531377089621E-2</v>
      </c>
      <c r="H418" s="203">
        <v>8.8463531377089621E-2</v>
      </c>
      <c r="I418" s="192">
        <v>-37061.091045724839</v>
      </c>
      <c r="K418" s="202">
        <v>-160020.2353157679</v>
      </c>
      <c r="L418" s="202">
        <v>-200487.17231951069</v>
      </c>
      <c r="M418" s="221">
        <v>40466.937003742787</v>
      </c>
      <c r="N418" s="221">
        <v>40466.937003742787</v>
      </c>
      <c r="O418" s="221">
        <v>-418942.02581339591</v>
      </c>
      <c r="Q418" s="204">
        <f t="shared" si="6"/>
        <v>0</v>
      </c>
      <c r="R418" s="204">
        <f>IF(MAX(K419:L419)=K419,1,0)</f>
        <v>1</v>
      </c>
    </row>
    <row r="419" spans="1:18" x14ac:dyDescent="0.3">
      <c r="A419" s="110">
        <v>414</v>
      </c>
      <c r="C419" s="191">
        <v>1.4838919306288063</v>
      </c>
      <c r="D419" s="192">
        <v>148872.39933033154</v>
      </c>
      <c r="E419" s="192">
        <v>1.3250267511549738</v>
      </c>
      <c r="F419" s="192">
        <v>108359.19348733874</v>
      </c>
      <c r="G419" s="192">
        <v>-0.1588651794738325</v>
      </c>
      <c r="H419" s="203">
        <v>0.1588651794738325</v>
      </c>
      <c r="I419" s="192">
        <v>-40513.2058429928</v>
      </c>
      <c r="K419" s="202">
        <v>-159372.72340680522</v>
      </c>
      <c r="L419" s="202">
        <v>-206002.23865954057</v>
      </c>
      <c r="M419" s="221">
        <v>46629.515252735349</v>
      </c>
      <c r="N419" s="221">
        <v>46629.515252735349</v>
      </c>
      <c r="O419" s="221">
        <v>-255016.27214455727</v>
      </c>
      <c r="Q419" s="204">
        <f t="shared" si="6"/>
        <v>0</v>
      </c>
      <c r="R419" s="204">
        <f>IF(MAX(K420:L420)=K420,1,0)</f>
        <v>1</v>
      </c>
    </row>
    <row r="420" spans="1:18" x14ac:dyDescent="0.3">
      <c r="A420" s="110">
        <v>415</v>
      </c>
      <c r="C420" s="191">
        <v>1.2447801652602859</v>
      </c>
      <c r="D420" s="192">
        <v>110823.43549410295</v>
      </c>
      <c r="E420" s="192">
        <v>1.1071716126596702</v>
      </c>
      <c r="F420" s="192">
        <v>78931.260208529144</v>
      </c>
      <c r="G420" s="192">
        <v>-0.13760855260061566</v>
      </c>
      <c r="H420" s="203">
        <v>0.13760855260061566</v>
      </c>
      <c r="I420" s="192">
        <v>-31892.175285573801</v>
      </c>
      <c r="K420" s="202">
        <v>-121557.36729592645</v>
      </c>
      <c r="L420" s="202">
        <v>-158747.47185662395</v>
      </c>
      <c r="M420" s="221">
        <v>37190.104560697495</v>
      </c>
      <c r="N420" s="221">
        <v>37190.104560697502</v>
      </c>
      <c r="O420" s="221">
        <v>-231760.12451882381</v>
      </c>
      <c r="Q420" s="204">
        <f t="shared" si="6"/>
        <v>0</v>
      </c>
      <c r="R420" s="204">
        <f>IF(MAX(K421:L421)=K421,1,0)</f>
        <v>1</v>
      </c>
    </row>
    <row r="421" spans="1:18" x14ac:dyDescent="0.3">
      <c r="A421" s="110">
        <v>416</v>
      </c>
      <c r="C421" s="191">
        <v>1.4016686647370973</v>
      </c>
      <c r="D421" s="192">
        <v>127430.04212344704</v>
      </c>
      <c r="E421" s="192">
        <v>1.1966312740503029</v>
      </c>
      <c r="F421" s="192">
        <v>92290.419734094918</v>
      </c>
      <c r="G421" s="192">
        <v>-0.20503739068679439</v>
      </c>
      <c r="H421" s="203">
        <v>0.20503739068679439</v>
      </c>
      <c r="I421" s="192">
        <v>-35139.622389352124</v>
      </c>
      <c r="K421" s="202">
        <v>-138360.72378503159</v>
      </c>
      <c r="L421" s="202">
        <v>-181394.28571582527</v>
      </c>
      <c r="M421" s="221">
        <v>43033.561930793687</v>
      </c>
      <c r="N421" s="221">
        <v>43033.561930793709</v>
      </c>
      <c r="O421" s="221">
        <v>-171381.53324936613</v>
      </c>
      <c r="Q421" s="204">
        <f t="shared" si="6"/>
        <v>0</v>
      </c>
      <c r="R421" s="204">
        <f>IF(MAX(K422:L422)=K422,1,0)</f>
        <v>1</v>
      </c>
    </row>
    <row r="422" spans="1:18" x14ac:dyDescent="0.3">
      <c r="A422" s="110">
        <v>417</v>
      </c>
      <c r="C422" s="191">
        <v>2.0002862414453251</v>
      </c>
      <c r="D422" s="192">
        <v>120936.18889928007</v>
      </c>
      <c r="E422" s="192">
        <v>1.9195258116102114</v>
      </c>
      <c r="F422" s="192">
        <v>88014.779159022408</v>
      </c>
      <c r="G422" s="192">
        <v>-8.0760429835113667E-2</v>
      </c>
      <c r="H422" s="203">
        <v>8.0760429835113667E-2</v>
      </c>
      <c r="I422" s="192">
        <v>-32921.409740257659</v>
      </c>
      <c r="K422" s="202">
        <v>-161916.52290601554</v>
      </c>
      <c r="L422" s="202">
        <v>-197947.20919492509</v>
      </c>
      <c r="M422" s="221">
        <v>36030.68628890955</v>
      </c>
      <c r="N422" s="221">
        <v>36030.686288909536</v>
      </c>
      <c r="O422" s="221">
        <v>-407642.82467877388</v>
      </c>
      <c r="Q422" s="204">
        <f t="shared" si="6"/>
        <v>0</v>
      </c>
      <c r="R422" s="204">
        <f>IF(MAX(K423:L423)=K423,1,0)</f>
        <v>1</v>
      </c>
    </row>
    <row r="423" spans="1:18" x14ac:dyDescent="0.3">
      <c r="A423" s="110">
        <v>418</v>
      </c>
      <c r="C423" s="191">
        <v>1.2626946406800843</v>
      </c>
      <c r="D423" s="192">
        <v>101259.48634054017</v>
      </c>
      <c r="E423" s="192">
        <v>1.2146103714600034</v>
      </c>
      <c r="F423" s="192">
        <v>77452.968795991415</v>
      </c>
      <c r="G423" s="192">
        <v>-4.8084269220080911E-2</v>
      </c>
      <c r="H423" s="203">
        <v>4.8084269220080911E-2</v>
      </c>
      <c r="I423" s="192">
        <v>-23806.517544548755</v>
      </c>
      <c r="K423" s="202">
        <v>-124215.46809720155</v>
      </c>
      <c r="L423" s="202">
        <v>-149873.23000672343</v>
      </c>
      <c r="M423" s="221">
        <v>25657.761909521883</v>
      </c>
      <c r="N423" s="221">
        <v>25657.761909521869</v>
      </c>
      <c r="O423" s="221">
        <v>-495099.91376985924</v>
      </c>
      <c r="Q423" s="204">
        <f t="shared" si="6"/>
        <v>0</v>
      </c>
      <c r="R423" s="204">
        <f>IF(MAX(K424:L424)=K424,1,0)</f>
        <v>1</v>
      </c>
    </row>
    <row r="424" spans="1:18" x14ac:dyDescent="0.3">
      <c r="A424" s="110">
        <v>419</v>
      </c>
      <c r="C424" s="191">
        <v>1.4659855494244129</v>
      </c>
      <c r="D424" s="192">
        <v>141593.59660294358</v>
      </c>
      <c r="E424" s="192">
        <v>1.3008189528540686</v>
      </c>
      <c r="F424" s="192">
        <v>89355.156245975581</v>
      </c>
      <c r="G424" s="192">
        <v>-0.16516659657034438</v>
      </c>
      <c r="H424" s="203">
        <v>0.16516659657034438</v>
      </c>
      <c r="I424" s="192">
        <v>-52238.440356968</v>
      </c>
      <c r="K424" s="202">
        <v>-139436.68593085723</v>
      </c>
      <c r="L424" s="202">
        <v>-198034.04025578348</v>
      </c>
      <c r="M424" s="221">
        <v>58597.354324926244</v>
      </c>
      <c r="N424" s="221">
        <v>58597.354324926258</v>
      </c>
      <c r="O424" s="221">
        <v>-316277.27059641667</v>
      </c>
      <c r="Q424" s="204">
        <f t="shared" si="6"/>
        <v>0</v>
      </c>
      <c r="R424" s="204">
        <f>IF(MAX(K425:L425)=K425,1,0)</f>
        <v>1</v>
      </c>
    </row>
    <row r="425" spans="1:18" x14ac:dyDescent="0.3">
      <c r="A425" s="110">
        <v>420</v>
      </c>
      <c r="C425" s="191">
        <v>1.4409142959870509</v>
      </c>
      <c r="D425" s="192">
        <v>121361.16569449224</v>
      </c>
      <c r="E425" s="192">
        <v>1.3242112213607857</v>
      </c>
      <c r="F425" s="192">
        <v>92402.741713716357</v>
      </c>
      <c r="G425" s="192">
        <v>-0.11670307462626517</v>
      </c>
      <c r="H425" s="203">
        <v>0.11670307462626517</v>
      </c>
      <c r="I425" s="192">
        <v>-28958.423980775886</v>
      </c>
      <c r="K425" s="202">
        <v>-143384.87373610662</v>
      </c>
      <c r="L425" s="202">
        <v>-176836.36608999371</v>
      </c>
      <c r="M425" s="221">
        <v>33451.492353887093</v>
      </c>
      <c r="N425" s="221">
        <v>33451.492353887093</v>
      </c>
      <c r="O425" s="221">
        <v>-248137.62682357393</v>
      </c>
      <c r="Q425" s="204">
        <f t="shared" si="6"/>
        <v>0</v>
      </c>
      <c r="R425" s="204">
        <f>IF(MAX(K426:L426)=K426,1,0)</f>
        <v>1</v>
      </c>
    </row>
    <row r="426" spans="1:18" x14ac:dyDescent="0.3">
      <c r="A426" s="110">
        <v>421</v>
      </c>
      <c r="C426" s="191">
        <v>1.1478823810961507</v>
      </c>
      <c r="D426" s="192">
        <v>128753.35074392355</v>
      </c>
      <c r="E426" s="192">
        <v>1.0338816821399692</v>
      </c>
      <c r="F426" s="192">
        <v>92981.908430880852</v>
      </c>
      <c r="G426" s="192">
        <v>-0.11400069895618148</v>
      </c>
      <c r="H426" s="203">
        <v>0.11400069895618148</v>
      </c>
      <c r="I426" s="192">
        <v>-35771.442313042702</v>
      </c>
      <c r="K426" s="202">
        <v>-132786.35319326966</v>
      </c>
      <c r="L426" s="202">
        <v>-172946.82241612536</v>
      </c>
      <c r="M426" s="221">
        <v>40160.469222855696</v>
      </c>
      <c r="N426" s="221">
        <v>40160.469222855689</v>
      </c>
      <c r="O426" s="221">
        <v>-313782.65783082781</v>
      </c>
      <c r="Q426" s="204">
        <f t="shared" si="6"/>
        <v>0</v>
      </c>
      <c r="R426" s="204">
        <f>IF(MAX(K427:L427)=K427,1,0)</f>
        <v>1</v>
      </c>
    </row>
    <row r="427" spans="1:18" x14ac:dyDescent="0.3">
      <c r="A427" s="110">
        <v>422</v>
      </c>
      <c r="C427" s="191">
        <v>1.4104563725801369</v>
      </c>
      <c r="D427" s="192">
        <v>111905.85200859641</v>
      </c>
      <c r="E427" s="192">
        <v>1.2896680577773618</v>
      </c>
      <c r="F427" s="192">
        <v>85288.691885558466</v>
      </c>
      <c r="G427" s="192">
        <v>-0.12078831480277508</v>
      </c>
      <c r="H427" s="203">
        <v>0.12078831480277508</v>
      </c>
      <c r="I427" s="192">
        <v>-26617.160123037946</v>
      </c>
      <c r="K427" s="202">
        <v>-134940.91210998688</v>
      </c>
      <c r="L427" s="202">
        <v>-166208.4223529317</v>
      </c>
      <c r="M427" s="221">
        <v>31267.510242944816</v>
      </c>
      <c r="N427" s="221">
        <v>31267.510242944787</v>
      </c>
      <c r="O427" s="221">
        <v>-220362.04550497152</v>
      </c>
      <c r="Q427" s="204">
        <f t="shared" si="6"/>
        <v>0</v>
      </c>
      <c r="R427" s="204">
        <f>IF(MAX(K428:L428)=K428,1,0)</f>
        <v>1</v>
      </c>
    </row>
    <row r="428" spans="1:18" x14ac:dyDescent="0.3">
      <c r="A428" s="110">
        <v>423</v>
      </c>
      <c r="C428" s="191">
        <v>1.246050764980895</v>
      </c>
      <c r="D428" s="192">
        <v>119964.52552221312</v>
      </c>
      <c r="E428" s="192">
        <v>1.0916434328180316</v>
      </c>
      <c r="F428" s="192">
        <v>85118.82404168426</v>
      </c>
      <c r="G428" s="192">
        <v>-0.1544073321628634</v>
      </c>
      <c r="H428" s="203">
        <v>0.1544073321628634</v>
      </c>
      <c r="I428" s="192">
        <v>-34845.701480528864</v>
      </c>
      <c r="K428" s="202">
        <v>-127147.09620517847</v>
      </c>
      <c r="L428" s="202">
        <v>-167937.47997397758</v>
      </c>
      <c r="M428" s="221">
        <v>40790.383768799104</v>
      </c>
      <c r="N428" s="221">
        <v>40790.383768799104</v>
      </c>
      <c r="O428" s="221">
        <v>-225673.8782571209</v>
      </c>
      <c r="Q428" s="204">
        <f t="shared" si="6"/>
        <v>0</v>
      </c>
      <c r="R428" s="204">
        <f>IF(MAX(K429:L429)=K429,1,0)</f>
        <v>1</v>
      </c>
    </row>
    <row r="429" spans="1:18" x14ac:dyDescent="0.3">
      <c r="A429" s="110">
        <v>424</v>
      </c>
      <c r="C429" s="191">
        <v>1.2818334391650685</v>
      </c>
      <c r="D429" s="192">
        <v>128545.68414558729</v>
      </c>
      <c r="E429" s="192">
        <v>1.1453102229271743</v>
      </c>
      <c r="F429" s="192">
        <v>94392.779602005074</v>
      </c>
      <c r="G429" s="192">
        <v>-0.13652321623789421</v>
      </c>
      <c r="H429" s="203">
        <v>0.13652321623789421</v>
      </c>
      <c r="I429" s="192">
        <v>-34152.904543582219</v>
      </c>
      <c r="K429" s="202">
        <v>-138487.22318470129</v>
      </c>
      <c r="L429" s="202">
        <v>-177896.27155344244</v>
      </c>
      <c r="M429" s="221">
        <v>39409.048368741147</v>
      </c>
      <c r="N429" s="221">
        <v>39409.048368741147</v>
      </c>
      <c r="O429" s="221">
        <v>-250161.8807754291</v>
      </c>
      <c r="Q429" s="204">
        <f t="shared" si="6"/>
        <v>0</v>
      </c>
      <c r="R429" s="204">
        <f>IF(MAX(K430:L430)=K430,1,0)</f>
        <v>1</v>
      </c>
    </row>
    <row r="430" spans="1:18" x14ac:dyDescent="0.3">
      <c r="A430" s="110">
        <v>425</v>
      </c>
      <c r="C430" s="191">
        <v>1.2152030801635878</v>
      </c>
      <c r="D430" s="192">
        <v>126889.65835681355</v>
      </c>
      <c r="E430" s="192">
        <v>1.1220941148341068</v>
      </c>
      <c r="F430" s="192">
        <v>90032.882524646935</v>
      </c>
      <c r="G430" s="192">
        <v>-9.3108965329480986E-2</v>
      </c>
      <c r="H430" s="203">
        <v>9.3108965329480986E-2</v>
      </c>
      <c r="I430" s="192">
        <v>-36856.775832166619</v>
      </c>
      <c r="K430" s="202">
        <v>-133233.50594576006</v>
      </c>
      <c r="L430" s="202">
        <v>-173674.97694311169</v>
      </c>
      <c r="M430" s="221">
        <v>40441.470997351629</v>
      </c>
      <c r="N430" s="221">
        <v>40441.470997351636</v>
      </c>
      <c r="O430" s="221">
        <v>-395845.61703315051</v>
      </c>
      <c r="Q430" s="204">
        <f t="shared" si="6"/>
        <v>0</v>
      </c>
      <c r="R430" s="204">
        <f>IF(MAX(K431:L431)=K431,1,0)</f>
        <v>1</v>
      </c>
    </row>
    <row r="431" spans="1:18" x14ac:dyDescent="0.3">
      <c r="A431" s="110">
        <v>426</v>
      </c>
      <c r="C431" s="191">
        <v>1.2719388233097089</v>
      </c>
      <c r="D431" s="192">
        <v>92930.839480779119</v>
      </c>
      <c r="E431" s="192">
        <v>1.2161273451984955</v>
      </c>
      <c r="F431" s="192">
        <v>72714.419038919106</v>
      </c>
      <c r="G431" s="192">
        <v>-5.5811478111213342E-2</v>
      </c>
      <c r="H431" s="203">
        <v>5.5811478111213342E-2</v>
      </c>
      <c r="I431" s="192">
        <v>-20216.420441860013</v>
      </c>
      <c r="K431" s="202">
        <v>-119535.32182906118</v>
      </c>
      <c r="L431" s="202">
        <v>-141900.48417820293</v>
      </c>
      <c r="M431" s="221">
        <v>22365.162349141741</v>
      </c>
      <c r="N431" s="221">
        <v>22365.162349141727</v>
      </c>
      <c r="O431" s="221">
        <v>-362226.93119819451</v>
      </c>
      <c r="Q431" s="204">
        <f t="shared" si="6"/>
        <v>0</v>
      </c>
      <c r="R431" s="204">
        <f>IF(MAX(K432:L432)=K432,1,0)</f>
        <v>1</v>
      </c>
    </row>
    <row r="432" spans="1:18" x14ac:dyDescent="0.3">
      <c r="A432" s="110">
        <v>427</v>
      </c>
      <c r="C432" s="191">
        <v>1.5873308935387127</v>
      </c>
      <c r="D432" s="192">
        <v>108363.61572544009</v>
      </c>
      <c r="E432" s="192">
        <v>1.5168621287881072</v>
      </c>
      <c r="F432" s="192">
        <v>90694.457955477294</v>
      </c>
      <c r="G432" s="192">
        <v>-7.0468764750605484E-2</v>
      </c>
      <c r="H432" s="203">
        <v>7.0468764750605484E-2</v>
      </c>
      <c r="I432" s="192">
        <v>-17669.157769962796</v>
      </c>
      <c r="K432" s="202">
        <v>-149093.64991381942</v>
      </c>
      <c r="L432" s="202">
        <v>-169475.85512668052</v>
      </c>
      <c r="M432" s="221">
        <v>20382.205212861096</v>
      </c>
      <c r="N432" s="221">
        <v>20382.205212861107</v>
      </c>
      <c r="O432" s="221">
        <v>-250737.44136846074</v>
      </c>
      <c r="Q432" s="204">
        <f t="shared" si="6"/>
        <v>0</v>
      </c>
      <c r="R432" s="204">
        <f>IF(MAX(K433:L433)=K433,1,0)</f>
        <v>1</v>
      </c>
    </row>
    <row r="433" spans="1:18" x14ac:dyDescent="0.3">
      <c r="A433" s="110">
        <v>428</v>
      </c>
      <c r="C433" s="191">
        <v>1.1395341883246359</v>
      </c>
      <c r="D433" s="192">
        <v>109485.22077065003</v>
      </c>
      <c r="E433" s="192">
        <v>1.0407886660718979</v>
      </c>
      <c r="F433" s="192">
        <v>80977.393705450595</v>
      </c>
      <c r="G433" s="192">
        <v>-9.8745522252738027E-2</v>
      </c>
      <c r="H433" s="203">
        <v>9.8745522252738027E-2</v>
      </c>
      <c r="I433" s="192">
        <v>-28507.827065199439</v>
      </c>
      <c r="K433" s="202">
        <v>-121047.75734921866</v>
      </c>
      <c r="L433" s="202">
        <v>-153357.28702114851</v>
      </c>
      <c r="M433" s="221">
        <v>32309.529671929849</v>
      </c>
      <c r="N433" s="221">
        <v>32309.529671929853</v>
      </c>
      <c r="O433" s="221">
        <v>-288699.94724655955</v>
      </c>
      <c r="Q433" s="204">
        <f t="shared" si="6"/>
        <v>0</v>
      </c>
      <c r="R433" s="204">
        <f>IF(MAX(K434:L434)=K434,1,0)</f>
        <v>1</v>
      </c>
    </row>
    <row r="434" spans="1:18" x14ac:dyDescent="0.3">
      <c r="A434" s="110">
        <v>429</v>
      </c>
      <c r="C434" s="191">
        <v>1.0586838943256038</v>
      </c>
      <c r="D434" s="192">
        <v>66620.709631399543</v>
      </c>
      <c r="E434" s="192">
        <v>1.0282303012223384</v>
      </c>
      <c r="F434" s="192">
        <v>58073.349242361925</v>
      </c>
      <c r="G434" s="192">
        <v>-3.0453593103265453E-2</v>
      </c>
      <c r="H434" s="203">
        <v>3.0453593103265453E-2</v>
      </c>
      <c r="I434" s="192">
        <v>-8547.360389037618</v>
      </c>
      <c r="K434" s="202">
        <v>-97660.215839421959</v>
      </c>
      <c r="L434" s="202">
        <v>-107380.0395629353</v>
      </c>
      <c r="M434" s="221">
        <v>9719.823723513342</v>
      </c>
      <c r="N434" s="221">
        <v>9719.8237235133383</v>
      </c>
      <c r="O434" s="221">
        <v>-280668.37171082804</v>
      </c>
      <c r="Q434" s="204">
        <f t="shared" si="6"/>
        <v>0</v>
      </c>
      <c r="R434" s="204">
        <f>IF(MAX(K435:L435)=K435,1,0)</f>
        <v>1</v>
      </c>
    </row>
    <row r="435" spans="1:18" x14ac:dyDescent="0.3">
      <c r="A435" s="110">
        <v>430</v>
      </c>
      <c r="C435" s="191">
        <v>1.5494288666746467</v>
      </c>
      <c r="D435" s="192">
        <v>102431.28331471485</v>
      </c>
      <c r="E435" s="192">
        <v>1.4332130259707427</v>
      </c>
      <c r="F435" s="192">
        <v>69008.937889035908</v>
      </c>
      <c r="G435" s="192">
        <v>-0.11621584070390401</v>
      </c>
      <c r="H435" s="203">
        <v>0.11621584070390401</v>
      </c>
      <c r="I435" s="192">
        <v>-33422.345425678941</v>
      </c>
      <c r="K435" s="202">
        <v>-124187.63938890951</v>
      </c>
      <c r="L435" s="202">
        <v>-162084.29468168874</v>
      </c>
      <c r="M435" s="221">
        <v>37896.655292779236</v>
      </c>
      <c r="N435" s="221">
        <v>37896.655292779244</v>
      </c>
      <c r="O435" s="221">
        <v>-287588.55267271836</v>
      </c>
      <c r="Q435" s="204">
        <f t="shared" si="6"/>
        <v>0</v>
      </c>
      <c r="R435" s="204">
        <f>IF(MAX(K436:L436)=K436,1,0)</f>
        <v>1</v>
      </c>
    </row>
    <row r="436" spans="1:18" x14ac:dyDescent="0.3">
      <c r="A436" s="110">
        <v>431</v>
      </c>
      <c r="C436" s="191">
        <v>1.3800546601750587</v>
      </c>
      <c r="D436" s="192">
        <v>99972.42017984952</v>
      </c>
      <c r="E436" s="192">
        <v>1.2292563009637885</v>
      </c>
      <c r="F436" s="192">
        <v>70944.118990881703</v>
      </c>
      <c r="G436" s="192">
        <v>-0.15079835921127027</v>
      </c>
      <c r="H436" s="203">
        <v>0.15079835921127027</v>
      </c>
      <c r="I436" s="192">
        <v>-29028.301188967816</v>
      </c>
      <c r="K436" s="202">
        <v>-118270.48657798755</v>
      </c>
      <c r="L436" s="202">
        <v>-153104.52459658927</v>
      </c>
      <c r="M436" s="221">
        <v>34834.038018601714</v>
      </c>
      <c r="N436" s="221">
        <v>34834.038018601721</v>
      </c>
      <c r="O436" s="221">
        <v>-192497.46045511559</v>
      </c>
      <c r="Q436" s="204">
        <f t="shared" si="6"/>
        <v>0</v>
      </c>
      <c r="R436" s="204">
        <f>IF(MAX(K437:L437)=K437,1,0)</f>
        <v>1</v>
      </c>
    </row>
    <row r="437" spans="1:18" x14ac:dyDescent="0.3">
      <c r="A437" s="110">
        <v>432</v>
      </c>
      <c r="C437" s="191">
        <v>1.2801778753852187</v>
      </c>
      <c r="D437" s="192">
        <v>80061.202506242014</v>
      </c>
      <c r="E437" s="192">
        <v>1.2218233436268062</v>
      </c>
      <c r="F437" s="192">
        <v>58975.580917965417</v>
      </c>
      <c r="G437" s="192">
        <v>-5.8354531758412431E-2</v>
      </c>
      <c r="H437" s="203">
        <v>5.8354531758412431E-2</v>
      </c>
      <c r="I437" s="192">
        <v>-21085.621588276597</v>
      </c>
      <c r="K437" s="202">
        <v>-106015.77964759746</v>
      </c>
      <c r="L437" s="202">
        <v>-129348.05070857293</v>
      </c>
      <c r="M437" s="221">
        <v>23332.271060975472</v>
      </c>
      <c r="N437" s="221">
        <v>23332.271060975476</v>
      </c>
      <c r="O437" s="221">
        <v>-361336.48840797832</v>
      </c>
      <c r="Q437" s="204">
        <f t="shared" si="6"/>
        <v>0</v>
      </c>
      <c r="R437" s="204">
        <f>IF(MAX(K438:L438)=K438,1,0)</f>
        <v>1</v>
      </c>
    </row>
    <row r="438" spans="1:18" x14ac:dyDescent="0.3">
      <c r="A438" s="110">
        <v>433</v>
      </c>
      <c r="C438" s="191">
        <v>1.2708269755149264</v>
      </c>
      <c r="D438" s="192">
        <v>106933.69958418711</v>
      </c>
      <c r="E438" s="192">
        <v>1.0858488228865719</v>
      </c>
      <c r="F438" s="192">
        <v>69567.280107612503</v>
      </c>
      <c r="G438" s="192">
        <v>-0.18497815262835449</v>
      </c>
      <c r="H438" s="203">
        <v>0.18497815262835449</v>
      </c>
      <c r="I438" s="192">
        <v>-37366.419476574607</v>
      </c>
      <c r="K438" s="202">
        <v>-111372.45978874553</v>
      </c>
      <c r="L438" s="202">
        <v>-155860.53814151179</v>
      </c>
      <c r="M438" s="221">
        <v>44488.078352766257</v>
      </c>
      <c r="N438" s="221">
        <v>44488.078352766257</v>
      </c>
      <c r="O438" s="221">
        <v>-202004.5013188594</v>
      </c>
      <c r="Q438" s="204">
        <f t="shared" si="6"/>
        <v>0</v>
      </c>
      <c r="R438" s="204">
        <f>IF(MAX(K439:L439)=K439,1,0)</f>
        <v>1</v>
      </c>
    </row>
    <row r="439" spans="1:18" x14ac:dyDescent="0.3">
      <c r="A439" s="110">
        <v>434</v>
      </c>
      <c r="C439" s="191">
        <v>1.1715078027968209</v>
      </c>
      <c r="D439" s="192">
        <v>131614.11582500715</v>
      </c>
      <c r="E439" s="192">
        <v>0.90105676419802838</v>
      </c>
      <c r="F439" s="192">
        <v>92614.742056331452</v>
      </c>
      <c r="G439" s="192">
        <v>-0.27045103859879249</v>
      </c>
      <c r="H439" s="203">
        <v>0.27045103859879249</v>
      </c>
      <c r="I439" s="192">
        <v>-38999.373768675694</v>
      </c>
      <c r="K439" s="202">
        <v>-127305.42747795554</v>
      </c>
      <c r="L439" s="202">
        <v>-176717.16623268474</v>
      </c>
      <c r="M439" s="221">
        <v>49411.738754729202</v>
      </c>
      <c r="N439" s="221">
        <v>49411.738754729202</v>
      </c>
      <c r="O439" s="221">
        <v>-144201.23498409009</v>
      </c>
      <c r="Q439" s="204">
        <f t="shared" si="6"/>
        <v>0</v>
      </c>
      <c r="R439" s="204">
        <f>IF(MAX(K440:L440)=K440,1,0)</f>
        <v>1</v>
      </c>
    </row>
    <row r="440" spans="1:18" x14ac:dyDescent="0.3">
      <c r="A440" s="110">
        <v>435</v>
      </c>
      <c r="C440" s="191">
        <v>1.1484985687532425</v>
      </c>
      <c r="D440" s="192">
        <v>164122.95498229569</v>
      </c>
      <c r="E440" s="192">
        <v>0.98429342089287064</v>
      </c>
      <c r="F440" s="192">
        <v>120953.08838640866</v>
      </c>
      <c r="G440" s="192">
        <v>-0.16420514786037188</v>
      </c>
      <c r="H440" s="203">
        <v>0.16420514786037188</v>
      </c>
      <c r="I440" s="192">
        <v>-43169.866595887026</v>
      </c>
      <c r="K440" s="202">
        <v>-158848.38509078417</v>
      </c>
      <c r="L440" s="202">
        <v>-208340.14987929552</v>
      </c>
      <c r="M440" s="221">
        <v>49491.764788511355</v>
      </c>
      <c r="N440" s="221">
        <v>49491.76478851134</v>
      </c>
      <c r="O440" s="221">
        <v>-262902.02931150212</v>
      </c>
      <c r="Q440" s="204">
        <f t="shared" si="6"/>
        <v>0</v>
      </c>
      <c r="R440" s="204">
        <f>IF(MAX(K441:L441)=K441,1,0)</f>
        <v>1</v>
      </c>
    </row>
    <row r="441" spans="1:18" x14ac:dyDescent="0.3">
      <c r="A441" s="110">
        <v>436</v>
      </c>
      <c r="C441" s="191">
        <v>1.2985066706433483</v>
      </c>
      <c r="D441" s="192">
        <v>120833.47868865549</v>
      </c>
      <c r="E441" s="192">
        <v>1.1514487559455042</v>
      </c>
      <c r="F441" s="192">
        <v>93049.850873978285</v>
      </c>
      <c r="G441" s="192">
        <v>-0.14705791469784413</v>
      </c>
      <c r="H441" s="203">
        <v>0.14705791469784413</v>
      </c>
      <c r="I441" s="192">
        <v>-27783.627814677209</v>
      </c>
      <c r="K441" s="202">
        <v>-137380.62797788018</v>
      </c>
      <c r="L441" s="202">
        <v>-170825.9855084244</v>
      </c>
      <c r="M441" s="221">
        <v>33445.357530544221</v>
      </c>
      <c r="N441" s="221">
        <v>33445.357530544206</v>
      </c>
      <c r="O441" s="221">
        <v>-188929.83673652294</v>
      </c>
      <c r="Q441" s="204">
        <f t="shared" si="6"/>
        <v>0</v>
      </c>
      <c r="R441" s="204">
        <f>IF(MAX(K442:L442)=K442,1,0)</f>
        <v>1</v>
      </c>
    </row>
    <row r="442" spans="1:18" x14ac:dyDescent="0.3">
      <c r="A442" s="110">
        <v>437</v>
      </c>
      <c r="C442" s="191">
        <v>1.1754128508886579</v>
      </c>
      <c r="D442" s="192">
        <v>98527.103410071024</v>
      </c>
      <c r="E442" s="192">
        <v>1.1640118091256411</v>
      </c>
      <c r="F442" s="192">
        <v>77948.889385280883</v>
      </c>
      <c r="G442" s="192">
        <v>-1.1401041763016817E-2</v>
      </c>
      <c r="H442" s="203">
        <v>1.1401041763016817E-2</v>
      </c>
      <c r="I442" s="192">
        <v>-20578.214024790141</v>
      </c>
      <c r="K442" s="202">
        <v>-122763.34403661807</v>
      </c>
      <c r="L442" s="202">
        <v>-143780.49816928434</v>
      </c>
      <c r="M442" s="221">
        <v>21017.15413266627</v>
      </c>
      <c r="N442" s="221">
        <v>21017.154132666288</v>
      </c>
      <c r="O442" s="221">
        <v>-1804941.5529326999</v>
      </c>
      <c r="Q442" s="204">
        <f t="shared" si="6"/>
        <v>0</v>
      </c>
      <c r="R442" s="204">
        <f>IF(MAX(K443:L443)=K443,1,0)</f>
        <v>1</v>
      </c>
    </row>
    <row r="443" spans="1:18" x14ac:dyDescent="0.3">
      <c r="A443" s="110">
        <v>438</v>
      </c>
      <c r="C443" s="191">
        <v>1.471049675464017</v>
      </c>
      <c r="D443" s="192">
        <v>127084.74219911103</v>
      </c>
      <c r="E443" s="192">
        <v>1.3607377595114318</v>
      </c>
      <c r="F443" s="192">
        <v>92313.831993791347</v>
      </c>
      <c r="G443" s="192">
        <v>-0.11031191595258516</v>
      </c>
      <c r="H443" s="203">
        <v>0.11031191595258516</v>
      </c>
      <c r="I443" s="192">
        <v>-34770.910205319684</v>
      </c>
      <c r="K443" s="202">
        <v>-144702.23573498148</v>
      </c>
      <c r="L443" s="202">
        <v>-183720.15470447569</v>
      </c>
      <c r="M443" s="221">
        <v>39017.918969494203</v>
      </c>
      <c r="N443" s="221">
        <v>39017.918969494211</v>
      </c>
      <c r="O443" s="221">
        <v>-315205.38742401224</v>
      </c>
      <c r="Q443" s="204">
        <f t="shared" si="6"/>
        <v>0</v>
      </c>
      <c r="R443" s="204">
        <f>IF(MAX(K444:L444)=K444,1,0)</f>
        <v>1</v>
      </c>
    </row>
    <row r="444" spans="1:18" x14ac:dyDescent="0.3">
      <c r="A444" s="110">
        <v>439</v>
      </c>
      <c r="C444" s="191">
        <v>1.00282840694436</v>
      </c>
      <c r="D444" s="192">
        <v>150425.54499947038</v>
      </c>
      <c r="E444" s="192">
        <v>0.85994845096095596</v>
      </c>
      <c r="F444" s="192">
        <v>105637.39604341045</v>
      </c>
      <c r="G444" s="192">
        <v>-0.14287995598340408</v>
      </c>
      <c r="H444" s="203">
        <v>0.14287995598340408</v>
      </c>
      <c r="I444" s="192">
        <v>-44788.148956059929</v>
      </c>
      <c r="K444" s="202">
        <v>-138745.41140540724</v>
      </c>
      <c r="L444" s="202">
        <v>-189034.43866682824</v>
      </c>
      <c r="M444" s="221">
        <v>50289.027261420997</v>
      </c>
      <c r="N444" s="221">
        <v>50289.027261420983</v>
      </c>
      <c r="O444" s="221">
        <v>-313466.9845591372</v>
      </c>
      <c r="Q444" s="204">
        <f t="shared" si="6"/>
        <v>0</v>
      </c>
      <c r="R444" s="204">
        <f>IF(MAX(K445:L445)=K445,1,0)</f>
        <v>1</v>
      </c>
    </row>
    <row r="445" spans="1:18" x14ac:dyDescent="0.3">
      <c r="A445" s="110">
        <v>440</v>
      </c>
      <c r="C445" s="191">
        <v>1.446679690233897</v>
      </c>
      <c r="D445" s="192">
        <v>81735.925238354583</v>
      </c>
      <c r="E445" s="192">
        <v>1.3603439065213643</v>
      </c>
      <c r="F445" s="192">
        <v>69914.138594047181</v>
      </c>
      <c r="G445" s="192">
        <v>-8.6335783712532699E-2</v>
      </c>
      <c r="H445" s="203">
        <v>8.6335783712532699E-2</v>
      </c>
      <c r="I445" s="192">
        <v>-11821.786644307402</v>
      </c>
      <c r="K445" s="202">
        <v>-122287.37899511971</v>
      </c>
      <c r="L445" s="202">
        <v>-137433.09331235962</v>
      </c>
      <c r="M445" s="221">
        <v>15145.714317239908</v>
      </c>
      <c r="N445" s="221">
        <v>15145.71431723991</v>
      </c>
      <c r="O445" s="221">
        <v>-136928.00523673621</v>
      </c>
      <c r="Q445" s="204">
        <f t="shared" si="6"/>
        <v>0</v>
      </c>
      <c r="R445" s="204">
        <f>IF(MAX(K446:L446)=K446,1,0)</f>
        <v>1</v>
      </c>
    </row>
    <row r="446" spans="1:18" x14ac:dyDescent="0.3">
      <c r="A446" s="110">
        <v>441</v>
      </c>
      <c r="C446" s="191">
        <v>1.2536159803475304</v>
      </c>
      <c r="D446" s="192">
        <v>127012.59020872427</v>
      </c>
      <c r="E446" s="192">
        <v>1.1010700970884721</v>
      </c>
      <c r="F446" s="192">
        <v>94818.242921088109</v>
      </c>
      <c r="G446" s="192">
        <v>-0.15254588325905827</v>
      </c>
      <c r="H446" s="203">
        <v>0.15254588325905827</v>
      </c>
      <c r="I446" s="192">
        <v>-32194.347287636163</v>
      </c>
      <c r="K446" s="202">
        <v>-137209.4416589943</v>
      </c>
      <c r="L446" s="202">
        <v>-175276.80545210419</v>
      </c>
      <c r="M446" s="221">
        <v>38067.363793109893</v>
      </c>
      <c r="N446" s="221">
        <v>38067.363793109907</v>
      </c>
      <c r="O446" s="221">
        <v>-211046.97550547923</v>
      </c>
      <c r="Q446" s="204">
        <f t="shared" si="6"/>
        <v>0</v>
      </c>
      <c r="R446" s="204">
        <f>IF(MAX(K447:L447)=K447,1,0)</f>
        <v>1</v>
      </c>
    </row>
    <row r="447" spans="1:18" x14ac:dyDescent="0.3">
      <c r="A447" s="110">
        <v>442</v>
      </c>
      <c r="C447" s="191">
        <v>1.248258920468948</v>
      </c>
      <c r="D447" s="192">
        <v>144090.61644900026</v>
      </c>
      <c r="E447" s="192">
        <v>1.1005581566446063</v>
      </c>
      <c r="F447" s="192">
        <v>115988.07194498593</v>
      </c>
      <c r="G447" s="192">
        <v>-0.14770076382434172</v>
      </c>
      <c r="H447" s="203">
        <v>0.14770076382434172</v>
      </c>
      <c r="I447" s="192">
        <v>-28102.544504014324</v>
      </c>
      <c r="K447" s="202">
        <v>-158359.56097580327</v>
      </c>
      <c r="L447" s="202">
        <v>-192148.58488705475</v>
      </c>
      <c r="M447" s="221">
        <v>33789.023911251483</v>
      </c>
      <c r="N447" s="221">
        <v>33789.023911251483</v>
      </c>
      <c r="O447" s="221">
        <v>-190266.75134487628</v>
      </c>
      <c r="Q447" s="204">
        <f t="shared" si="6"/>
        <v>0</v>
      </c>
      <c r="R447" s="204">
        <f>IF(MAX(K448:L448)=K448,1,0)</f>
        <v>1</v>
      </c>
    </row>
    <row r="448" spans="1:18" x14ac:dyDescent="0.3">
      <c r="A448" s="110">
        <v>443</v>
      </c>
      <c r="C448" s="191">
        <v>1.2177690160374028</v>
      </c>
      <c r="D448" s="192">
        <v>138323.19364295676</v>
      </c>
      <c r="E448" s="192">
        <v>1.1438402298499382</v>
      </c>
      <c r="F448" s="192">
        <v>117780.85995577356</v>
      </c>
      <c r="G448" s="192">
        <v>-7.3928786187464679E-2</v>
      </c>
      <c r="H448" s="203">
        <v>7.3928786187464679E-2</v>
      </c>
      <c r="I448" s="192">
        <v>-20542.3336871832</v>
      </c>
      <c r="K448" s="202">
        <v>-161818.70880499616</v>
      </c>
      <c r="L448" s="202">
        <v>-185207.30076039676</v>
      </c>
      <c r="M448" s="221">
        <v>23388.591955400596</v>
      </c>
      <c r="N448" s="221">
        <v>23388.591955400589</v>
      </c>
      <c r="O448" s="221">
        <v>-277866.50838677434</v>
      </c>
      <c r="Q448" s="204">
        <f t="shared" si="6"/>
        <v>0</v>
      </c>
      <c r="R448" s="204">
        <f>IF(MAX(K449:L449)=K449,1,0)</f>
        <v>1</v>
      </c>
    </row>
    <row r="449" spans="1:18" x14ac:dyDescent="0.3">
      <c r="A449" s="110">
        <v>444</v>
      </c>
      <c r="C449" s="191">
        <v>1.2780366154447143</v>
      </c>
      <c r="D449" s="192">
        <v>149977.72395006131</v>
      </c>
      <c r="E449" s="192">
        <v>1.0856339989549488</v>
      </c>
      <c r="F449" s="192">
        <v>105124.45409081079</v>
      </c>
      <c r="G449" s="192">
        <v>-0.19240261648976542</v>
      </c>
      <c r="H449" s="203">
        <v>0.19240261648976542</v>
      </c>
      <c r="I449" s="192">
        <v>-44853.269859250518</v>
      </c>
      <c r="K449" s="202">
        <v>-146921.36305057633</v>
      </c>
      <c r="L449" s="202">
        <v>-199182.13364468282</v>
      </c>
      <c r="M449" s="221">
        <v>52260.770594106492</v>
      </c>
      <c r="N449" s="221">
        <v>52260.770594106485</v>
      </c>
      <c r="O449" s="221">
        <v>-233121.93294230188</v>
      </c>
      <c r="Q449" s="204">
        <f t="shared" si="6"/>
        <v>0</v>
      </c>
      <c r="R449" s="204">
        <f>IF(MAX(K450:L450)=K450,1,0)</f>
        <v>1</v>
      </c>
    </row>
    <row r="450" spans="1:18" x14ac:dyDescent="0.3">
      <c r="A450" s="110">
        <v>445</v>
      </c>
      <c r="C450" s="191">
        <v>1.3686977444387485</v>
      </c>
      <c r="D450" s="192">
        <v>96270.027440997888</v>
      </c>
      <c r="E450" s="192">
        <v>1.2772778954372781</v>
      </c>
      <c r="F450" s="192">
        <v>70524.224053079422</v>
      </c>
      <c r="G450" s="192">
        <v>-9.1419849001470377E-2</v>
      </c>
      <c r="H450" s="203">
        <v>9.1419849001470377E-2</v>
      </c>
      <c r="I450" s="192">
        <v>-25745.803387918466</v>
      </c>
      <c r="K450" s="202">
        <v>-119699.42302741462</v>
      </c>
      <c r="L450" s="202">
        <v>-148964.8906018897</v>
      </c>
      <c r="M450" s="221">
        <v>29265.467574475071</v>
      </c>
      <c r="N450" s="221">
        <v>29265.467574475075</v>
      </c>
      <c r="O450" s="221">
        <v>-281621.59169071016</v>
      </c>
      <c r="Q450" s="204">
        <f t="shared" si="6"/>
        <v>0</v>
      </c>
      <c r="R450" s="204">
        <f>IF(MAX(K451:L451)=K451,1,0)</f>
        <v>1</v>
      </c>
    </row>
    <row r="451" spans="1:18" x14ac:dyDescent="0.3">
      <c r="A451" s="110">
        <v>446</v>
      </c>
      <c r="C451" s="191">
        <v>1.2347578563766179</v>
      </c>
      <c r="D451" s="192">
        <v>105610.55189298626</v>
      </c>
      <c r="E451" s="192">
        <v>1.0667911722053074</v>
      </c>
      <c r="F451" s="192">
        <v>78520.357614612221</v>
      </c>
      <c r="G451" s="192">
        <v>-0.16796668417131055</v>
      </c>
      <c r="H451" s="203">
        <v>0.16796668417131055</v>
      </c>
      <c r="I451" s="192">
        <v>-27090.194278374038</v>
      </c>
      <c r="K451" s="202">
        <v>-119591.81774451656</v>
      </c>
      <c r="L451" s="202">
        <v>-153148.72936348605</v>
      </c>
      <c r="M451" s="221">
        <v>33556.911618969491</v>
      </c>
      <c r="N451" s="221">
        <v>33556.911618969491</v>
      </c>
      <c r="O451" s="221">
        <v>-161283.14023717068</v>
      </c>
      <c r="Q451" s="204">
        <f t="shared" si="6"/>
        <v>0</v>
      </c>
      <c r="R451" s="204">
        <f>IF(MAX(K452:L452)=K452,1,0)</f>
        <v>1</v>
      </c>
    </row>
    <row r="452" spans="1:18" x14ac:dyDescent="0.3">
      <c r="A452" s="110">
        <v>447</v>
      </c>
      <c r="C452" s="191">
        <v>1.0455993013925451</v>
      </c>
      <c r="D452" s="192">
        <v>170608.91130936326</v>
      </c>
      <c r="E452" s="192">
        <v>0.89423935268404009</v>
      </c>
      <c r="F452" s="192">
        <v>118840.95863964442</v>
      </c>
      <c r="G452" s="192">
        <v>-0.151359948708505</v>
      </c>
      <c r="H452" s="203">
        <v>0.151359948708505</v>
      </c>
      <c r="I452" s="192">
        <v>-51767.952669718841</v>
      </c>
      <c r="K452" s="202">
        <v>-153269.17371797998</v>
      </c>
      <c r="L452" s="202">
        <v>-210864.48441297625</v>
      </c>
      <c r="M452" s="221">
        <v>57595.310694996268</v>
      </c>
      <c r="N452" s="221">
        <v>57595.310694996282</v>
      </c>
      <c r="O452" s="221">
        <v>-342018.83068430226</v>
      </c>
      <c r="Q452" s="204">
        <f t="shared" si="6"/>
        <v>0</v>
      </c>
      <c r="R452" s="204">
        <f>IF(MAX(K453:L453)=K453,1,0)</f>
        <v>1</v>
      </c>
    </row>
    <row r="453" spans="1:18" x14ac:dyDescent="0.3">
      <c r="A453" s="110">
        <v>448</v>
      </c>
      <c r="C453" s="191">
        <v>1.3208685130630557</v>
      </c>
      <c r="D453" s="192">
        <v>134743.56657134593</v>
      </c>
      <c r="E453" s="192">
        <v>1.1729849086426374</v>
      </c>
      <c r="F453" s="192">
        <v>96424.272461941393</v>
      </c>
      <c r="G453" s="192">
        <v>-0.14788360442041837</v>
      </c>
      <c r="H453" s="203">
        <v>0.14788360442041837</v>
      </c>
      <c r="I453" s="192">
        <v>-38319.294109404538</v>
      </c>
      <c r="K453" s="202">
        <v>-141584.19144468295</v>
      </c>
      <c r="L453" s="202">
        <v>-185597.00432427358</v>
      </c>
      <c r="M453" s="221">
        <v>44012.812879590638</v>
      </c>
      <c r="N453" s="221">
        <v>44012.812879590645</v>
      </c>
      <c r="O453" s="221">
        <v>-259117.93440242772</v>
      </c>
      <c r="Q453" s="204">
        <f t="shared" si="6"/>
        <v>0</v>
      </c>
      <c r="R453" s="204">
        <f>IF(MAX(K454:L454)=K454,1,0)</f>
        <v>1</v>
      </c>
    </row>
    <row r="454" spans="1:18" x14ac:dyDescent="0.3">
      <c r="A454" s="110">
        <v>449</v>
      </c>
      <c r="C454" s="191">
        <v>1.4938678220333725</v>
      </c>
      <c r="D454" s="192">
        <v>154021.70458772974</v>
      </c>
      <c r="E454" s="192">
        <v>1.4414008043041004</v>
      </c>
      <c r="F454" s="192">
        <v>129994.43748406299</v>
      </c>
      <c r="G454" s="192">
        <v>-5.2467017729272092E-2</v>
      </c>
      <c r="H454" s="203">
        <v>5.2467017729272092E-2</v>
      </c>
      <c r="I454" s="192">
        <v>-24027.267103666745</v>
      </c>
      <c r="K454" s="202">
        <v>-185488.36844977085</v>
      </c>
      <c r="L454" s="202">
        <v>-211535.61573601459</v>
      </c>
      <c r="M454" s="221">
        <v>26047.247286243743</v>
      </c>
      <c r="N454" s="221">
        <v>26047.247286243721</v>
      </c>
      <c r="O454" s="221">
        <v>-457949.93013795011</v>
      </c>
      <c r="Q454" s="204">
        <f t="shared" si="6"/>
        <v>0</v>
      </c>
      <c r="R454" s="204">
        <f>IF(MAX(K455:L455)=K455,1,0)</f>
        <v>1</v>
      </c>
    </row>
    <row r="455" spans="1:18" x14ac:dyDescent="0.3">
      <c r="A455" s="110">
        <v>450</v>
      </c>
      <c r="C455" s="191">
        <v>1.3002985809981775</v>
      </c>
      <c r="D455" s="192">
        <v>122377.34178960058</v>
      </c>
      <c r="E455" s="192">
        <v>1.0307487852982906</v>
      </c>
      <c r="F455" s="192">
        <v>76623.903696063557</v>
      </c>
      <c r="G455" s="192">
        <v>-0.26954979569988691</v>
      </c>
      <c r="H455" s="203">
        <v>0.26954979569988691</v>
      </c>
      <c r="I455" s="192">
        <v>-45753.438093537028</v>
      </c>
      <c r="K455" s="202">
        <v>-116307.73193004774</v>
      </c>
      <c r="L455" s="202">
        <v>-172438.83715803042</v>
      </c>
      <c r="M455" s="221">
        <v>56131.105227982684</v>
      </c>
      <c r="N455" s="221">
        <v>56131.105227982676</v>
      </c>
      <c r="O455" s="221">
        <v>-169740.20690588202</v>
      </c>
      <c r="Q455" s="204">
        <f t="shared" ref="Q455:Q518" si="7">IF(MAX(K455:L455)=L455,1,0)</f>
        <v>0</v>
      </c>
      <c r="R455" s="204">
        <f>IF(MAX(K456:L456)=K456,1,0)</f>
        <v>1</v>
      </c>
    </row>
    <row r="456" spans="1:18" x14ac:dyDescent="0.3">
      <c r="A456" s="110">
        <v>451</v>
      </c>
      <c r="C456" s="191">
        <v>1.3287587951820208</v>
      </c>
      <c r="D456" s="192">
        <v>145578.85184952014</v>
      </c>
      <c r="E456" s="192">
        <v>1.2202870866339233</v>
      </c>
      <c r="F456" s="192">
        <v>120148.57065617204</v>
      </c>
      <c r="G456" s="192">
        <v>-0.10847170854809751</v>
      </c>
      <c r="H456" s="203">
        <v>0.10847170854809751</v>
      </c>
      <c r="I456" s="192">
        <v>-25430.281193348099</v>
      </c>
      <c r="K456" s="202">
        <v>-167129.6234915781</v>
      </c>
      <c r="L456" s="202">
        <v>-196736.06546402792</v>
      </c>
      <c r="M456" s="221">
        <v>29606.441972449829</v>
      </c>
      <c r="N456" s="221">
        <v>29606.441972449851</v>
      </c>
      <c r="O456" s="221">
        <v>-234441.60264214923</v>
      </c>
      <c r="Q456" s="204">
        <f t="shared" si="7"/>
        <v>0</v>
      </c>
      <c r="R456" s="204">
        <f>IF(MAX(K457:L457)=K457,1,0)</f>
        <v>1</v>
      </c>
    </row>
    <row r="457" spans="1:18" x14ac:dyDescent="0.3">
      <c r="A457" s="110">
        <v>452</v>
      </c>
      <c r="C457" s="191">
        <v>1.4693950118465167</v>
      </c>
      <c r="D457" s="192">
        <v>139576.85953338034</v>
      </c>
      <c r="E457" s="192">
        <v>1.2642791960151925</v>
      </c>
      <c r="F457" s="192">
        <v>86859.152056565115</v>
      </c>
      <c r="G457" s="192">
        <v>-0.20511581583132421</v>
      </c>
      <c r="H457" s="203">
        <v>0.20511581583132421</v>
      </c>
      <c r="I457" s="192">
        <v>-52717.707476815223</v>
      </c>
      <c r="K457" s="202">
        <v>-135533.90110315004</v>
      </c>
      <c r="L457" s="202">
        <v>-196148.56748947123</v>
      </c>
      <c r="M457" s="221">
        <v>60614.666386321187</v>
      </c>
      <c r="N457" s="221">
        <v>60614.666386321202</v>
      </c>
      <c r="O457" s="221">
        <v>-257014.34705633484</v>
      </c>
      <c r="Q457" s="204">
        <f t="shared" si="7"/>
        <v>0</v>
      </c>
      <c r="R457" s="204">
        <f>IF(MAX(K458:L458)=K458,1,0)</f>
        <v>1</v>
      </c>
    </row>
    <row r="458" spans="1:18" x14ac:dyDescent="0.3">
      <c r="A458" s="110">
        <v>453</v>
      </c>
      <c r="C458" s="191">
        <v>1.172332458568992</v>
      </c>
      <c r="D458" s="192">
        <v>124365.98667492429</v>
      </c>
      <c r="E458" s="192">
        <v>1.0577318014742829</v>
      </c>
      <c r="F458" s="192">
        <v>89173.500091850801</v>
      </c>
      <c r="G458" s="192">
        <v>-0.11460065709470912</v>
      </c>
      <c r="H458" s="203">
        <v>0.11460065709470912</v>
      </c>
      <c r="I458" s="192">
        <v>-35192.486583073493</v>
      </c>
      <c r="K458" s="202">
        <v>-129896.17444861069</v>
      </c>
      <c r="L458" s="202">
        <v>-169500.78632983047</v>
      </c>
      <c r="M458" s="221">
        <v>39604.611881219782</v>
      </c>
      <c r="N458" s="221">
        <v>39604.611881219796</v>
      </c>
      <c r="O458" s="221">
        <v>-307087.99997533573</v>
      </c>
      <c r="Q458" s="204">
        <f t="shared" si="7"/>
        <v>0</v>
      </c>
      <c r="R458" s="204">
        <f>IF(MAX(K459:L459)=K459,1,0)</f>
        <v>1</v>
      </c>
    </row>
    <row r="459" spans="1:18" x14ac:dyDescent="0.3">
      <c r="A459" s="110">
        <v>454</v>
      </c>
      <c r="C459" s="191">
        <v>1.4113003904128505</v>
      </c>
      <c r="D459" s="192">
        <v>90795.229983676138</v>
      </c>
      <c r="E459" s="192">
        <v>1.3704054775323</v>
      </c>
      <c r="F459" s="192">
        <v>72545.167920183841</v>
      </c>
      <c r="G459" s="192">
        <v>-4.0894912880550471E-2</v>
      </c>
      <c r="H459" s="203">
        <v>4.0894912880550471E-2</v>
      </c>
      <c r="I459" s="192">
        <v>-18250.062063492296</v>
      </c>
      <c r="K459" s="202">
        <v>-125305.7788051774</v>
      </c>
      <c r="L459" s="202">
        <v>-145130.29501457087</v>
      </c>
      <c r="M459" s="221">
        <v>19824.516209393478</v>
      </c>
      <c r="N459" s="221">
        <v>19824.516209393489</v>
      </c>
      <c r="O459" s="221">
        <v>-446267.29287328996</v>
      </c>
      <c r="Q459" s="204">
        <f t="shared" si="7"/>
        <v>0</v>
      </c>
      <c r="R459" s="204">
        <f>IF(MAX(K460:L460)=K460,1,0)</f>
        <v>1</v>
      </c>
    </row>
    <row r="460" spans="1:18" x14ac:dyDescent="0.3">
      <c r="A460" s="110">
        <v>455</v>
      </c>
      <c r="C460" s="191">
        <v>1.1943570768449721</v>
      </c>
      <c r="D460" s="192">
        <v>107234.22268820849</v>
      </c>
      <c r="E460" s="192">
        <v>1.0675694678826846</v>
      </c>
      <c r="F460" s="192">
        <v>77608.453037464744</v>
      </c>
      <c r="G460" s="192">
        <v>-0.12678760896228747</v>
      </c>
      <c r="H460" s="203">
        <v>0.12678760896228747</v>
      </c>
      <c r="I460" s="192">
        <v>-29625.76965074375</v>
      </c>
      <c r="K460" s="202">
        <v>-118709.87755094809</v>
      </c>
      <c r="L460" s="202">
        <v>-153216.97014673991</v>
      </c>
      <c r="M460" s="221">
        <v>34507.092595791823</v>
      </c>
      <c r="N460" s="221">
        <v>34507.092595791815</v>
      </c>
      <c r="O460" s="221">
        <v>-233664.55044953039</v>
      </c>
      <c r="Q460" s="204">
        <f t="shared" si="7"/>
        <v>0</v>
      </c>
      <c r="R460" s="204">
        <f>IF(MAX(K461:L461)=K461,1,0)</f>
        <v>1</v>
      </c>
    </row>
    <row r="461" spans="1:18" x14ac:dyDescent="0.3">
      <c r="A461" s="110">
        <v>456</v>
      </c>
      <c r="C461" s="191">
        <v>1.3959124494074859</v>
      </c>
      <c r="D461" s="192">
        <v>151147.05758659099</v>
      </c>
      <c r="E461" s="192">
        <v>1.2414126749651615</v>
      </c>
      <c r="F461" s="192">
        <v>109867.91685489958</v>
      </c>
      <c r="G461" s="192">
        <v>-0.15449977444232443</v>
      </c>
      <c r="H461" s="203">
        <v>0.15449977444232443</v>
      </c>
      <c r="I461" s="192">
        <v>-41279.140731691412</v>
      </c>
      <c r="K461" s="202">
        <v>-157662.3048410583</v>
      </c>
      <c r="L461" s="202">
        <v>-204889.68688877919</v>
      </c>
      <c r="M461" s="221">
        <v>47227.382047720894</v>
      </c>
      <c r="N461" s="221">
        <v>47227.382047720901</v>
      </c>
      <c r="O461" s="221">
        <v>-267179.29447269923</v>
      </c>
      <c r="Q461" s="204">
        <f t="shared" si="7"/>
        <v>0</v>
      </c>
      <c r="R461" s="204">
        <f>IF(MAX(K462:L462)=K462,1,0)</f>
        <v>1</v>
      </c>
    </row>
    <row r="462" spans="1:18" x14ac:dyDescent="0.3">
      <c r="A462" s="110">
        <v>457</v>
      </c>
      <c r="C462" s="191">
        <v>1.1944691363401458</v>
      </c>
      <c r="D462" s="192">
        <v>130145.08149795658</v>
      </c>
      <c r="E462" s="192">
        <v>1.104583130381992</v>
      </c>
      <c r="F462" s="192">
        <v>97097.147350740634</v>
      </c>
      <c r="G462" s="192">
        <v>-8.9886005958153881E-2</v>
      </c>
      <c r="H462" s="203">
        <v>8.9886005958153881E-2</v>
      </c>
      <c r="I462" s="192">
        <v>-33047.934147215943</v>
      </c>
      <c r="K462" s="202">
        <v>-139623.59787044732</v>
      </c>
      <c r="L462" s="202">
        <v>-176132.14324705218</v>
      </c>
      <c r="M462" s="221">
        <v>36508.545376604859</v>
      </c>
      <c r="N462" s="221">
        <v>36508.545376604867</v>
      </c>
      <c r="O462" s="221">
        <v>-367664.95290269429</v>
      </c>
      <c r="Q462" s="204">
        <f t="shared" si="7"/>
        <v>0</v>
      </c>
      <c r="R462" s="204">
        <f>IF(MAX(K463:L463)=K463,1,0)</f>
        <v>1</v>
      </c>
    </row>
    <row r="463" spans="1:18" x14ac:dyDescent="0.3">
      <c r="A463" s="110">
        <v>458</v>
      </c>
      <c r="C463" s="191">
        <v>1.0794942945316257</v>
      </c>
      <c r="D463" s="192">
        <v>92144.443731880208</v>
      </c>
      <c r="E463" s="192">
        <v>0.94779038212625599</v>
      </c>
      <c r="F463" s="192">
        <v>72913.840319170005</v>
      </c>
      <c r="G463" s="192">
        <v>-0.13170391240536972</v>
      </c>
      <c r="H463" s="203">
        <v>0.13170391240536972</v>
      </c>
      <c r="I463" s="192">
        <v>-19230.603412710203</v>
      </c>
      <c r="K463" s="202">
        <v>-109403.77003103087</v>
      </c>
      <c r="L463" s="202">
        <v>-133704.97407134779</v>
      </c>
      <c r="M463" s="221">
        <v>24301.204040316923</v>
      </c>
      <c r="N463" s="221">
        <v>24301.204040316938</v>
      </c>
      <c r="O463" s="221">
        <v>-146013.91151935249</v>
      </c>
      <c r="Q463" s="204">
        <f t="shared" si="7"/>
        <v>0</v>
      </c>
      <c r="R463" s="204">
        <f>IF(MAX(K464:L464)=K464,1,0)</f>
        <v>1</v>
      </c>
    </row>
    <row r="464" spans="1:18" x14ac:dyDescent="0.3">
      <c r="A464" s="110">
        <v>459</v>
      </c>
      <c r="C464" s="191">
        <v>1.0051831274178804</v>
      </c>
      <c r="D464" s="192">
        <v>116596.6546057676</v>
      </c>
      <c r="E464" s="192">
        <v>0.83710044609233591</v>
      </c>
      <c r="F464" s="192">
        <v>82520.494223352754</v>
      </c>
      <c r="G464" s="192">
        <v>-0.16808268132554449</v>
      </c>
      <c r="H464" s="203">
        <v>0.16808268132554449</v>
      </c>
      <c r="I464" s="192">
        <v>-34076.160382414848</v>
      </c>
      <c r="K464" s="202">
        <v>-114748.86139790769</v>
      </c>
      <c r="L464" s="202">
        <v>-155296.20501135598</v>
      </c>
      <c r="M464" s="221">
        <v>40547.343613448291</v>
      </c>
      <c r="N464" s="221">
        <v>40547.343613448313</v>
      </c>
      <c r="O464" s="221">
        <v>-202734.51204895848</v>
      </c>
      <c r="Q464" s="204">
        <f t="shared" si="7"/>
        <v>0</v>
      </c>
      <c r="R464" s="204">
        <f>IF(MAX(K465:L465)=K465,1,0)</f>
        <v>1</v>
      </c>
    </row>
    <row r="465" spans="1:18" x14ac:dyDescent="0.3">
      <c r="A465" s="110">
        <v>460</v>
      </c>
      <c r="C465" s="191">
        <v>1.1143804340419312</v>
      </c>
      <c r="D465" s="192">
        <v>161290.84142248414</v>
      </c>
      <c r="E465" s="192">
        <v>0.98876522756926244</v>
      </c>
      <c r="F465" s="192">
        <v>140047.47100899505</v>
      </c>
      <c r="G465" s="192">
        <v>-0.12561520647266877</v>
      </c>
      <c r="H465" s="203">
        <v>0.12561520647266877</v>
      </c>
      <c r="I465" s="192">
        <v>-21243.370413489087</v>
      </c>
      <c r="K465" s="202">
        <v>-178114.93227041166</v>
      </c>
      <c r="L465" s="202">
        <v>-204194.48813309849</v>
      </c>
      <c r="M465" s="221">
        <v>26079.55586268683</v>
      </c>
      <c r="N465" s="221">
        <v>26079.555862686833</v>
      </c>
      <c r="O465" s="221">
        <v>-169114.6399390045</v>
      </c>
      <c r="Q465" s="204">
        <f t="shared" si="7"/>
        <v>0</v>
      </c>
      <c r="R465" s="204">
        <f>IF(MAX(K466:L466)=K466,1,0)</f>
        <v>1</v>
      </c>
    </row>
    <row r="466" spans="1:18" x14ac:dyDescent="0.3">
      <c r="A466" s="110">
        <v>461</v>
      </c>
      <c r="C466" s="191">
        <v>1.1778874668051718</v>
      </c>
      <c r="D466" s="192">
        <v>102817.30794618405</v>
      </c>
      <c r="E466" s="192">
        <v>1.1124907072534036</v>
      </c>
      <c r="F466" s="192">
        <v>85337.561085731184</v>
      </c>
      <c r="G466" s="192">
        <v>-6.5396759551768158E-2</v>
      </c>
      <c r="H466" s="203">
        <v>6.5396759551768158E-2</v>
      </c>
      <c r="I466" s="192">
        <v>-17479.746860452869</v>
      </c>
      <c r="K466" s="202">
        <v>-128168.45331498721</v>
      </c>
      <c r="L466" s="202">
        <v>-148165.97541818317</v>
      </c>
      <c r="M466" s="221">
        <v>19997.522103195952</v>
      </c>
      <c r="N466" s="221">
        <v>19997.522103195945</v>
      </c>
      <c r="O466" s="221">
        <v>-267287.66043240845</v>
      </c>
      <c r="Q466" s="204">
        <f t="shared" si="7"/>
        <v>0</v>
      </c>
      <c r="R466" s="204">
        <f>IF(MAX(K467:L467)=K467,1,0)</f>
        <v>1</v>
      </c>
    </row>
    <row r="467" spans="1:18" x14ac:dyDescent="0.3">
      <c r="A467" s="110">
        <v>462</v>
      </c>
      <c r="C467" s="191">
        <v>1.1888889330133361</v>
      </c>
      <c r="D467" s="192">
        <v>94000.942492592221</v>
      </c>
      <c r="E467" s="192">
        <v>1.1068887129668419</v>
      </c>
      <c r="F467" s="192">
        <v>67109.372478401769</v>
      </c>
      <c r="G467" s="192">
        <v>-8.200022004649421E-2</v>
      </c>
      <c r="H467" s="203">
        <v>8.200022004649421E-2</v>
      </c>
      <c r="I467" s="192">
        <v>-26891.570014190453</v>
      </c>
      <c r="K467" s="202">
        <v>-109724.58792762518</v>
      </c>
      <c r="L467" s="202">
        <v>-139773.16641360568</v>
      </c>
      <c r="M467" s="221">
        <v>30048.578485980499</v>
      </c>
      <c r="N467" s="221">
        <v>30048.578485980481</v>
      </c>
      <c r="O467" s="221">
        <v>-327945.09574416879</v>
      </c>
      <c r="Q467" s="204">
        <f t="shared" si="7"/>
        <v>0</v>
      </c>
      <c r="R467" s="204">
        <f>IF(MAX(K468:L468)=K468,1,0)</f>
        <v>1</v>
      </c>
    </row>
    <row r="468" spans="1:18" x14ac:dyDescent="0.3">
      <c r="A468" s="110">
        <v>463</v>
      </c>
      <c r="C468" s="191">
        <v>1.0795422280327551</v>
      </c>
      <c r="D468" s="192">
        <v>130828.28325797488</v>
      </c>
      <c r="E468" s="192">
        <v>0.97763343626945598</v>
      </c>
      <c r="F468" s="192">
        <v>105638.08030985467</v>
      </c>
      <c r="G468" s="192">
        <v>-0.10190879176329914</v>
      </c>
      <c r="H468" s="203">
        <v>0.10190879176329914</v>
      </c>
      <c r="I468" s="192">
        <v>-25190.202948120204</v>
      </c>
      <c r="K468" s="202">
        <v>-143276.96760622872</v>
      </c>
      <c r="L468" s="202">
        <v>-172390.65903723595</v>
      </c>
      <c r="M468" s="221">
        <v>29113.691431007232</v>
      </c>
      <c r="N468" s="221">
        <v>29113.691431007221</v>
      </c>
      <c r="O468" s="221">
        <v>-247183.80536420079</v>
      </c>
      <c r="Q468" s="204">
        <f t="shared" si="7"/>
        <v>0</v>
      </c>
      <c r="R468" s="204">
        <f>IF(MAX(K469:L469)=K469,1,0)</f>
        <v>1</v>
      </c>
    </row>
    <row r="469" spans="1:18" x14ac:dyDescent="0.3">
      <c r="A469" s="110">
        <v>464</v>
      </c>
      <c r="C469" s="191">
        <v>1.0720668000141933</v>
      </c>
      <c r="D469" s="192">
        <v>144285.77091019007</v>
      </c>
      <c r="E469" s="192">
        <v>0.91964012953282659</v>
      </c>
      <c r="F469" s="192">
        <v>102367.30037994329</v>
      </c>
      <c r="G469" s="192">
        <v>-0.15242667048136671</v>
      </c>
      <c r="H469" s="203">
        <v>0.15242667048136671</v>
      </c>
      <c r="I469" s="192">
        <v>-41918.470530246777</v>
      </c>
      <c r="K469" s="202">
        <v>-137773.44536695711</v>
      </c>
      <c r="L469" s="202">
        <v>-185560.3427107365</v>
      </c>
      <c r="M469" s="221">
        <v>47786.89734377939</v>
      </c>
      <c r="N469" s="221">
        <v>47786.897343779397</v>
      </c>
      <c r="O469" s="221">
        <v>-275007.45373409614</v>
      </c>
      <c r="Q469" s="204">
        <f t="shared" si="7"/>
        <v>0</v>
      </c>
      <c r="R469" s="204">
        <f>IF(MAX(K470:L470)=K470,1,0)</f>
        <v>1</v>
      </c>
    </row>
    <row r="470" spans="1:18" x14ac:dyDescent="0.3">
      <c r="A470" s="110">
        <v>465</v>
      </c>
      <c r="C470" s="191">
        <v>1.4467730527511824</v>
      </c>
      <c r="D470" s="192">
        <v>132900.07693975777</v>
      </c>
      <c r="E470" s="192">
        <v>1.2953017298820437</v>
      </c>
      <c r="F470" s="192">
        <v>95628.579498608946</v>
      </c>
      <c r="G470" s="192">
        <v>-0.15147132286913867</v>
      </c>
      <c r="H470" s="203">
        <v>0.15147132286913867</v>
      </c>
      <c r="I470" s="192">
        <v>-37271.497441148822</v>
      </c>
      <c r="K470" s="202">
        <v>-145497.69609906763</v>
      </c>
      <c r="L470" s="202">
        <v>-188600.8394706783</v>
      </c>
      <c r="M470" s="221">
        <v>43103.143371610669</v>
      </c>
      <c r="N470" s="221">
        <v>43103.143371610662</v>
      </c>
      <c r="O470" s="221">
        <v>-246063.06154300217</v>
      </c>
      <c r="Q470" s="204">
        <f t="shared" si="7"/>
        <v>0</v>
      </c>
      <c r="R470" s="204">
        <f>IF(MAX(K471:L471)=K471,1,0)</f>
        <v>1</v>
      </c>
    </row>
    <row r="471" spans="1:18" x14ac:dyDescent="0.3">
      <c r="A471" s="110">
        <v>466</v>
      </c>
      <c r="C471" s="191">
        <v>1.689477459296904</v>
      </c>
      <c r="D471" s="192">
        <v>124120.88623554309</v>
      </c>
      <c r="E471" s="192">
        <v>1.4831343110557995</v>
      </c>
      <c r="F471" s="192">
        <v>88489.079693409454</v>
      </c>
      <c r="G471" s="192">
        <v>-0.20634314824110445</v>
      </c>
      <c r="H471" s="203">
        <v>0.20634314824110445</v>
      </c>
      <c r="I471" s="192">
        <v>-35631.806542133636</v>
      </c>
      <c r="K471" s="202">
        <v>-145589.75066905774</v>
      </c>
      <c r="L471" s="202">
        <v>-189165.76841847389</v>
      </c>
      <c r="M471" s="221">
        <v>43576.017749416147</v>
      </c>
      <c r="N471" s="221">
        <v>43576.017749416154</v>
      </c>
      <c r="O471" s="221">
        <v>-172682.2860165881</v>
      </c>
      <c r="Q471" s="204">
        <f t="shared" si="7"/>
        <v>0</v>
      </c>
      <c r="R471" s="204">
        <f>IF(MAX(K472:L472)=K472,1,0)</f>
        <v>1</v>
      </c>
    </row>
    <row r="472" spans="1:18" x14ac:dyDescent="0.3">
      <c r="A472" s="110">
        <v>467</v>
      </c>
      <c r="C472" s="191">
        <v>1.3602586115458131</v>
      </c>
      <c r="D472" s="192">
        <v>142193.60956790953</v>
      </c>
      <c r="E472" s="192">
        <v>1.1219128207603464</v>
      </c>
      <c r="F472" s="192">
        <v>101567.47882063739</v>
      </c>
      <c r="G472" s="192">
        <v>-0.23834579078546669</v>
      </c>
      <c r="H472" s="203">
        <v>0.23834579078546669</v>
      </c>
      <c r="I472" s="192">
        <v>-40626.130747272138</v>
      </c>
      <c r="K472" s="202">
        <v>-144761.12241991074</v>
      </c>
      <c r="L472" s="202">
        <v>-194563.56611242332</v>
      </c>
      <c r="M472" s="221">
        <v>49802.443692512577</v>
      </c>
      <c r="N472" s="221">
        <v>49802.443692512607</v>
      </c>
      <c r="O472" s="221">
        <v>-170450.38057265052</v>
      </c>
      <c r="Q472" s="204">
        <f t="shared" si="7"/>
        <v>0</v>
      </c>
      <c r="R472" s="204">
        <f>IF(MAX(K473:L473)=K473,1,0)</f>
        <v>1</v>
      </c>
    </row>
    <row r="473" spans="1:18" x14ac:dyDescent="0.3">
      <c r="A473" s="110">
        <v>468</v>
      </c>
      <c r="C473" s="191">
        <v>1.7131851935821478</v>
      </c>
      <c r="D473" s="192">
        <v>126211.86881625418</v>
      </c>
      <c r="E473" s="192">
        <v>1.4573233154512073</v>
      </c>
      <c r="F473" s="192">
        <v>87194.234639923001</v>
      </c>
      <c r="G473" s="192">
        <v>-0.25586187813094052</v>
      </c>
      <c r="H473" s="203">
        <v>0.25586187813094052</v>
      </c>
      <c r="I473" s="192">
        <v>-39017.634176331179</v>
      </c>
      <c r="K473" s="202">
        <v>-143301.18228479449</v>
      </c>
      <c r="L473" s="202">
        <v>-192169.49876916688</v>
      </c>
      <c r="M473" s="221">
        <v>48868.316484372393</v>
      </c>
      <c r="N473" s="221">
        <v>48868.316484372393</v>
      </c>
      <c r="O473" s="221">
        <v>-152494.91038427936</v>
      </c>
      <c r="Q473" s="204">
        <f t="shared" si="7"/>
        <v>0</v>
      </c>
      <c r="R473" s="204">
        <f>IF(MAX(K474:L474)=K474,1,0)</f>
        <v>1</v>
      </c>
    </row>
    <row r="474" spans="1:18" x14ac:dyDescent="0.3">
      <c r="A474" s="110">
        <v>469</v>
      </c>
      <c r="C474" s="191">
        <v>1.347681878520147</v>
      </c>
      <c r="D474" s="192">
        <v>120543.38002281601</v>
      </c>
      <c r="E474" s="192">
        <v>1.1932185304789065</v>
      </c>
      <c r="F474" s="192">
        <v>90072.713424427289</v>
      </c>
      <c r="G474" s="192">
        <v>-0.15446334804124051</v>
      </c>
      <c r="H474" s="203">
        <v>0.15446334804124051</v>
      </c>
      <c r="I474" s="192">
        <v>-30470.666598388721</v>
      </c>
      <c r="K474" s="202">
        <v>-136011.62684786518</v>
      </c>
      <c r="L474" s="202">
        <v>-172429.13234584167</v>
      </c>
      <c r="M474" s="221">
        <v>36417.505497976497</v>
      </c>
      <c r="N474" s="221">
        <v>36417.505497976483</v>
      </c>
      <c r="O474" s="221">
        <v>-197267.94080789504</v>
      </c>
      <c r="Q474" s="204">
        <f t="shared" si="7"/>
        <v>0</v>
      </c>
      <c r="R474" s="204">
        <f>IF(MAX(K475:L475)=K475,1,0)</f>
        <v>1</v>
      </c>
    </row>
    <row r="475" spans="1:18" x14ac:dyDescent="0.3">
      <c r="A475" s="110">
        <v>470</v>
      </c>
      <c r="C475" s="191">
        <v>1.1377727230480184</v>
      </c>
      <c r="D475" s="192">
        <v>104760.71945395833</v>
      </c>
      <c r="E475" s="192">
        <v>1.0529816992870911</v>
      </c>
      <c r="F475" s="192">
        <v>89775.179321125324</v>
      </c>
      <c r="G475" s="192">
        <v>-8.4791023760927287E-2</v>
      </c>
      <c r="H475" s="203">
        <v>8.4791023760927287E-2</v>
      </c>
      <c r="I475" s="192">
        <v>-14985.540132833004</v>
      </c>
      <c r="K475" s="202">
        <v>-130314.97474367832</v>
      </c>
      <c r="L475" s="202">
        <v>-148564.96929130703</v>
      </c>
      <c r="M475" s="221">
        <v>18249.99454762871</v>
      </c>
      <c r="N475" s="221">
        <v>18249.994547628703</v>
      </c>
      <c r="O475" s="221">
        <v>-176734.98288080018</v>
      </c>
      <c r="Q475" s="204">
        <f t="shared" si="7"/>
        <v>0</v>
      </c>
      <c r="R475" s="204">
        <f>IF(MAX(K476:L476)=K476,1,0)</f>
        <v>1</v>
      </c>
    </row>
    <row r="476" spans="1:18" x14ac:dyDescent="0.3">
      <c r="A476" s="110">
        <v>471</v>
      </c>
      <c r="C476" s="191">
        <v>1.1889908140988628</v>
      </c>
      <c r="D476" s="192">
        <v>135394.89189488092</v>
      </c>
      <c r="E476" s="192">
        <v>1.1068507489427915</v>
      </c>
      <c r="F476" s="192">
        <v>102583.84483056016</v>
      </c>
      <c r="G476" s="192">
        <v>-8.2140065156071307E-2</v>
      </c>
      <c r="H476" s="203">
        <v>8.2140065156071307E-2</v>
      </c>
      <c r="I476" s="192">
        <v>-32811.047064320752</v>
      </c>
      <c r="K476" s="202">
        <v>-145197.59866485762</v>
      </c>
      <c r="L476" s="202">
        <v>-181171.03823768714</v>
      </c>
      <c r="M476" s="221">
        <v>35973.43957282952</v>
      </c>
      <c r="N476" s="221">
        <v>35973.439572829499</v>
      </c>
      <c r="O476" s="221">
        <v>-399452.41097602848</v>
      </c>
      <c r="Q476" s="204">
        <f t="shared" si="7"/>
        <v>0</v>
      </c>
      <c r="R476" s="204">
        <f>IF(MAX(K477:L477)=K477,1,0)</f>
        <v>1</v>
      </c>
    </row>
    <row r="477" spans="1:18" x14ac:dyDescent="0.3">
      <c r="A477" s="110">
        <v>472</v>
      </c>
      <c r="C477" s="191">
        <v>1.291886137665587</v>
      </c>
      <c r="D477" s="192">
        <v>98194.537996700892</v>
      </c>
      <c r="E477" s="192">
        <v>1.2703166208290331</v>
      </c>
      <c r="F477" s="192">
        <v>79381.97106340836</v>
      </c>
      <c r="G477" s="192">
        <v>-2.1569516836553948E-2</v>
      </c>
      <c r="H477" s="203">
        <v>2.1569516836553948E-2</v>
      </c>
      <c r="I477" s="192">
        <v>-18812.566933292532</v>
      </c>
      <c r="K477" s="202">
        <v>-128289.16096532613</v>
      </c>
      <c r="L477" s="202">
        <v>-147932.15429682599</v>
      </c>
      <c r="M477" s="221">
        <v>19642.993331499863</v>
      </c>
      <c r="N477" s="221">
        <v>19642.99333149986</v>
      </c>
      <c r="O477" s="221">
        <v>-872183.04776353622</v>
      </c>
      <c r="Q477" s="204">
        <f t="shared" si="7"/>
        <v>0</v>
      </c>
      <c r="R477" s="204">
        <f>IF(MAX(K478:L478)=K478,1,0)</f>
        <v>1</v>
      </c>
    </row>
    <row r="478" spans="1:18" x14ac:dyDescent="0.3">
      <c r="A478" s="110">
        <v>473</v>
      </c>
      <c r="C478" s="191">
        <v>1.4648760559069391</v>
      </c>
      <c r="D478" s="192">
        <v>92582.581070913817</v>
      </c>
      <c r="E478" s="192">
        <v>1.3614620555369701</v>
      </c>
      <c r="F478" s="192">
        <v>74888.406087437237</v>
      </c>
      <c r="G478" s="192">
        <v>-0.10341400036996906</v>
      </c>
      <c r="H478" s="203">
        <v>0.10341400036996906</v>
      </c>
      <c r="I478" s="192">
        <v>-17694.17498347658</v>
      </c>
      <c r="K478" s="202">
        <v>-127304.69522561059</v>
      </c>
      <c r="L478" s="202">
        <v>-148980.30922333099</v>
      </c>
      <c r="M478" s="221">
        <v>21675.6139977204</v>
      </c>
      <c r="N478" s="221">
        <v>21675.613997720389</v>
      </c>
      <c r="O478" s="221">
        <v>-171100.38215497643</v>
      </c>
      <c r="Q478" s="204">
        <f t="shared" si="7"/>
        <v>0</v>
      </c>
      <c r="R478" s="204">
        <f>IF(MAX(K479:L479)=K479,1,0)</f>
        <v>1</v>
      </c>
    </row>
    <row r="479" spans="1:18" x14ac:dyDescent="0.3">
      <c r="A479" s="110">
        <v>474</v>
      </c>
      <c r="C479" s="191">
        <v>1.412178201012896</v>
      </c>
      <c r="D479" s="192">
        <v>120210.80303226561</v>
      </c>
      <c r="E479" s="192">
        <v>1.2435137291350562</v>
      </c>
      <c r="F479" s="192">
        <v>79346.838529490691</v>
      </c>
      <c r="G479" s="192">
        <v>-0.16866447187783984</v>
      </c>
      <c r="H479" s="203">
        <v>0.16866447187783984</v>
      </c>
      <c r="I479" s="192">
        <v>-40863.964502774921</v>
      </c>
      <c r="K479" s="202">
        <v>-127222.11710119035</v>
      </c>
      <c r="L479" s="202">
        <v>-174579.6637712621</v>
      </c>
      <c r="M479" s="221">
        <v>47357.546670071752</v>
      </c>
      <c r="N479" s="221">
        <v>47357.546670071752</v>
      </c>
      <c r="O479" s="221">
        <v>-242279.6220674846</v>
      </c>
      <c r="Q479" s="204">
        <f t="shared" si="7"/>
        <v>0</v>
      </c>
      <c r="R479" s="204">
        <f>IF(MAX(K480:L480)=K480,1,0)</f>
        <v>1</v>
      </c>
    </row>
    <row r="480" spans="1:18" x14ac:dyDescent="0.3">
      <c r="A480" s="110">
        <v>475</v>
      </c>
      <c r="C480" s="191">
        <v>1.7742741067877243</v>
      </c>
      <c r="D480" s="192">
        <v>115840.38079798466</v>
      </c>
      <c r="E480" s="192">
        <v>1.595171946125971</v>
      </c>
      <c r="F480" s="192">
        <v>74657.053655854746</v>
      </c>
      <c r="G480" s="192">
        <v>-0.17910216066175333</v>
      </c>
      <c r="H480" s="203">
        <v>0.17910216066175333</v>
      </c>
      <c r="I480" s="192">
        <v>-41183.327142129914</v>
      </c>
      <c r="K480" s="202">
        <v>-136071.17358170461</v>
      </c>
      <c r="L480" s="202">
        <v>-184149.93390931207</v>
      </c>
      <c r="M480" s="221">
        <v>48078.760327607451</v>
      </c>
      <c r="N480" s="221">
        <v>48078.760327607415</v>
      </c>
      <c r="O480" s="221">
        <v>-229943.21782587224</v>
      </c>
      <c r="Q480" s="204">
        <f t="shared" si="7"/>
        <v>0</v>
      </c>
      <c r="R480" s="204">
        <f>IF(MAX(K481:L481)=K481,1,0)</f>
        <v>1</v>
      </c>
    </row>
    <row r="481" spans="1:18" x14ac:dyDescent="0.3">
      <c r="A481" s="110">
        <v>476</v>
      </c>
      <c r="C481" s="191">
        <v>1.2336696549230524</v>
      </c>
      <c r="D481" s="192">
        <v>102283.73381726014</v>
      </c>
      <c r="E481" s="192">
        <v>1.1871728514765485</v>
      </c>
      <c r="F481" s="192">
        <v>88100.632958065908</v>
      </c>
      <c r="G481" s="192">
        <v>-4.6496803446503865E-2</v>
      </c>
      <c r="H481" s="203">
        <v>4.6496803446503865E-2</v>
      </c>
      <c r="I481" s="192">
        <v>-14183.100859194237</v>
      </c>
      <c r="K481" s="202">
        <v>-133806.78773991304</v>
      </c>
      <c r="L481" s="202">
        <v>-149780.01553179766</v>
      </c>
      <c r="M481" s="221">
        <v>15973.227791884623</v>
      </c>
      <c r="N481" s="221">
        <v>15973.227791884636</v>
      </c>
      <c r="O481" s="221">
        <v>-305033.8906740626</v>
      </c>
      <c r="Q481" s="204">
        <f t="shared" si="7"/>
        <v>0</v>
      </c>
      <c r="R481" s="204">
        <f>IF(MAX(K482:L482)=K482,1,0)</f>
        <v>1</v>
      </c>
    </row>
    <row r="482" spans="1:18" x14ac:dyDescent="0.3">
      <c r="A482" s="110">
        <v>477</v>
      </c>
      <c r="C482" s="191">
        <v>1.1166249755207243</v>
      </c>
      <c r="D482" s="192">
        <v>127838.20191116183</v>
      </c>
      <c r="E482" s="192">
        <v>0.97509397135747655</v>
      </c>
      <c r="F482" s="192">
        <v>102086.6125212355</v>
      </c>
      <c r="G482" s="192">
        <v>-0.14153100416324771</v>
      </c>
      <c r="H482" s="203">
        <v>0.14153100416324771</v>
      </c>
      <c r="I482" s="192">
        <v>-25751.589389926332</v>
      </c>
      <c r="K482" s="202">
        <v>-139627.73041849834</v>
      </c>
      <c r="L482" s="202">
        <v>-170828.26346870972</v>
      </c>
      <c r="M482" s="221">
        <v>31200.533050211379</v>
      </c>
      <c r="N482" s="221">
        <v>31200.533050211368</v>
      </c>
      <c r="O482" s="221">
        <v>-181950.16379749123</v>
      </c>
      <c r="Q482" s="204">
        <f t="shared" si="7"/>
        <v>0</v>
      </c>
      <c r="R482" s="204">
        <f>IF(MAX(K483:L483)=K483,1,0)</f>
        <v>1</v>
      </c>
    </row>
    <row r="483" spans="1:18" x14ac:dyDescent="0.3">
      <c r="A483" s="110">
        <v>478</v>
      </c>
      <c r="C483" s="191">
        <v>1.2292186017523012</v>
      </c>
      <c r="D483" s="192">
        <v>91437.441317335921</v>
      </c>
      <c r="E483" s="192">
        <v>1.1897603576789972</v>
      </c>
      <c r="F483" s="192">
        <v>72218.606287751041</v>
      </c>
      <c r="G483" s="192">
        <v>-3.9458244073304005E-2</v>
      </c>
      <c r="H483" s="203">
        <v>3.9458244073304005E-2</v>
      </c>
      <c r="I483" s="192">
        <v>-19218.83502958488</v>
      </c>
      <c r="K483" s="202">
        <v>-118024.38005839245</v>
      </c>
      <c r="L483" s="202">
        <v>-138762.35748479952</v>
      </c>
      <c r="M483" s="221">
        <v>20737.977426407073</v>
      </c>
      <c r="N483" s="221">
        <v>20737.977426407084</v>
      </c>
      <c r="O483" s="221">
        <v>-487067.67067183397</v>
      </c>
      <c r="Q483" s="204">
        <f t="shared" si="7"/>
        <v>0</v>
      </c>
      <c r="R483" s="204">
        <f>IF(MAX(K484:L484)=K484,1,0)</f>
        <v>1</v>
      </c>
    </row>
    <row r="484" spans="1:18" x14ac:dyDescent="0.3">
      <c r="A484" s="110">
        <v>479</v>
      </c>
      <c r="C484" s="191">
        <v>1.0811603675266079</v>
      </c>
      <c r="D484" s="192">
        <v>149449.83079923582</v>
      </c>
      <c r="E484" s="192">
        <v>0.91961784731530016</v>
      </c>
      <c r="F484" s="192">
        <v>108542.26158446712</v>
      </c>
      <c r="G484" s="192">
        <v>-0.16154252021130777</v>
      </c>
      <c r="H484" s="203">
        <v>0.16154252021130777</v>
      </c>
      <c r="I484" s="192">
        <v>-40907.569214768693</v>
      </c>
      <c r="K484" s="202">
        <v>-143947.54870610617</v>
      </c>
      <c r="L484" s="202">
        <v>-191074.50494901021</v>
      </c>
      <c r="M484" s="221">
        <v>47126.956242904038</v>
      </c>
      <c r="N484" s="221">
        <v>47126.956242904045</v>
      </c>
      <c r="O484" s="221">
        <v>-253230.97077635673</v>
      </c>
      <c r="Q484" s="204">
        <f t="shared" si="7"/>
        <v>0</v>
      </c>
      <c r="R484" s="204">
        <f>IF(MAX(K485:L485)=K485,1,0)</f>
        <v>1</v>
      </c>
    </row>
    <row r="485" spans="1:18" x14ac:dyDescent="0.3">
      <c r="A485" s="110">
        <v>480</v>
      </c>
      <c r="C485" s="191">
        <v>1.1995193411057072</v>
      </c>
      <c r="D485" s="192">
        <v>106532.20656161377</v>
      </c>
      <c r="E485" s="192">
        <v>1.0922193525413184</v>
      </c>
      <c r="F485" s="192">
        <v>94863.751101313537</v>
      </c>
      <c r="G485" s="192">
        <v>-0.10729998856438883</v>
      </c>
      <c r="H485" s="203">
        <v>0.10729998856438883</v>
      </c>
      <c r="I485" s="192">
        <v>-11668.455460300233</v>
      </c>
      <c r="K485" s="202">
        <v>-136914.19617415429</v>
      </c>
      <c r="L485" s="202">
        <v>-152713.70119418349</v>
      </c>
      <c r="M485" s="221">
        <v>15799.505020029203</v>
      </c>
      <c r="N485" s="221">
        <v>15799.505020029203</v>
      </c>
      <c r="O485" s="221">
        <v>-108746.10162048804</v>
      </c>
      <c r="Q485" s="204">
        <f t="shared" si="7"/>
        <v>0</v>
      </c>
      <c r="R485" s="204">
        <f>IF(MAX(K486:L486)=K486,1,0)</f>
        <v>1</v>
      </c>
    </row>
    <row r="486" spans="1:18" x14ac:dyDescent="0.3">
      <c r="A486" s="110">
        <v>481</v>
      </c>
      <c r="C486" s="191">
        <v>1.3628456806834084</v>
      </c>
      <c r="D486" s="192">
        <v>91082.913449583808</v>
      </c>
      <c r="E486" s="192">
        <v>1.217516124184735</v>
      </c>
      <c r="F486" s="192">
        <v>63229.676916364013</v>
      </c>
      <c r="G486" s="192">
        <v>-0.14532955649867341</v>
      </c>
      <c r="H486" s="203">
        <v>0.14532955649867341</v>
      </c>
      <c r="I486" s="192">
        <v>-27853.236533219795</v>
      </c>
      <c r="K486" s="202">
        <v>-110104.04769747632</v>
      </c>
      <c r="L486" s="202">
        <v>-143552.47215589503</v>
      </c>
      <c r="M486" s="221">
        <v>33448.424458418711</v>
      </c>
      <c r="N486" s="221">
        <v>33448.424458418718</v>
      </c>
      <c r="O486" s="221">
        <v>-191655.69072299512</v>
      </c>
      <c r="Q486" s="204">
        <f t="shared" si="7"/>
        <v>0</v>
      </c>
      <c r="R486" s="204">
        <f>IF(MAX(K487:L487)=K487,1,0)</f>
        <v>1</v>
      </c>
    </row>
    <row r="487" spans="1:18" x14ac:dyDescent="0.3">
      <c r="A487" s="110">
        <v>482</v>
      </c>
      <c r="C487" s="191">
        <v>1.5672874170539659</v>
      </c>
      <c r="D487" s="192">
        <v>133356.22942900355</v>
      </c>
      <c r="E487" s="192">
        <v>1.4022528318270939</v>
      </c>
      <c r="F487" s="192">
        <v>95538.261060915014</v>
      </c>
      <c r="G487" s="192">
        <v>-0.16503458522687198</v>
      </c>
      <c r="H487" s="203">
        <v>0.16503458522687198</v>
      </c>
      <c r="I487" s="192">
        <v>-37817.968368088535</v>
      </c>
      <c r="K487" s="202">
        <v>-149524.99508625813</v>
      </c>
      <c r="L487" s="202">
        <v>-193696.79498558125</v>
      </c>
      <c r="M487" s="221">
        <v>44171.799899323116</v>
      </c>
      <c r="N487" s="221">
        <v>44171.799899323109</v>
      </c>
      <c r="O487" s="221">
        <v>-229151.77637523928</v>
      </c>
      <c r="Q487" s="204">
        <f t="shared" si="7"/>
        <v>0</v>
      </c>
      <c r="R487" s="204">
        <f>IF(MAX(K488:L488)=K488,1,0)</f>
        <v>1</v>
      </c>
    </row>
    <row r="488" spans="1:18" x14ac:dyDescent="0.3">
      <c r="A488" s="110">
        <v>483</v>
      </c>
      <c r="C488" s="191">
        <v>1.333342888584838</v>
      </c>
      <c r="D488" s="192">
        <v>107905.62761977086</v>
      </c>
      <c r="E488" s="192">
        <v>1.1709023713879645</v>
      </c>
      <c r="F488" s="192">
        <v>76497.638779056157</v>
      </c>
      <c r="G488" s="192">
        <v>-0.16244051719687347</v>
      </c>
      <c r="H488" s="203">
        <v>0.16244051719687347</v>
      </c>
      <c r="I488" s="192">
        <v>-31407.988840714708</v>
      </c>
      <c r="K488" s="202">
        <v>-121577.38007749279</v>
      </c>
      <c r="L488" s="202">
        <v>-159239.32883028712</v>
      </c>
      <c r="M488" s="221">
        <v>37661.948752794327</v>
      </c>
      <c r="N488" s="221">
        <v>37661.948752794335</v>
      </c>
      <c r="O488" s="221">
        <v>-193350.70697078048</v>
      </c>
      <c r="Q488" s="204">
        <f t="shared" si="7"/>
        <v>0</v>
      </c>
      <c r="R488" s="204">
        <f>IF(MAX(K489:L489)=K489,1,0)</f>
        <v>1</v>
      </c>
    </row>
    <row r="489" spans="1:18" x14ac:dyDescent="0.3">
      <c r="A489" s="110">
        <v>484</v>
      </c>
      <c r="C489" s="191">
        <v>1.2880974902273714</v>
      </c>
      <c r="D489" s="192">
        <v>98374.367011110953</v>
      </c>
      <c r="E489" s="192">
        <v>1.1290811157530825</v>
      </c>
      <c r="F489" s="192">
        <v>72139.598536156176</v>
      </c>
      <c r="G489" s="192">
        <v>-0.15901637447428896</v>
      </c>
      <c r="H489" s="203">
        <v>0.15901637447428896</v>
      </c>
      <c r="I489" s="192">
        <v>-26234.768474954777</v>
      </c>
      <c r="K489" s="202">
        <v>-115609.22149264984</v>
      </c>
      <c r="L489" s="202">
        <v>-147966.12038486474</v>
      </c>
      <c r="M489" s="221">
        <v>32356.8988922149</v>
      </c>
      <c r="N489" s="221">
        <v>32356.8988922149</v>
      </c>
      <c r="O489" s="221">
        <v>-164981.55338836898</v>
      </c>
      <c r="Q489" s="204">
        <f t="shared" si="7"/>
        <v>0</v>
      </c>
      <c r="R489" s="204">
        <f>IF(MAX(K490:L490)=K490,1,0)</f>
        <v>1</v>
      </c>
    </row>
    <row r="490" spans="1:18" x14ac:dyDescent="0.3">
      <c r="A490" s="110">
        <v>485</v>
      </c>
      <c r="C490" s="191">
        <v>1.502240531100425</v>
      </c>
      <c r="D490" s="192">
        <v>104643.59268562392</v>
      </c>
      <c r="E490" s="192">
        <v>1.3880238238775715</v>
      </c>
      <c r="F490" s="192">
        <v>80924.006855647371</v>
      </c>
      <c r="G490" s="192">
        <v>-0.11421670722285349</v>
      </c>
      <c r="H490" s="203">
        <v>0.11421670722285349</v>
      </c>
      <c r="I490" s="192">
        <v>-23719.585829976553</v>
      </c>
      <c r="K490" s="202">
        <v>-134362.92407493386</v>
      </c>
      <c r="L490" s="202">
        <v>-162479.85313299028</v>
      </c>
      <c r="M490" s="221">
        <v>28116.929058056412</v>
      </c>
      <c r="N490" s="221">
        <v>28116.929058056412</v>
      </c>
      <c r="O490" s="221">
        <v>-207671.77067796374</v>
      </c>
      <c r="Q490" s="204">
        <f t="shared" si="7"/>
        <v>0</v>
      </c>
      <c r="R490" s="204">
        <f>IF(MAX(K491:L491)=K491,1,0)</f>
        <v>1</v>
      </c>
    </row>
    <row r="491" spans="1:18" x14ac:dyDescent="0.3">
      <c r="A491" s="110">
        <v>486</v>
      </c>
      <c r="C491" s="191">
        <v>1.2048721512078</v>
      </c>
      <c r="D491" s="192">
        <v>126497.40060562213</v>
      </c>
      <c r="E491" s="192">
        <v>1.2421239084879865</v>
      </c>
      <c r="F491" s="192">
        <v>111477.90381306679</v>
      </c>
      <c r="G491" s="192">
        <v>3.7251757280186482E-2</v>
      </c>
      <c r="H491" s="203">
        <v>-3.7251757280186482E-2</v>
      </c>
      <c r="I491" s="192">
        <v>-15019.496792555336</v>
      </c>
      <c r="K491" s="202">
        <v>-159299.67428985427</v>
      </c>
      <c r="L491" s="202">
        <v>-172884.97842712243</v>
      </c>
      <c r="M491" s="221">
        <v>13585.304137268162</v>
      </c>
      <c r="N491" s="221">
        <v>13585.304137268156</v>
      </c>
      <c r="O491" s="221">
        <v>403188.94702301541</v>
      </c>
      <c r="Q491" s="204">
        <f t="shared" si="7"/>
        <v>0</v>
      </c>
      <c r="R491" s="204">
        <f>IF(MAX(K492:L492)=K492,1,0)</f>
        <v>1</v>
      </c>
    </row>
    <row r="492" spans="1:18" x14ac:dyDescent="0.3">
      <c r="A492" s="110">
        <v>487</v>
      </c>
      <c r="C492" s="191">
        <v>1.053208821324092</v>
      </c>
      <c r="D492" s="192">
        <v>124080.02300188609</v>
      </c>
      <c r="E492" s="192">
        <v>0.86765280918854204</v>
      </c>
      <c r="F492" s="192">
        <v>90055.150175771312</v>
      </c>
      <c r="G492" s="192">
        <v>-0.18555601213554995</v>
      </c>
      <c r="H492" s="203">
        <v>0.18555601213554995</v>
      </c>
      <c r="I492" s="192">
        <v>-34024.872826114777</v>
      </c>
      <c r="K492" s="202">
        <v>-123459.78332953018</v>
      </c>
      <c r="L492" s="202">
        <v>-164628.56262286362</v>
      </c>
      <c r="M492" s="221">
        <v>41168.779293333442</v>
      </c>
      <c r="N492" s="221">
        <v>41168.779293333449</v>
      </c>
      <c r="O492" s="221">
        <v>-183367.12690968683</v>
      </c>
      <c r="Q492" s="204">
        <f t="shared" si="7"/>
        <v>0</v>
      </c>
      <c r="R492" s="204">
        <f>IF(MAX(K493:L493)=K493,1,0)</f>
        <v>1</v>
      </c>
    </row>
    <row r="493" spans="1:18" x14ac:dyDescent="0.3">
      <c r="A493" s="110">
        <v>488</v>
      </c>
      <c r="C493" s="191">
        <v>1.6117129463251119</v>
      </c>
      <c r="D493" s="192">
        <v>141086.41712771446</v>
      </c>
      <c r="E493" s="192">
        <v>1.436795932786423</v>
      </c>
      <c r="F493" s="192">
        <v>105741.36329106236</v>
      </c>
      <c r="G493" s="192">
        <v>-0.17491701353868883</v>
      </c>
      <c r="H493" s="203">
        <v>0.17491701353868883</v>
      </c>
      <c r="I493" s="192">
        <v>-35345.053836652107</v>
      </c>
      <c r="K493" s="202">
        <v>-161058.00670333963</v>
      </c>
      <c r="L493" s="202">
        <v>-203137.36556123127</v>
      </c>
      <c r="M493" s="221">
        <v>42079.358857891639</v>
      </c>
      <c r="N493" s="221">
        <v>42079.358857891624</v>
      </c>
      <c r="O493" s="221">
        <v>-202067.55833293684</v>
      </c>
      <c r="Q493" s="204">
        <f t="shared" si="7"/>
        <v>0</v>
      </c>
      <c r="R493" s="204">
        <f>IF(MAX(K494:L494)=K494,1,0)</f>
        <v>1</v>
      </c>
    </row>
    <row r="494" spans="1:18" x14ac:dyDescent="0.3">
      <c r="A494" s="110">
        <v>489</v>
      </c>
      <c r="C494" s="191">
        <v>1.2575136646517966</v>
      </c>
      <c r="D494" s="192">
        <v>96097.176674197137</v>
      </c>
      <c r="E494" s="192">
        <v>1.2139580709593398</v>
      </c>
      <c r="F494" s="192">
        <v>83567.360549664052</v>
      </c>
      <c r="G494" s="192">
        <v>-4.3555593692456762E-2</v>
      </c>
      <c r="H494" s="203">
        <v>4.3555593692456762E-2</v>
      </c>
      <c r="I494" s="192">
        <v>-12529.816124533085</v>
      </c>
      <c r="K494" s="202">
        <v>-130304.74628159864</v>
      </c>
      <c r="L494" s="202">
        <v>-144511.45276329131</v>
      </c>
      <c r="M494" s="221">
        <v>14206.706481692672</v>
      </c>
      <c r="N494" s="221">
        <v>14206.70648169267</v>
      </c>
      <c r="O494" s="221">
        <v>-287674.09791278036</v>
      </c>
      <c r="Q494" s="204">
        <f t="shared" si="7"/>
        <v>0</v>
      </c>
      <c r="R494" s="204">
        <f>IF(MAX(K495:L495)=K495,1,0)</f>
        <v>1</v>
      </c>
    </row>
    <row r="495" spans="1:18" x14ac:dyDescent="0.3">
      <c r="A495" s="110">
        <v>490</v>
      </c>
      <c r="C495" s="191">
        <v>1.1078135610330315</v>
      </c>
      <c r="D495" s="192">
        <v>136984.55279562902</v>
      </c>
      <c r="E495" s="192">
        <v>0.83936018033265758</v>
      </c>
      <c r="F495" s="192">
        <v>88504.87657882394</v>
      </c>
      <c r="G495" s="192">
        <v>-0.26845338070037394</v>
      </c>
      <c r="H495" s="203">
        <v>0.26845338070037394</v>
      </c>
      <c r="I495" s="192">
        <v>-48479.676216805077</v>
      </c>
      <c r="K495" s="202">
        <v>-120820.24352163126</v>
      </c>
      <c r="L495" s="202">
        <v>-179635.37489540072</v>
      </c>
      <c r="M495" s="221">
        <v>58815.131373769458</v>
      </c>
      <c r="N495" s="221">
        <v>58815.131373769473</v>
      </c>
      <c r="O495" s="221">
        <v>-180588.80871727291</v>
      </c>
      <c r="Q495" s="204">
        <f t="shared" si="7"/>
        <v>0</v>
      </c>
      <c r="R495" s="204">
        <f>IF(MAX(K496:L496)=K496,1,0)</f>
        <v>1</v>
      </c>
    </row>
    <row r="496" spans="1:18" x14ac:dyDescent="0.3">
      <c r="A496" s="110">
        <v>491</v>
      </c>
      <c r="C496" s="191">
        <v>1.4838011430800548</v>
      </c>
      <c r="D496" s="192">
        <v>118261.48042077538</v>
      </c>
      <c r="E496" s="192">
        <v>1.3993939729699998</v>
      </c>
      <c r="F496" s="192">
        <v>96185.494629786321</v>
      </c>
      <c r="G496" s="192">
        <v>-8.4407170110055052E-2</v>
      </c>
      <c r="H496" s="203">
        <v>8.4407170110055052E-2</v>
      </c>
      <c r="I496" s="192">
        <v>-22075.985790989056</v>
      </c>
      <c r="K496" s="202">
        <v>-150062.16258913133</v>
      </c>
      <c r="L496" s="202">
        <v>-175387.82442935748</v>
      </c>
      <c r="M496" s="221">
        <v>25325.661840226152</v>
      </c>
      <c r="N496" s="221">
        <v>25325.661840226174</v>
      </c>
      <c r="O496" s="221">
        <v>-261541.59370827244</v>
      </c>
      <c r="Q496" s="204">
        <f t="shared" si="7"/>
        <v>0</v>
      </c>
      <c r="R496" s="204">
        <f>IF(MAX(K497:L497)=K497,1,0)</f>
        <v>1</v>
      </c>
    </row>
    <row r="497" spans="1:18" x14ac:dyDescent="0.3">
      <c r="A497" s="110">
        <v>492</v>
      </c>
      <c r="C497" s="191">
        <v>1.3635339394957309</v>
      </c>
      <c r="D497" s="192">
        <v>135866.35622067173</v>
      </c>
      <c r="E497" s="192">
        <v>1.2144838813510976</v>
      </c>
      <c r="F497" s="192">
        <v>102148.6633682111</v>
      </c>
      <c r="G497" s="192">
        <v>-0.14905005814463324</v>
      </c>
      <c r="H497" s="203">
        <v>0.14905005814463324</v>
      </c>
      <c r="I497" s="192">
        <v>-33717.692852460634</v>
      </c>
      <c r="K497" s="202">
        <v>-148906.29280022834</v>
      </c>
      <c r="L497" s="202">
        <v>-188362.41289125738</v>
      </c>
      <c r="M497" s="221">
        <v>39456.120091029035</v>
      </c>
      <c r="N497" s="221">
        <v>39456.120091029014</v>
      </c>
      <c r="O497" s="221">
        <v>-226217.24051755888</v>
      </c>
      <c r="Q497" s="204">
        <f t="shared" si="7"/>
        <v>0</v>
      </c>
      <c r="R497" s="204">
        <f>IF(MAX(K498:L498)=K498,1,0)</f>
        <v>1</v>
      </c>
    </row>
    <row r="498" spans="1:18" x14ac:dyDescent="0.3">
      <c r="A498" s="110">
        <v>493</v>
      </c>
      <c r="C498" s="191">
        <v>1.3135337121564883</v>
      </c>
      <c r="D498" s="192">
        <v>160696.00551691896</v>
      </c>
      <c r="E498" s="192">
        <v>1.0947323026266071</v>
      </c>
      <c r="F498" s="192">
        <v>111867.79432103308</v>
      </c>
      <c r="G498" s="192">
        <v>-0.21880140952988114</v>
      </c>
      <c r="H498" s="203">
        <v>0.21880140952988114</v>
      </c>
      <c r="I498" s="192">
        <v>-48828.211195885873</v>
      </c>
      <c r="K498" s="202">
        <v>-154014.98797215745</v>
      </c>
      <c r="L498" s="202">
        <v>-211267.05343494375</v>
      </c>
      <c r="M498" s="221">
        <v>57252.065462786297</v>
      </c>
      <c r="N498" s="221">
        <v>57252.065462786297</v>
      </c>
      <c r="O498" s="221">
        <v>-223162.23328176289</v>
      </c>
      <c r="Q498" s="204">
        <f t="shared" si="7"/>
        <v>0</v>
      </c>
      <c r="R498" s="204">
        <f>IF(MAX(K499:L499)=K499,1,0)</f>
        <v>1</v>
      </c>
    </row>
    <row r="499" spans="1:18" x14ac:dyDescent="0.3">
      <c r="A499" s="110">
        <v>494</v>
      </c>
      <c r="C499" s="191">
        <v>1.1717117902992591</v>
      </c>
      <c r="D499" s="192">
        <v>92319.051022286323</v>
      </c>
      <c r="E499" s="192">
        <v>1.1718285323556208</v>
      </c>
      <c r="F499" s="192">
        <v>83806.16542998112</v>
      </c>
      <c r="G499" s="192">
        <v>1.167420563616961E-4</v>
      </c>
      <c r="H499" s="203">
        <v>-1.167420563616961E-4</v>
      </c>
      <c r="I499" s="192">
        <v>-8512.8855923052033</v>
      </c>
      <c r="K499" s="202">
        <v>-128921.56392567253</v>
      </c>
      <c r="L499" s="202">
        <v>-137429.9549488078</v>
      </c>
      <c r="M499" s="221">
        <v>8508.3910231352784</v>
      </c>
      <c r="N499" s="221">
        <v>8508.3910231352784</v>
      </c>
      <c r="O499" s="221">
        <v>72920469.774235889</v>
      </c>
      <c r="Q499" s="204">
        <f t="shared" si="7"/>
        <v>0</v>
      </c>
      <c r="R499" s="204">
        <f>IF(MAX(K500:L500)=K500,1,0)</f>
        <v>1</v>
      </c>
    </row>
    <row r="500" spans="1:18" x14ac:dyDescent="0.3">
      <c r="A500" s="110">
        <v>495</v>
      </c>
      <c r="C500" s="191">
        <v>1.1462182540256045</v>
      </c>
      <c r="D500" s="192">
        <v>132918.08739585633</v>
      </c>
      <c r="E500" s="192">
        <v>1.1239495763945053</v>
      </c>
      <c r="F500" s="192">
        <v>103289.18315875325</v>
      </c>
      <c r="G500" s="192">
        <v>-2.2268677631099187E-2</v>
      </c>
      <c r="H500" s="203">
        <v>2.2268677631099187E-2</v>
      </c>
      <c r="I500" s="192">
        <v>-29628.904237103081</v>
      </c>
      <c r="K500" s="202">
        <v>-146561.2418499417</v>
      </c>
      <c r="L500" s="202">
        <v>-177047.4901758421</v>
      </c>
      <c r="M500" s="221">
        <v>30486.248325900408</v>
      </c>
      <c r="N500" s="221">
        <v>30486.2483259004</v>
      </c>
      <c r="O500" s="221">
        <v>-1330519.2489618249</v>
      </c>
      <c r="Q500" s="204">
        <f t="shared" si="7"/>
        <v>0</v>
      </c>
      <c r="R500" s="204">
        <f>IF(MAX(K501:L501)=K501,1,0)</f>
        <v>1</v>
      </c>
    </row>
    <row r="501" spans="1:18" x14ac:dyDescent="0.3">
      <c r="A501" s="110">
        <v>496</v>
      </c>
      <c r="C501" s="191">
        <v>0.94290569464094487</v>
      </c>
      <c r="D501" s="192">
        <v>128447.86532855938</v>
      </c>
      <c r="E501" s="192">
        <v>0.82103115210563193</v>
      </c>
      <c r="F501" s="192">
        <v>105572.5915893608</v>
      </c>
      <c r="G501" s="192">
        <v>-0.12187454253531294</v>
      </c>
      <c r="H501" s="203">
        <v>0.12187454253531294</v>
      </c>
      <c r="I501" s="192">
        <v>-22875.273739198572</v>
      </c>
      <c r="K501" s="202">
        <v>-137182.29094542764</v>
      </c>
      <c r="L501" s="202">
        <v>-164749.73457223576</v>
      </c>
      <c r="M501" s="221">
        <v>27567.443626808119</v>
      </c>
      <c r="N501" s="221">
        <v>27567.443626808119</v>
      </c>
      <c r="O501" s="221">
        <v>-187695.25828226598</v>
      </c>
      <c r="Q501" s="204">
        <f t="shared" si="7"/>
        <v>0</v>
      </c>
      <c r="R501" s="204">
        <f>IF(MAX(K502:L502)=K502,1,0)</f>
        <v>1</v>
      </c>
    </row>
    <row r="502" spans="1:18" x14ac:dyDescent="0.3">
      <c r="A502" s="110">
        <v>497</v>
      </c>
      <c r="C502" s="191">
        <v>1.4724967665780913</v>
      </c>
      <c r="D502" s="192">
        <v>155657.52601279566</v>
      </c>
      <c r="E502" s="192">
        <v>1.2360193973350395</v>
      </c>
      <c r="F502" s="192">
        <v>119389.79295280609</v>
      </c>
      <c r="G502" s="192">
        <v>-0.23647736924305174</v>
      </c>
      <c r="H502" s="203">
        <v>0.23647736924305174</v>
      </c>
      <c r="I502" s="192">
        <v>-36267.733059989565</v>
      </c>
      <c r="K502" s="202">
        <v>-166976.53975020512</v>
      </c>
      <c r="L502" s="202">
        <v>-212348.65152605216</v>
      </c>
      <c r="M502" s="221">
        <v>45372.111775847035</v>
      </c>
      <c r="N502" s="221">
        <v>45372.111775847057</v>
      </c>
      <c r="O502" s="221">
        <v>-153366.61252651853</v>
      </c>
      <c r="Q502" s="204">
        <f t="shared" si="7"/>
        <v>0</v>
      </c>
      <c r="R502" s="204">
        <f>IF(MAX(K503:L503)=K503,1,0)</f>
        <v>1</v>
      </c>
    </row>
    <row r="503" spans="1:18" x14ac:dyDescent="0.3">
      <c r="A503" s="110">
        <v>498</v>
      </c>
      <c r="C503" s="191">
        <v>1.5125328782668015</v>
      </c>
      <c r="D503" s="192">
        <v>115213.72186879693</v>
      </c>
      <c r="E503" s="192">
        <v>1.3572386169876998</v>
      </c>
      <c r="F503" s="192">
        <v>87098.025821828211</v>
      </c>
      <c r="G503" s="192">
        <v>-0.15529426127910173</v>
      </c>
      <c r="H503" s="203">
        <v>0.15529426127910173</v>
      </c>
      <c r="I503" s="192">
        <v>-28115.696046968718</v>
      </c>
      <c r="K503" s="202">
        <v>-139351.71257585465</v>
      </c>
      <c r="L503" s="202">
        <v>-173446.23768206878</v>
      </c>
      <c r="M503" s="221">
        <v>34094.525106214132</v>
      </c>
      <c r="N503" s="221">
        <v>34094.525106214132</v>
      </c>
      <c r="O503" s="221">
        <v>-181047.875274914</v>
      </c>
      <c r="Q503" s="204">
        <f t="shared" si="7"/>
        <v>0</v>
      </c>
      <c r="R503" s="204">
        <f>IF(MAX(K504:L504)=K504,1,0)</f>
        <v>1</v>
      </c>
    </row>
    <row r="504" spans="1:18" x14ac:dyDescent="0.3">
      <c r="A504" s="110">
        <v>499</v>
      </c>
      <c r="C504" s="191">
        <v>1.3062799036870381</v>
      </c>
      <c r="D504" s="192">
        <v>132328.83648948406</v>
      </c>
      <c r="E504" s="192">
        <v>1.1774996478750228</v>
      </c>
      <c r="F504" s="192">
        <v>98498.021279757522</v>
      </c>
      <c r="G504" s="192">
        <v>-0.12878025581201524</v>
      </c>
      <c r="H504" s="203">
        <v>0.12878025581201524</v>
      </c>
      <c r="I504" s="192">
        <v>-33830.815209726541</v>
      </c>
      <c r="K504" s="202">
        <v>-143831.75772294588</v>
      </c>
      <c r="L504" s="202">
        <v>-182620.61278143502</v>
      </c>
      <c r="M504" s="221">
        <v>38788.855058489135</v>
      </c>
      <c r="N504" s="221">
        <v>38788.855058489127</v>
      </c>
      <c r="O504" s="221">
        <v>-262701.87923147541</v>
      </c>
      <c r="Q504" s="204">
        <f t="shared" si="7"/>
        <v>0</v>
      </c>
      <c r="R504" s="204">
        <f>IF(MAX(K505:L505)=K505,1,0)</f>
        <v>1</v>
      </c>
    </row>
    <row r="505" spans="1:18" x14ac:dyDescent="0.3">
      <c r="A505" s="110">
        <v>500</v>
      </c>
      <c r="C505" s="191">
        <v>1.8677467720274294</v>
      </c>
      <c r="D505" s="192">
        <v>161694.88459110158</v>
      </c>
      <c r="E505" s="192">
        <v>1.7221029520463607</v>
      </c>
      <c r="F505" s="192">
        <v>101983.43246965493</v>
      </c>
      <c r="G505" s="192">
        <v>-0.14564381998106879</v>
      </c>
      <c r="H505" s="203">
        <v>0.14564381998106879</v>
      </c>
      <c r="I505" s="192">
        <v>-59711.452121446651</v>
      </c>
      <c r="K505" s="202">
        <v>-168284.39612343983</v>
      </c>
      <c r="L505" s="202">
        <v>-233603.13531415761</v>
      </c>
      <c r="M505" s="221">
        <v>65318.739190717781</v>
      </c>
      <c r="N505" s="221">
        <v>65318.739190717803</v>
      </c>
      <c r="O505" s="221">
        <v>-409982.7382254058</v>
      </c>
      <c r="Q505" s="204">
        <f t="shared" si="7"/>
        <v>0</v>
      </c>
      <c r="R505" s="204">
        <f>IF(MAX(K506:L506)=K506,1,0)</f>
        <v>1</v>
      </c>
    </row>
    <row r="506" spans="1:18" x14ac:dyDescent="0.3">
      <c r="A506" s="110">
        <v>501</v>
      </c>
      <c r="C506" s="191">
        <v>0.99250620262438716</v>
      </c>
      <c r="D506" s="192">
        <v>107917.34774965857</v>
      </c>
      <c r="E506" s="192">
        <v>0.88839963486562024</v>
      </c>
      <c r="F506" s="192">
        <v>87862.462833287573</v>
      </c>
      <c r="G506" s="192">
        <v>-0.10410656775876692</v>
      </c>
      <c r="H506" s="203">
        <v>0.10410656775876692</v>
      </c>
      <c r="I506" s="192">
        <v>-20054.884916370997</v>
      </c>
      <c r="K506" s="202">
        <v>-122065.84877561395</v>
      </c>
      <c r="L506" s="202">
        <v>-146128.83655069748</v>
      </c>
      <c r="M506" s="221">
        <v>24062.987775083529</v>
      </c>
      <c r="N506" s="221">
        <v>24062.987775083522</v>
      </c>
      <c r="O506" s="221">
        <v>-192638.03761969815</v>
      </c>
      <c r="Q506" s="204">
        <f t="shared" si="7"/>
        <v>0</v>
      </c>
      <c r="R506" s="204">
        <f>IF(MAX(K507:L507)=K507,1,0)</f>
        <v>1</v>
      </c>
    </row>
    <row r="507" spans="1:18" x14ac:dyDescent="0.3">
      <c r="A507" s="110">
        <v>502</v>
      </c>
      <c r="C507" s="191">
        <v>1.3051165947385879</v>
      </c>
      <c r="D507" s="192">
        <v>123902.28884638609</v>
      </c>
      <c r="E507" s="192">
        <v>1.2117552741192354</v>
      </c>
      <c r="F507" s="192">
        <v>90580.743907582088</v>
      </c>
      <c r="G507" s="192">
        <v>-9.3361320619352428E-2</v>
      </c>
      <c r="H507" s="203">
        <v>9.3361320619352428E-2</v>
      </c>
      <c r="I507" s="192">
        <v>-33321.544938804</v>
      </c>
      <c r="K507" s="202">
        <v>-137233.32196117265</v>
      </c>
      <c r="L507" s="202">
        <v>-174149.27774382173</v>
      </c>
      <c r="M507" s="221">
        <v>36915.955782649078</v>
      </c>
      <c r="N507" s="221">
        <v>36915.955782649071</v>
      </c>
      <c r="O507" s="221">
        <v>-356909.52867580723</v>
      </c>
      <c r="Q507" s="204">
        <f t="shared" si="7"/>
        <v>0</v>
      </c>
      <c r="R507" s="204">
        <f>IF(MAX(K508:L508)=K508,1,0)</f>
        <v>1</v>
      </c>
    </row>
    <row r="508" spans="1:18" x14ac:dyDescent="0.3">
      <c r="A508" s="110">
        <v>503</v>
      </c>
      <c r="C508" s="191">
        <v>1.4068106137570766</v>
      </c>
      <c r="D508" s="192">
        <v>106128.35648325751</v>
      </c>
      <c r="E508" s="192">
        <v>1.147121949903263</v>
      </c>
      <c r="F508" s="192">
        <v>74596.847250761304</v>
      </c>
      <c r="G508" s="192">
        <v>-0.25968866385381362</v>
      </c>
      <c r="H508" s="203">
        <v>0.25968866385381362</v>
      </c>
      <c r="I508" s="192">
        <v>-31531.509232496202</v>
      </c>
      <c r="K508" s="202">
        <v>-118761.04232203693</v>
      </c>
      <c r="L508" s="202">
        <v>-160290.56511290497</v>
      </c>
      <c r="M508" s="221">
        <v>41529.522790868039</v>
      </c>
      <c r="N508" s="221">
        <v>41529.522790868024</v>
      </c>
      <c r="O508" s="221">
        <v>-121420.43000477763</v>
      </c>
      <c r="Q508" s="204">
        <f t="shared" si="7"/>
        <v>0</v>
      </c>
      <c r="R508" s="204">
        <f>IF(MAX(K509:L509)=K509,1,0)</f>
        <v>1</v>
      </c>
    </row>
    <row r="509" spans="1:18" x14ac:dyDescent="0.3">
      <c r="A509" s="110">
        <v>504</v>
      </c>
      <c r="C509" s="191">
        <v>1.2107447615120042</v>
      </c>
      <c r="D509" s="192">
        <v>132660.32830767904</v>
      </c>
      <c r="E509" s="192">
        <v>0.9842268128029662</v>
      </c>
      <c r="F509" s="192">
        <v>89862.431683629038</v>
      </c>
      <c r="G509" s="192">
        <v>-0.22651794870903796</v>
      </c>
      <c r="H509" s="203">
        <v>0.22651794870903796</v>
      </c>
      <c r="I509" s="192">
        <v>-42797.896624050001</v>
      </c>
      <c r="K509" s="202">
        <v>-127755.16397654323</v>
      </c>
      <c r="L509" s="202">
        <v>-179274.00162589119</v>
      </c>
      <c r="M509" s="221">
        <v>51518.837649347959</v>
      </c>
      <c r="N509" s="221">
        <v>51518.837649347959</v>
      </c>
      <c r="O509" s="221">
        <v>-188938.21380584658</v>
      </c>
      <c r="Q509" s="204">
        <f t="shared" si="7"/>
        <v>0</v>
      </c>
      <c r="R509" s="204">
        <f>IF(MAX(K510:L510)=K510,1,0)</f>
        <v>1</v>
      </c>
    </row>
    <row r="510" spans="1:18" x14ac:dyDescent="0.3">
      <c r="A510" s="110">
        <v>505</v>
      </c>
      <c r="C510" s="191">
        <v>1.5577500833870264</v>
      </c>
      <c r="D510" s="192">
        <v>129967.33594079691</v>
      </c>
      <c r="E510" s="192">
        <v>1.4107035142525943</v>
      </c>
      <c r="F510" s="192">
        <v>92314.294610450088</v>
      </c>
      <c r="G510" s="192">
        <v>-0.14704656913443204</v>
      </c>
      <c r="H510" s="203">
        <v>0.14704656913443204</v>
      </c>
      <c r="I510" s="192">
        <v>-37653.041330346823</v>
      </c>
      <c r="K510" s="202">
        <v>-146626.37990917498</v>
      </c>
      <c r="L510" s="202">
        <v>-189940.71415119743</v>
      </c>
      <c r="M510" s="221">
        <v>43314.334242022451</v>
      </c>
      <c r="N510" s="221">
        <v>43314.334242022458</v>
      </c>
      <c r="O510" s="221">
        <v>-256062.01866514739</v>
      </c>
      <c r="Q510" s="204">
        <f t="shared" si="7"/>
        <v>0</v>
      </c>
      <c r="R510" s="204">
        <f>IF(MAX(K511:L511)=K511,1,0)</f>
        <v>1</v>
      </c>
    </row>
    <row r="511" spans="1:18" x14ac:dyDescent="0.3">
      <c r="A511" s="110">
        <v>506</v>
      </c>
      <c r="C511" s="191">
        <v>1.372888116561422</v>
      </c>
      <c r="D511" s="192">
        <v>100478.9222764992</v>
      </c>
      <c r="E511" s="192">
        <v>1.2983265706054787</v>
      </c>
      <c r="F511" s="192">
        <v>81813.966052204341</v>
      </c>
      <c r="G511" s="192">
        <v>-7.456154595594322E-2</v>
      </c>
      <c r="H511" s="203">
        <v>7.456154595594322E-2</v>
      </c>
      <c r="I511" s="192">
        <v>-18664.95622429486</v>
      </c>
      <c r="K511" s="202">
        <v>-131799.53902051528</v>
      </c>
      <c r="L511" s="202">
        <v>-153335.11476411394</v>
      </c>
      <c r="M511" s="221">
        <v>21535.57574359866</v>
      </c>
      <c r="N511" s="221">
        <v>21535.575743598674</v>
      </c>
      <c r="O511" s="221">
        <v>-250329.52287930794</v>
      </c>
      <c r="Q511" s="204">
        <f t="shared" si="7"/>
        <v>0</v>
      </c>
      <c r="R511" s="204">
        <f>IF(MAX(K512:L512)=K512,1,0)</f>
        <v>1</v>
      </c>
    </row>
    <row r="512" spans="1:18" x14ac:dyDescent="0.3">
      <c r="A512" s="110">
        <v>507</v>
      </c>
      <c r="C512" s="191">
        <v>1.468408871962767</v>
      </c>
      <c r="D512" s="192">
        <v>117779.30932939028</v>
      </c>
      <c r="E512" s="192">
        <v>1.2927443454796259</v>
      </c>
      <c r="F512" s="192">
        <v>87790.29429284083</v>
      </c>
      <c r="G512" s="192">
        <v>-0.17566452648314113</v>
      </c>
      <c r="H512" s="203">
        <v>0.17566452648314113</v>
      </c>
      <c r="I512" s="192">
        <v>-29989.015036549448</v>
      </c>
      <c r="K512" s="202">
        <v>-137560.95159380644</v>
      </c>
      <c r="L512" s="202">
        <v>-174313.05089995681</v>
      </c>
      <c r="M512" s="221">
        <v>36752.099306150369</v>
      </c>
      <c r="N512" s="221">
        <v>36752.099306150383</v>
      </c>
      <c r="O512" s="221">
        <v>-170717.53550326254</v>
      </c>
      <c r="Q512" s="204">
        <f t="shared" si="7"/>
        <v>0</v>
      </c>
      <c r="R512" s="204">
        <f>IF(MAX(K513:L513)=K513,1,0)</f>
        <v>1</v>
      </c>
    </row>
    <row r="513" spans="1:18" x14ac:dyDescent="0.3">
      <c r="A513" s="110">
        <v>508</v>
      </c>
      <c r="C513" s="191">
        <v>1.1298552708243572</v>
      </c>
      <c r="D513" s="192">
        <v>146857.77583189955</v>
      </c>
      <c r="E513" s="192">
        <v>0.9174717149913153</v>
      </c>
      <c r="F513" s="192">
        <v>99683.044754548246</v>
      </c>
      <c r="G513" s="192">
        <v>-0.21238355583304191</v>
      </c>
      <c r="H513" s="203">
        <v>0.21238355583304191</v>
      </c>
      <c r="I513" s="192">
        <v>-47174.731077351302</v>
      </c>
      <c r="K513" s="202">
        <v>-135005.70578171388</v>
      </c>
      <c r="L513" s="202">
        <v>-190357.2037586373</v>
      </c>
      <c r="M513" s="221">
        <v>55351.49797692342</v>
      </c>
      <c r="N513" s="221">
        <v>55351.497976923412</v>
      </c>
      <c r="O513" s="221">
        <v>-222120.45039134813</v>
      </c>
      <c r="Q513" s="204">
        <f t="shared" si="7"/>
        <v>0</v>
      </c>
      <c r="R513" s="204">
        <f>IF(MAX(K514:L514)=K514,1,0)</f>
        <v>1</v>
      </c>
    </row>
    <row r="514" spans="1:18" x14ac:dyDescent="0.3">
      <c r="A514" s="110">
        <v>509</v>
      </c>
      <c r="C514" s="191">
        <v>1.2444756120218943</v>
      </c>
      <c r="D514" s="192">
        <v>102602.9838094286</v>
      </c>
      <c r="E514" s="192">
        <v>1.0613831560176439</v>
      </c>
      <c r="F514" s="192">
        <v>71142.424285047935</v>
      </c>
      <c r="G514" s="192">
        <v>-0.18309245600425039</v>
      </c>
      <c r="H514" s="203">
        <v>0.18309245600425039</v>
      </c>
      <c r="I514" s="192">
        <v>-31460.55952438066</v>
      </c>
      <c r="K514" s="202">
        <v>-112005.67579172723</v>
      </c>
      <c r="L514" s="202">
        <v>-150515.29487227154</v>
      </c>
      <c r="M514" s="221">
        <v>38509.619080544304</v>
      </c>
      <c r="N514" s="221">
        <v>38509.619080544304</v>
      </c>
      <c r="O514" s="221">
        <v>-171828.81376418</v>
      </c>
      <c r="Q514" s="204">
        <f t="shared" si="7"/>
        <v>0</v>
      </c>
      <c r="R514" s="204">
        <f>IF(MAX(K515:L515)=K515,1,0)</f>
        <v>1</v>
      </c>
    </row>
    <row r="515" spans="1:18" x14ac:dyDescent="0.3">
      <c r="A515" s="110">
        <v>510</v>
      </c>
      <c r="C515" s="191">
        <v>1.3330367443341693</v>
      </c>
      <c r="D515" s="192">
        <v>97304.390938396376</v>
      </c>
      <c r="E515" s="192">
        <v>1.1516083151066128</v>
      </c>
      <c r="F515" s="192">
        <v>67862.925180055943</v>
      </c>
      <c r="G515" s="192">
        <v>-0.18142842922755653</v>
      </c>
      <c r="H515" s="203">
        <v>0.18142842922755653</v>
      </c>
      <c r="I515" s="192">
        <v>-29441.465758340433</v>
      </c>
      <c r="K515" s="202">
        <v>-112199.84531166054</v>
      </c>
      <c r="L515" s="202">
        <v>-148626.30559526189</v>
      </c>
      <c r="M515" s="221">
        <v>36426.460283601351</v>
      </c>
      <c r="N515" s="221">
        <v>36426.460283601358</v>
      </c>
      <c r="O515" s="221">
        <v>-162275.92270786563</v>
      </c>
      <c r="Q515" s="204">
        <f t="shared" si="7"/>
        <v>0</v>
      </c>
      <c r="R515" s="204">
        <f>IF(MAX(K516:L516)=K516,1,0)</f>
        <v>1</v>
      </c>
    </row>
    <row r="516" spans="1:18" x14ac:dyDescent="0.3">
      <c r="A516" s="110">
        <v>511</v>
      </c>
      <c r="C516" s="191">
        <v>1.819190942258861</v>
      </c>
      <c r="D516" s="192">
        <v>136207.5944696638</v>
      </c>
      <c r="E516" s="192">
        <v>1.7259851147202996</v>
      </c>
      <c r="F516" s="192">
        <v>110616.60651872859</v>
      </c>
      <c r="G516" s="192">
        <v>-9.3205827538561437E-2</v>
      </c>
      <c r="H516" s="203">
        <v>9.3205827538561437E-2</v>
      </c>
      <c r="I516" s="192">
        <v>-25590.987950935218</v>
      </c>
      <c r="K516" s="202">
        <v>-177067.03343546012</v>
      </c>
      <c r="L516" s="202">
        <v>-206246.44574662996</v>
      </c>
      <c r="M516" s="221">
        <v>29179.412311169843</v>
      </c>
      <c r="N516" s="221">
        <v>29179.412311169832</v>
      </c>
      <c r="O516" s="221">
        <v>-274564.24803854269</v>
      </c>
      <c r="Q516" s="204">
        <f t="shared" si="7"/>
        <v>0</v>
      </c>
      <c r="R516" s="204">
        <f>IF(MAX(K517:L517)=K517,1,0)</f>
        <v>1</v>
      </c>
    </row>
    <row r="517" spans="1:18" x14ac:dyDescent="0.3">
      <c r="A517" s="110">
        <v>512</v>
      </c>
      <c r="C517" s="191">
        <v>1.2581535529807402</v>
      </c>
      <c r="D517" s="192">
        <v>124965.53786777915</v>
      </c>
      <c r="E517" s="192">
        <v>1.1485054391244052</v>
      </c>
      <c r="F517" s="192">
        <v>103266.74515558878</v>
      </c>
      <c r="G517" s="192">
        <v>-0.10964811385633499</v>
      </c>
      <c r="H517" s="203">
        <v>0.10964811385633499</v>
      </c>
      <c r="I517" s="192">
        <v>-21698.792712190363</v>
      </c>
      <c r="K517" s="202">
        <v>-147484.20456187837</v>
      </c>
      <c r="L517" s="202">
        <v>-173404.44965753763</v>
      </c>
      <c r="M517" s="221">
        <v>25920.245095659251</v>
      </c>
      <c r="N517" s="221">
        <v>25920.245095659258</v>
      </c>
      <c r="O517" s="221">
        <v>-197894.81049004567</v>
      </c>
      <c r="Q517" s="204">
        <f t="shared" si="7"/>
        <v>0</v>
      </c>
      <c r="R517" s="204">
        <f>IF(MAX(K518:L518)=K518,1,0)</f>
        <v>1</v>
      </c>
    </row>
    <row r="518" spans="1:18" x14ac:dyDescent="0.3">
      <c r="A518" s="110">
        <v>513</v>
      </c>
      <c r="C518" s="191">
        <v>1.2020115648605727</v>
      </c>
      <c r="D518" s="192">
        <v>131908.22543969637</v>
      </c>
      <c r="E518" s="192">
        <v>1.0692589922704032</v>
      </c>
      <c r="F518" s="192">
        <v>101831.72470194555</v>
      </c>
      <c r="G518" s="192">
        <v>-0.13275257259016948</v>
      </c>
      <c r="H518" s="203">
        <v>0.13275257259016948</v>
      </c>
      <c r="I518" s="192">
        <v>-30076.500737750815</v>
      </c>
      <c r="K518" s="202">
        <v>-142998.19590435608</v>
      </c>
      <c r="L518" s="202">
        <v>-178185.67068682841</v>
      </c>
      <c r="M518" s="221">
        <v>35187.474782472331</v>
      </c>
      <c r="N518" s="221">
        <v>35187.474782472338</v>
      </c>
      <c r="O518" s="221">
        <v>-226560.58674359749</v>
      </c>
      <c r="Q518" s="204">
        <f t="shared" si="7"/>
        <v>0</v>
      </c>
      <c r="R518" s="204">
        <f>IF(MAX(K519:L519)=K519,1,0)</f>
        <v>1</v>
      </c>
    </row>
    <row r="519" spans="1:18" x14ac:dyDescent="0.3">
      <c r="A519" s="110">
        <v>514</v>
      </c>
      <c r="C519" s="191">
        <v>1.7645790613595682</v>
      </c>
      <c r="D519" s="192">
        <v>139727.03538041617</v>
      </c>
      <c r="E519" s="192">
        <v>1.6783278694942627</v>
      </c>
      <c r="F519" s="192">
        <v>107309.111090383</v>
      </c>
      <c r="G519" s="192">
        <v>-8.6251191865305499E-2</v>
      </c>
      <c r="H519" s="203">
        <v>8.6251191865305499E-2</v>
      </c>
      <c r="I519" s="192">
        <v>-32417.924290033174</v>
      </c>
      <c r="K519" s="202">
        <v>-171924.73406591211</v>
      </c>
      <c r="L519" s="202">
        <v>-207663.32924275956</v>
      </c>
      <c r="M519" s="221">
        <v>35738.595176847448</v>
      </c>
      <c r="N519" s="221">
        <v>35738.595176847433</v>
      </c>
      <c r="O519" s="221">
        <v>-375854.79793321289</v>
      </c>
      <c r="Q519" s="204">
        <f t="shared" ref="Q519:Q582" si="8">IF(MAX(K519:L519)=L519,1,0)</f>
        <v>0</v>
      </c>
      <c r="R519" s="204">
        <f>IF(MAX(K520:L520)=K520,1,0)</f>
        <v>1</v>
      </c>
    </row>
    <row r="520" spans="1:18" x14ac:dyDescent="0.3">
      <c r="A520" s="110">
        <v>515</v>
      </c>
      <c r="C520" s="191">
        <v>1.4842333970632466</v>
      </c>
      <c r="D520" s="192">
        <v>127252.67895455779</v>
      </c>
      <c r="E520" s="192">
        <v>1.204161169841129</v>
      </c>
      <c r="F520" s="192">
        <v>78035.784093851966</v>
      </c>
      <c r="G520" s="192">
        <v>-0.28007222722211766</v>
      </c>
      <c r="H520" s="203">
        <v>0.28007222722211766</v>
      </c>
      <c r="I520" s="192">
        <v>-49216.894860705826</v>
      </c>
      <c r="K520" s="202">
        <v>-124395.98913273544</v>
      </c>
      <c r="L520" s="202">
        <v>-184395.66474149277</v>
      </c>
      <c r="M520" s="221">
        <v>59999.67560875733</v>
      </c>
      <c r="N520" s="221">
        <v>59999.675608757359</v>
      </c>
      <c r="O520" s="221">
        <v>-175729.29436403292</v>
      </c>
      <c r="Q520" s="204">
        <f t="shared" si="8"/>
        <v>0</v>
      </c>
      <c r="R520" s="204">
        <f>IF(MAX(K521:L521)=K521,1,0)</f>
        <v>1</v>
      </c>
    </row>
    <row r="521" spans="1:18" x14ac:dyDescent="0.3">
      <c r="A521" s="110">
        <v>516</v>
      </c>
      <c r="C521" s="191">
        <v>1.626076721349456</v>
      </c>
      <c r="D521" s="192">
        <v>111384.50092284668</v>
      </c>
      <c r="E521" s="192">
        <v>1.5614568699075642</v>
      </c>
      <c r="F521" s="192">
        <v>86691.443371808055</v>
      </c>
      <c r="G521" s="192">
        <v>-6.4619851441891862E-2</v>
      </c>
      <c r="H521" s="203">
        <v>6.4619851441891862E-2</v>
      </c>
      <c r="I521" s="192">
        <v>-24693.057551038626</v>
      </c>
      <c r="K521" s="202">
        <v>-146807.53286324927</v>
      </c>
      <c r="L521" s="202">
        <v>-173988.45469480075</v>
      </c>
      <c r="M521" s="221">
        <v>27180.921831551474</v>
      </c>
      <c r="N521" s="221">
        <v>27180.921831551463</v>
      </c>
      <c r="O521" s="221">
        <v>-382128.04579477216</v>
      </c>
      <c r="Q521" s="204">
        <f t="shared" si="8"/>
        <v>0</v>
      </c>
      <c r="R521" s="204">
        <f>IF(MAX(K522:L522)=K522,1,0)</f>
        <v>1</v>
      </c>
    </row>
    <row r="522" spans="1:18" x14ac:dyDescent="0.3">
      <c r="A522" s="110">
        <v>517</v>
      </c>
      <c r="C522" s="191">
        <v>1.3571728219088803</v>
      </c>
      <c r="D522" s="192">
        <v>104987.6210739067</v>
      </c>
      <c r="E522" s="192">
        <v>1.2746389884300968</v>
      </c>
      <c r="F522" s="192">
        <v>80936.415141048652</v>
      </c>
      <c r="G522" s="192">
        <v>-8.2533833478783514E-2</v>
      </c>
      <c r="H522" s="203">
        <v>8.2533833478783514E-2</v>
      </c>
      <c r="I522" s="192">
        <v>-24051.205932858051</v>
      </c>
      <c r="K522" s="202">
        <v>-130010.01619560737</v>
      </c>
      <c r="L522" s="202">
        <v>-157238.7747173986</v>
      </c>
      <c r="M522" s="221">
        <v>27228.758521791227</v>
      </c>
      <c r="N522" s="221">
        <v>27228.758521791216</v>
      </c>
      <c r="O522" s="221">
        <v>-291410.26072708418</v>
      </c>
      <c r="Q522" s="204">
        <f t="shared" si="8"/>
        <v>0</v>
      </c>
      <c r="R522" s="204">
        <f>IF(MAX(K523:L523)=K523,1,0)</f>
        <v>1</v>
      </c>
    </row>
    <row r="523" spans="1:18" x14ac:dyDescent="0.3">
      <c r="A523" s="110">
        <v>518</v>
      </c>
      <c r="C523" s="191">
        <v>1.3763247116027633</v>
      </c>
      <c r="D523" s="192">
        <v>111153.99142326413</v>
      </c>
      <c r="E523" s="192">
        <v>1.2059316143874237</v>
      </c>
      <c r="F523" s="192">
        <v>74278.967503134074</v>
      </c>
      <c r="G523" s="192">
        <v>-0.17039309721533957</v>
      </c>
      <c r="H523" s="203">
        <v>0.17039309721533957</v>
      </c>
      <c r="I523" s="192">
        <v>-36875.023920130057</v>
      </c>
      <c r="K523" s="202">
        <v>-120707.33465704988</v>
      </c>
      <c r="L523" s="202">
        <v>-164142.49281997053</v>
      </c>
      <c r="M523" s="221">
        <v>43435.158162920648</v>
      </c>
      <c r="N523" s="221">
        <v>43435.158162920634</v>
      </c>
      <c r="O523" s="221">
        <v>-216411.48921383885</v>
      </c>
      <c r="Q523" s="204">
        <f t="shared" si="8"/>
        <v>0</v>
      </c>
      <c r="R523" s="204">
        <f>IF(MAX(K524:L524)=K524,1,0)</f>
        <v>1</v>
      </c>
    </row>
    <row r="524" spans="1:18" x14ac:dyDescent="0.3">
      <c r="A524" s="110">
        <v>519</v>
      </c>
      <c r="C524" s="191">
        <v>1.2149740437079695</v>
      </c>
      <c r="D524" s="192">
        <v>122831.65478742801</v>
      </c>
      <c r="E524" s="192">
        <v>1.0502847299933711</v>
      </c>
      <c r="F524" s="192">
        <v>85624.923941710396</v>
      </c>
      <c r="G524" s="192">
        <v>-0.16468931371459838</v>
      </c>
      <c r="H524" s="203">
        <v>0.16468931371459838</v>
      </c>
      <c r="I524" s="192">
        <v>-37206.730845717611</v>
      </c>
      <c r="K524" s="202">
        <v>-126060.88604645518</v>
      </c>
      <c r="L524" s="202">
        <v>-169608.15547018484</v>
      </c>
      <c r="M524" s="221">
        <v>43547.269423729653</v>
      </c>
      <c r="N524" s="221">
        <v>43547.269423729653</v>
      </c>
      <c r="O524" s="221">
        <v>-225920.73527123779</v>
      </c>
      <c r="Q524" s="204">
        <f t="shared" si="8"/>
        <v>0</v>
      </c>
      <c r="R524" s="204">
        <f>IF(MAX(K525:L525)=K525,1,0)</f>
        <v>1</v>
      </c>
    </row>
    <row r="525" spans="1:18" x14ac:dyDescent="0.3">
      <c r="A525" s="110">
        <v>520</v>
      </c>
      <c r="C525" s="191">
        <v>1.4349424146509708</v>
      </c>
      <c r="D525" s="192">
        <v>99397.228908505509</v>
      </c>
      <c r="E525" s="192">
        <v>1.3057515462818554</v>
      </c>
      <c r="F525" s="192">
        <v>75321.234426523748</v>
      </c>
      <c r="G525" s="192">
        <v>-0.12919086836911542</v>
      </c>
      <c r="H525" s="203">
        <v>0.12919086836911542</v>
      </c>
      <c r="I525" s="192">
        <v>-24075.994481981761</v>
      </c>
      <c r="K525" s="202">
        <v>-125592.66895837517</v>
      </c>
      <c r="L525" s="202">
        <v>-154642.51187256788</v>
      </c>
      <c r="M525" s="221">
        <v>29049.842914192704</v>
      </c>
      <c r="N525" s="221">
        <v>29049.842914192704</v>
      </c>
      <c r="O525" s="221">
        <v>-186359.87810836179</v>
      </c>
      <c r="Q525" s="204">
        <f t="shared" si="8"/>
        <v>0</v>
      </c>
      <c r="R525" s="204">
        <f>IF(MAX(K526:L526)=K526,1,0)</f>
        <v>1</v>
      </c>
    </row>
    <row r="526" spans="1:18" x14ac:dyDescent="0.3">
      <c r="A526" s="110">
        <v>521</v>
      </c>
      <c r="C526" s="191">
        <v>1.2220830838807406</v>
      </c>
      <c r="D526" s="192">
        <v>80286.453347503499</v>
      </c>
      <c r="E526" s="192">
        <v>1.0842863153537774</v>
      </c>
      <c r="F526" s="192">
        <v>55357.54277804061</v>
      </c>
      <c r="G526" s="192">
        <v>-0.13779676852696321</v>
      </c>
      <c r="H526" s="203">
        <v>0.13779676852696321</v>
      </c>
      <c r="I526" s="192">
        <v>-24928.910569462889</v>
      </c>
      <c r="K526" s="202">
        <v>-97102.565919161047</v>
      </c>
      <c r="L526" s="202">
        <v>-127336.65207691201</v>
      </c>
      <c r="M526" s="221">
        <v>30234.086157750964</v>
      </c>
      <c r="N526" s="221">
        <v>30234.086157750971</v>
      </c>
      <c r="O526" s="221">
        <v>-180910.70520703073</v>
      </c>
      <c r="Q526" s="204">
        <f t="shared" si="8"/>
        <v>0</v>
      </c>
      <c r="R526" s="204">
        <f>IF(MAX(K527:L527)=K527,1,0)</f>
        <v>1</v>
      </c>
    </row>
    <row r="527" spans="1:18" x14ac:dyDescent="0.3">
      <c r="A527" s="110">
        <v>522</v>
      </c>
      <c r="C527" s="191">
        <v>1.0730795370476238</v>
      </c>
      <c r="D527" s="192">
        <v>98509.801300687206</v>
      </c>
      <c r="E527" s="192">
        <v>0.95253008708834253</v>
      </c>
      <c r="F527" s="192">
        <v>69725.805286104791</v>
      </c>
      <c r="G527" s="192">
        <v>-0.1205494499592813</v>
      </c>
      <c r="H527" s="203">
        <v>0.1205494499592813</v>
      </c>
      <c r="I527" s="192">
        <v>-28783.996014582415</v>
      </c>
      <c r="K527" s="202">
        <v>-106398.21363900597</v>
      </c>
      <c r="L527" s="202">
        <v>-139823.36347702073</v>
      </c>
      <c r="M527" s="221">
        <v>33425.149838014753</v>
      </c>
      <c r="N527" s="221">
        <v>33425.149838014746</v>
      </c>
      <c r="O527" s="221">
        <v>-238773.35005929065</v>
      </c>
      <c r="Q527" s="204">
        <f t="shared" si="8"/>
        <v>0</v>
      </c>
      <c r="R527" s="204">
        <f>IF(MAX(K528:L528)=K528,1,0)</f>
        <v>1</v>
      </c>
    </row>
    <row r="528" spans="1:18" x14ac:dyDescent="0.3">
      <c r="A528" s="110">
        <v>523</v>
      </c>
      <c r="C528" s="191">
        <v>1.0677715973027022</v>
      </c>
      <c r="D528" s="192">
        <v>136005.20095861235</v>
      </c>
      <c r="E528" s="192">
        <v>1.0345784345147109</v>
      </c>
      <c r="F528" s="192">
        <v>110425.6378448507</v>
      </c>
      <c r="G528" s="192">
        <v>-3.3193162787991337E-2</v>
      </c>
      <c r="H528" s="203">
        <v>3.3193162787991337E-2</v>
      </c>
      <c r="I528" s="192">
        <v>-25579.563113761644</v>
      </c>
      <c r="K528" s="202">
        <v>-150256.90757366706</v>
      </c>
      <c r="L528" s="202">
        <v>-177114.40745476639</v>
      </c>
      <c r="M528" s="221">
        <v>26857.499881099327</v>
      </c>
      <c r="N528" s="221">
        <v>26857.499881099309</v>
      </c>
      <c r="O528" s="221">
        <v>-770627.47160134581</v>
      </c>
      <c r="Q528" s="204">
        <f t="shared" si="8"/>
        <v>0</v>
      </c>
      <c r="R528" s="204">
        <f>IF(MAX(K529:L529)=K529,1,0)</f>
        <v>1</v>
      </c>
    </row>
    <row r="529" spans="1:18" x14ac:dyDescent="0.3">
      <c r="A529" s="110">
        <v>524</v>
      </c>
      <c r="C529" s="191">
        <v>1.3032067992054253</v>
      </c>
      <c r="D529" s="192">
        <v>116693.03262061565</v>
      </c>
      <c r="E529" s="192">
        <v>1.1693135966227528</v>
      </c>
      <c r="F529" s="192">
        <v>75553.887532480469</v>
      </c>
      <c r="G529" s="192">
        <v>-0.13389320258267245</v>
      </c>
      <c r="H529" s="203">
        <v>0.13389320258267245</v>
      </c>
      <c r="I529" s="192">
        <v>-41139.145088135178</v>
      </c>
      <c r="K529" s="202">
        <v>-120572.46100245646</v>
      </c>
      <c r="L529" s="202">
        <v>-166866.49439002451</v>
      </c>
      <c r="M529" s="221">
        <v>46294.033387568052</v>
      </c>
      <c r="N529" s="221">
        <v>46294.033387568066</v>
      </c>
      <c r="O529" s="221">
        <v>-307253.42507760081</v>
      </c>
      <c r="Q529" s="204">
        <f t="shared" si="8"/>
        <v>0</v>
      </c>
      <c r="R529" s="204">
        <f>IF(MAX(K530:L530)=K530,1,0)</f>
        <v>1</v>
      </c>
    </row>
    <row r="530" spans="1:18" x14ac:dyDescent="0.3">
      <c r="A530" s="110">
        <v>525</v>
      </c>
      <c r="C530" s="191">
        <v>1.3919132333685555</v>
      </c>
      <c r="D530" s="192">
        <v>172487.83425941641</v>
      </c>
      <c r="E530" s="192">
        <v>1.2625962148196088</v>
      </c>
      <c r="F530" s="192">
        <v>141292.30139766258</v>
      </c>
      <c r="G530" s="192">
        <v>-0.12931701854894673</v>
      </c>
      <c r="H530" s="203">
        <v>0.12931701854894673</v>
      </c>
      <c r="I530" s="192">
        <v>-31195.532861753833</v>
      </c>
      <c r="K530" s="202">
        <v>-189902.25566821752</v>
      </c>
      <c r="L530" s="202">
        <v>-226076.4937441058</v>
      </c>
      <c r="M530" s="221">
        <v>36174.238075888279</v>
      </c>
      <c r="N530" s="221">
        <v>36174.238075888279</v>
      </c>
      <c r="O530" s="221">
        <v>-241233.0040685733</v>
      </c>
      <c r="Q530" s="204">
        <f t="shared" si="8"/>
        <v>0</v>
      </c>
      <c r="R530" s="204">
        <f>IF(MAX(K531:L531)=K531,1,0)</f>
        <v>1</v>
      </c>
    </row>
    <row r="531" spans="1:18" x14ac:dyDescent="0.3">
      <c r="A531" s="110">
        <v>526</v>
      </c>
      <c r="C531" s="191">
        <v>1.1351558648353914</v>
      </c>
      <c r="D531" s="192">
        <v>125864.24822298301</v>
      </c>
      <c r="E531" s="192">
        <v>0.99184737681779633</v>
      </c>
      <c r="F531" s="192">
        <v>100155.59502355482</v>
      </c>
      <c r="G531" s="192">
        <v>-0.1433084880175951</v>
      </c>
      <c r="H531" s="203">
        <v>0.1433084880175951</v>
      </c>
      <c r="I531" s="192">
        <v>-25708.653199428183</v>
      </c>
      <c r="K531" s="202">
        <v>-138341.71903103997</v>
      </c>
      <c r="L531" s="202">
        <v>-169567.74901914556</v>
      </c>
      <c r="M531" s="221">
        <v>31226.029988105583</v>
      </c>
      <c r="N531" s="221">
        <v>31226.029988105594</v>
      </c>
      <c r="O531" s="221">
        <v>-179393.792754772</v>
      </c>
      <c r="Q531" s="204">
        <f t="shared" si="8"/>
        <v>0</v>
      </c>
      <c r="R531" s="204">
        <f>IF(MAX(K532:L532)=K532,1,0)</f>
        <v>1</v>
      </c>
    </row>
    <row r="532" spans="1:18" x14ac:dyDescent="0.3">
      <c r="A532" s="110">
        <v>527</v>
      </c>
      <c r="C532" s="191">
        <v>1.3442187624003412</v>
      </c>
      <c r="D532" s="192">
        <v>109496.2004851784</v>
      </c>
      <c r="E532" s="192">
        <v>1.2452816004415481</v>
      </c>
      <c r="F532" s="192">
        <v>80644.108636100107</v>
      </c>
      <c r="G532" s="192">
        <v>-9.8937161958793096E-2</v>
      </c>
      <c r="H532" s="203">
        <v>9.8937161958793096E-2</v>
      </c>
      <c r="I532" s="192">
        <v>-28852.091849078293</v>
      </c>
      <c r="K532" s="202">
        <v>-128587.45025309971</v>
      </c>
      <c r="L532" s="202">
        <v>-161248.62283759154</v>
      </c>
      <c r="M532" s="221">
        <v>32661.172584491826</v>
      </c>
      <c r="N532" s="221">
        <v>32661.172584491826</v>
      </c>
      <c r="O532" s="221">
        <v>-291620.37072677573</v>
      </c>
      <c r="Q532" s="204">
        <f t="shared" si="8"/>
        <v>0</v>
      </c>
      <c r="R532" s="204">
        <f>IF(MAX(K533:L533)=K533,1,0)</f>
        <v>1</v>
      </c>
    </row>
    <row r="533" spans="1:18" x14ac:dyDescent="0.3">
      <c r="A533" s="110">
        <v>528</v>
      </c>
      <c r="C533" s="191">
        <v>1.1881086469224991</v>
      </c>
      <c r="D533" s="192">
        <v>115102.89721881141</v>
      </c>
      <c r="E533" s="192">
        <v>1.073852020481519</v>
      </c>
      <c r="F533" s="192">
        <v>94294.100641525059</v>
      </c>
      <c r="G533" s="192">
        <v>-0.11425662644098011</v>
      </c>
      <c r="H533" s="203">
        <v>0.11425662644098011</v>
      </c>
      <c r="I533" s="192">
        <v>-20808.796577286354</v>
      </c>
      <c r="K533" s="202">
        <v>-135637.40343006354</v>
      </c>
      <c r="L533" s="202">
        <v>-160845.08012532763</v>
      </c>
      <c r="M533" s="221">
        <v>25207.67669526409</v>
      </c>
      <c r="N533" s="221">
        <v>25207.67669526409</v>
      </c>
      <c r="O533" s="221">
        <v>-182123.32383220899</v>
      </c>
      <c r="Q533" s="204">
        <f t="shared" si="8"/>
        <v>0</v>
      </c>
      <c r="R533" s="204">
        <f>IF(MAX(K534:L534)=K534,1,0)</f>
        <v>1</v>
      </c>
    </row>
    <row r="534" spans="1:18" x14ac:dyDescent="0.3">
      <c r="A534" s="110">
        <v>529</v>
      </c>
      <c r="C534" s="191">
        <v>1.2642795203449484</v>
      </c>
      <c r="D534" s="192">
        <v>115357.13358800997</v>
      </c>
      <c r="E534" s="192">
        <v>1.1571601906746387</v>
      </c>
      <c r="F534" s="192">
        <v>84897.455947214723</v>
      </c>
      <c r="G534" s="192">
        <v>-0.10711932967030968</v>
      </c>
      <c r="H534" s="203">
        <v>0.10711932967030968</v>
      </c>
      <c r="I534" s="192">
        <v>-30459.677640795242</v>
      </c>
      <c r="K534" s="202">
        <v>-129448.1232881883</v>
      </c>
      <c r="L534" s="202">
        <v>-164031.89512129046</v>
      </c>
      <c r="M534" s="221">
        <v>34583.771833102161</v>
      </c>
      <c r="N534" s="221">
        <v>34583.771833102168</v>
      </c>
      <c r="O534" s="221">
        <v>-284352.76559836208</v>
      </c>
      <c r="Q534" s="204">
        <f t="shared" si="8"/>
        <v>0</v>
      </c>
      <c r="R534" s="204">
        <f>IF(MAX(K535:L535)=K535,1,0)</f>
        <v>1</v>
      </c>
    </row>
    <row r="535" spans="1:18" x14ac:dyDescent="0.3">
      <c r="A535" s="110">
        <v>530</v>
      </c>
      <c r="C535" s="191">
        <v>1.1484312315985499</v>
      </c>
      <c r="D535" s="192">
        <v>136055.28257590256</v>
      </c>
      <c r="E535" s="192">
        <v>0.93660072121881333</v>
      </c>
      <c r="F535" s="192">
        <v>103878.02537717862</v>
      </c>
      <c r="G535" s="192">
        <v>-0.21183051037973655</v>
      </c>
      <c r="H535" s="203">
        <v>0.21183051037973655</v>
      </c>
      <c r="I535" s="192">
        <v>-32177.257198723935</v>
      </c>
      <c r="K535" s="202">
        <v>-139937.15314410295</v>
      </c>
      <c r="L535" s="202">
        <v>-180269.88499244672</v>
      </c>
      <c r="M535" s="221">
        <v>40332.73184834377</v>
      </c>
      <c r="N535" s="221">
        <v>40332.731848343792</v>
      </c>
      <c r="O535" s="221">
        <v>-151900.95676511183</v>
      </c>
      <c r="Q535" s="204">
        <f t="shared" si="8"/>
        <v>0</v>
      </c>
      <c r="R535" s="204">
        <f>IF(MAX(K536:L536)=K536,1,0)</f>
        <v>1</v>
      </c>
    </row>
    <row r="536" spans="1:18" x14ac:dyDescent="0.3">
      <c r="A536" s="110">
        <v>531</v>
      </c>
      <c r="C536" s="191">
        <v>1.1665090611324271</v>
      </c>
      <c r="D536" s="192">
        <v>109192.23057283057</v>
      </c>
      <c r="E536" s="192">
        <v>1.0425883824692099</v>
      </c>
      <c r="F536" s="192">
        <v>78765.731166374302</v>
      </c>
      <c r="G536" s="192">
        <v>-0.12392067866321721</v>
      </c>
      <c r="H536" s="203">
        <v>0.12392067866321721</v>
      </c>
      <c r="I536" s="192">
        <v>-30426.499406456263</v>
      </c>
      <c r="K536" s="202">
        <v>-118905.38389143889</v>
      </c>
      <c r="L536" s="202">
        <v>-154102.829426429</v>
      </c>
      <c r="M536" s="221">
        <v>35197.445534990111</v>
      </c>
      <c r="N536" s="221">
        <v>35197.445534990125</v>
      </c>
      <c r="O536" s="221">
        <v>-245532.0591742984</v>
      </c>
      <c r="Q536" s="204">
        <f t="shared" si="8"/>
        <v>0</v>
      </c>
      <c r="R536" s="204">
        <f>IF(MAX(K537:L537)=K537,1,0)</f>
        <v>1</v>
      </c>
    </row>
    <row r="537" spans="1:18" x14ac:dyDescent="0.3">
      <c r="A537" s="110">
        <v>532</v>
      </c>
      <c r="C537" s="191">
        <v>1.2249160418794285</v>
      </c>
      <c r="D537" s="192">
        <v>137774.74514821949</v>
      </c>
      <c r="E537" s="192">
        <v>1.0956657331537791</v>
      </c>
      <c r="F537" s="192">
        <v>105510.89619941072</v>
      </c>
      <c r="G537" s="192">
        <v>-0.12925030872564935</v>
      </c>
      <c r="H537" s="203">
        <v>0.12925030872564935</v>
      </c>
      <c r="I537" s="192">
        <v>-32263.848948808765</v>
      </c>
      <c r="K537" s="202">
        <v>-147694.02692583122</v>
      </c>
      <c r="L537" s="202">
        <v>-184934.01276057749</v>
      </c>
      <c r="M537" s="221">
        <v>37239.985834746272</v>
      </c>
      <c r="N537" s="221">
        <v>37239.985834746265</v>
      </c>
      <c r="O537" s="221">
        <v>-249622.99329816684</v>
      </c>
      <c r="Q537" s="204">
        <f t="shared" si="8"/>
        <v>0</v>
      </c>
      <c r="R537" s="204">
        <f>IF(MAX(K538:L538)=K538,1,0)</f>
        <v>1</v>
      </c>
    </row>
    <row r="538" spans="1:18" x14ac:dyDescent="0.3">
      <c r="A538" s="110">
        <v>533</v>
      </c>
      <c r="C538" s="191">
        <v>1.3162023707936652</v>
      </c>
      <c r="D538" s="192">
        <v>140466.96381264494</v>
      </c>
      <c r="E538" s="192">
        <v>1.0787855342354826</v>
      </c>
      <c r="F538" s="192">
        <v>95423.264100773682</v>
      </c>
      <c r="G538" s="192">
        <v>-0.23741683655818258</v>
      </c>
      <c r="H538" s="203">
        <v>0.23741683655818258</v>
      </c>
      <c r="I538" s="192">
        <v>-45043.699711871261</v>
      </c>
      <c r="K538" s="202">
        <v>-136956.50716883977</v>
      </c>
      <c r="L538" s="202">
        <v>-191140.75508820105</v>
      </c>
      <c r="M538" s="221">
        <v>54184.247919361282</v>
      </c>
      <c r="N538" s="221">
        <v>54184.247919361289</v>
      </c>
      <c r="O538" s="221">
        <v>-189724.11714715365</v>
      </c>
      <c r="Q538" s="204">
        <f t="shared" si="8"/>
        <v>0</v>
      </c>
      <c r="R538" s="204">
        <f>IF(MAX(K539:L539)=K539,1,0)</f>
        <v>1</v>
      </c>
    </row>
    <row r="539" spans="1:18" x14ac:dyDescent="0.3">
      <c r="A539" s="110">
        <v>534</v>
      </c>
      <c r="C539" s="191">
        <v>1.2289909844416205</v>
      </c>
      <c r="D539" s="192">
        <v>123674.97849657011</v>
      </c>
      <c r="E539" s="192">
        <v>1.0983985693878477</v>
      </c>
      <c r="F539" s="192">
        <v>88844.441649781802</v>
      </c>
      <c r="G539" s="192">
        <v>-0.13059241505377273</v>
      </c>
      <c r="H539" s="203">
        <v>0.13059241505377273</v>
      </c>
      <c r="I539" s="192">
        <v>-34830.536846788309</v>
      </c>
      <c r="K539" s="202">
        <v>-131132.78657121395</v>
      </c>
      <c r="L539" s="202">
        <v>-170991.13139757249</v>
      </c>
      <c r="M539" s="221">
        <v>39858.344826358545</v>
      </c>
      <c r="N539" s="221">
        <v>39858.34482635856</v>
      </c>
      <c r="O539" s="221">
        <v>-266711.79051590775</v>
      </c>
      <c r="Q539" s="204">
        <f t="shared" si="8"/>
        <v>0</v>
      </c>
      <c r="R539" s="204">
        <f>IF(MAX(K540:L540)=K540,1,0)</f>
        <v>1</v>
      </c>
    </row>
    <row r="540" spans="1:18" x14ac:dyDescent="0.3">
      <c r="A540" s="110">
        <v>535</v>
      </c>
      <c r="C540" s="191">
        <v>1.4240328104395352</v>
      </c>
      <c r="D540" s="192">
        <v>112783.46767474896</v>
      </c>
      <c r="E540" s="192">
        <v>1.2031890205387279</v>
      </c>
      <c r="F540" s="192">
        <v>75731.528261747488</v>
      </c>
      <c r="G540" s="192">
        <v>-0.22084378990080733</v>
      </c>
      <c r="H540" s="203">
        <v>0.22084378990080733</v>
      </c>
      <c r="I540" s="192">
        <v>-37051.93941300147</v>
      </c>
      <c r="K540" s="202">
        <v>-122054.30555248851</v>
      </c>
      <c r="L540" s="202">
        <v>-167608.73087667106</v>
      </c>
      <c r="M540" s="221">
        <v>45554.42532418255</v>
      </c>
      <c r="N540" s="221">
        <v>45554.42532418255</v>
      </c>
      <c r="O540" s="221">
        <v>-167774.42295136966</v>
      </c>
      <c r="Q540" s="204">
        <f t="shared" si="8"/>
        <v>0</v>
      </c>
      <c r="R540" s="204">
        <f>IF(MAX(K541:L541)=K541,1,0)</f>
        <v>1</v>
      </c>
    </row>
    <row r="541" spans="1:18" x14ac:dyDescent="0.3">
      <c r="A541" s="110">
        <v>536</v>
      </c>
      <c r="C541" s="191">
        <v>1.6545221941407862</v>
      </c>
      <c r="D541" s="192">
        <v>109617.64609833162</v>
      </c>
      <c r="E541" s="192">
        <v>1.5266419936312934</v>
      </c>
      <c r="F541" s="192">
        <v>83928.655798121588</v>
      </c>
      <c r="G541" s="192">
        <v>-0.12788020050949278</v>
      </c>
      <c r="H541" s="203">
        <v>0.12788020050949278</v>
      </c>
      <c r="I541" s="192">
        <v>-25688.990300210033</v>
      </c>
      <c r="K541" s="202">
        <v>-142704.37255292639</v>
      </c>
      <c r="L541" s="202">
        <v>-173316.75057275189</v>
      </c>
      <c r="M541" s="221">
        <v>30612.378019825497</v>
      </c>
      <c r="N541" s="221">
        <v>30612.378019825504</v>
      </c>
      <c r="O541" s="221">
        <v>-200883.25008767165</v>
      </c>
      <c r="Q541" s="204">
        <f t="shared" si="8"/>
        <v>0</v>
      </c>
      <c r="R541" s="204">
        <f>IF(MAX(K542:L542)=K542,1,0)</f>
        <v>1</v>
      </c>
    </row>
    <row r="542" spans="1:18" x14ac:dyDescent="0.3">
      <c r="A542" s="110">
        <v>537</v>
      </c>
      <c r="C542" s="191">
        <v>1.1619574371823431</v>
      </c>
      <c r="D542" s="192">
        <v>135536.46827427176</v>
      </c>
      <c r="E542" s="192">
        <v>1.047786652642448</v>
      </c>
      <c r="F542" s="192">
        <v>113446.79470447941</v>
      </c>
      <c r="G542" s="192">
        <v>-0.11417078453989515</v>
      </c>
      <c r="H542" s="203">
        <v>0.11417078453989515</v>
      </c>
      <c r="I542" s="192">
        <v>-22089.673569792343</v>
      </c>
      <c r="K542" s="202">
        <v>-153786.58083121365</v>
      </c>
      <c r="L542" s="202">
        <v>-180271.82960579195</v>
      </c>
      <c r="M542" s="221">
        <v>26485.2487745783</v>
      </c>
      <c r="N542" s="221">
        <v>26485.248774578307</v>
      </c>
      <c r="O542" s="221">
        <v>-193479.21325769168</v>
      </c>
      <c r="Q542" s="204">
        <f t="shared" si="8"/>
        <v>0</v>
      </c>
      <c r="R542" s="204">
        <f>IF(MAX(K543:L543)=K543,1,0)</f>
        <v>1</v>
      </c>
    </row>
    <row r="543" spans="1:18" x14ac:dyDescent="0.3">
      <c r="A543" s="110">
        <v>538</v>
      </c>
      <c r="C543" s="191">
        <v>1.2915201361299276</v>
      </c>
      <c r="D543" s="192">
        <v>97139.318106631006</v>
      </c>
      <c r="E543" s="192">
        <v>1.2620152818407866</v>
      </c>
      <c r="F543" s="192">
        <v>79564.586192434319</v>
      </c>
      <c r="G543" s="192">
        <v>-2.9504854289140958E-2</v>
      </c>
      <c r="H543" s="203">
        <v>2.9504854289140958E-2</v>
      </c>
      <c r="I543" s="192">
        <v>-17574.731914196687</v>
      </c>
      <c r="K543" s="202">
        <v>-128152.1745433046</v>
      </c>
      <c r="L543" s="202">
        <v>-146862.8433476332</v>
      </c>
      <c r="M543" s="221">
        <v>18710.668804328598</v>
      </c>
      <c r="N543" s="221">
        <v>18710.668804328616</v>
      </c>
      <c r="O543" s="221">
        <v>-595655.60778468021</v>
      </c>
      <c r="Q543" s="204">
        <f t="shared" si="8"/>
        <v>0</v>
      </c>
      <c r="R543" s="204">
        <f>IF(MAX(K544:L544)=K544,1,0)</f>
        <v>1</v>
      </c>
    </row>
    <row r="544" spans="1:18" x14ac:dyDescent="0.3">
      <c r="A544" s="110">
        <v>539</v>
      </c>
      <c r="C544" s="191">
        <v>1.1934752383239706</v>
      </c>
      <c r="D544" s="192">
        <v>132803.05970542706</v>
      </c>
      <c r="E544" s="192">
        <v>0.9531267841679032</v>
      </c>
      <c r="F544" s="192">
        <v>86326.099185313098</v>
      </c>
      <c r="G544" s="192">
        <v>-0.24034845415606743</v>
      </c>
      <c r="H544" s="203">
        <v>0.24034845415606743</v>
      </c>
      <c r="I544" s="192">
        <v>-46476.960520113964</v>
      </c>
      <c r="K544" s="202">
        <v>-123021.48037577738</v>
      </c>
      <c r="L544" s="202">
        <v>-178751.85638089993</v>
      </c>
      <c r="M544" s="221">
        <v>55730.376005122554</v>
      </c>
      <c r="N544" s="221">
        <v>55730.376005122562</v>
      </c>
      <c r="O544" s="221">
        <v>-193373.24503836708</v>
      </c>
      <c r="Q544" s="204">
        <f t="shared" si="8"/>
        <v>0</v>
      </c>
      <c r="R544" s="204">
        <f>IF(MAX(K545:L545)=K545,1,0)</f>
        <v>1</v>
      </c>
    </row>
    <row r="545" spans="1:18" x14ac:dyDescent="0.3">
      <c r="A545" s="110">
        <v>540</v>
      </c>
      <c r="C545" s="191">
        <v>1.2301451873658478</v>
      </c>
      <c r="D545" s="192">
        <v>108844.18213757097</v>
      </c>
      <c r="E545" s="192">
        <v>1.1167240847883324</v>
      </c>
      <c r="F545" s="192">
        <v>81124.891613526852</v>
      </c>
      <c r="G545" s="192">
        <v>-0.11342110257751536</v>
      </c>
      <c r="H545" s="203">
        <v>0.11342110257751536</v>
      </c>
      <c r="I545" s="192">
        <v>-27719.290524044118</v>
      </c>
      <c r="K545" s="202">
        <v>-124118.76887787765</v>
      </c>
      <c r="L545" s="202">
        <v>-156204.77185115611</v>
      </c>
      <c r="M545" s="221">
        <v>32086.002973278461</v>
      </c>
      <c r="N545" s="221">
        <v>32086.002973278461</v>
      </c>
      <c r="O545" s="221">
        <v>-244392.70906487553</v>
      </c>
      <c r="Q545" s="204">
        <f t="shared" si="8"/>
        <v>0</v>
      </c>
      <c r="R545" s="204">
        <f>IF(MAX(K546:L546)=K546,1,0)</f>
        <v>1</v>
      </c>
    </row>
    <row r="546" spans="1:18" x14ac:dyDescent="0.3">
      <c r="A546" s="110">
        <v>541</v>
      </c>
      <c r="C546" s="191">
        <v>1.2813514654431413</v>
      </c>
      <c r="D546" s="192">
        <v>107928.81544172544</v>
      </c>
      <c r="E546" s="192">
        <v>1.1929671955532424</v>
      </c>
      <c r="F546" s="192">
        <v>88775.443429180741</v>
      </c>
      <c r="G546" s="192">
        <v>-8.8384269889898892E-2</v>
      </c>
      <c r="H546" s="203">
        <v>8.8384269889898892E-2</v>
      </c>
      <c r="I546" s="192">
        <v>-19153.3720125447</v>
      </c>
      <c r="K546" s="202">
        <v>-134704.68045798058</v>
      </c>
      <c r="L546" s="202">
        <v>-157260.84686128638</v>
      </c>
      <c r="M546" s="221">
        <v>22556.166403305804</v>
      </c>
      <c r="N546" s="221">
        <v>22556.166403305808</v>
      </c>
      <c r="O546" s="221">
        <v>-216705.66534525016</v>
      </c>
      <c r="Q546" s="204">
        <f t="shared" si="8"/>
        <v>0</v>
      </c>
      <c r="R546" s="204">
        <f>IF(MAX(K547:L547)=K547,1,0)</f>
        <v>1</v>
      </c>
    </row>
    <row r="547" spans="1:18" x14ac:dyDescent="0.3">
      <c r="A547" s="110">
        <v>542</v>
      </c>
      <c r="C547" s="191">
        <v>1.5876312172267102</v>
      </c>
      <c r="D547" s="192">
        <v>97067.971291405076</v>
      </c>
      <c r="E547" s="192">
        <v>1.5440127352161566</v>
      </c>
      <c r="F547" s="192">
        <v>73552.693437802795</v>
      </c>
      <c r="G547" s="192">
        <v>-4.3618482010553628E-2</v>
      </c>
      <c r="H547" s="203">
        <v>4.3618482010553628E-2</v>
      </c>
      <c r="I547" s="192">
        <v>-23515.277853602282</v>
      </c>
      <c r="K547" s="202">
        <v>-132997.18374362483</v>
      </c>
      <c r="L547" s="202">
        <v>-158191.77315463341</v>
      </c>
      <c r="M547" s="221">
        <v>25194.589411008579</v>
      </c>
      <c r="N547" s="221">
        <v>25194.589411008597</v>
      </c>
      <c r="O547" s="221">
        <v>-539112.70566253748</v>
      </c>
      <c r="Q547" s="204">
        <f t="shared" si="8"/>
        <v>0</v>
      </c>
      <c r="R547" s="204">
        <f>IF(MAX(K548:L548)=K548,1,0)</f>
        <v>1</v>
      </c>
    </row>
    <row r="548" spans="1:18" x14ac:dyDescent="0.3">
      <c r="A548" s="110">
        <v>543</v>
      </c>
      <c r="C548" s="191">
        <v>1.3817025056284471</v>
      </c>
      <c r="D548" s="192">
        <v>109156.00469811985</v>
      </c>
      <c r="E548" s="192">
        <v>1.2664898115887391</v>
      </c>
      <c r="F548" s="192">
        <v>77854.782559652449</v>
      </c>
      <c r="G548" s="192">
        <v>-0.11521269403970802</v>
      </c>
      <c r="H548" s="203">
        <v>0.11521269403970802</v>
      </c>
      <c r="I548" s="192">
        <v>-31301.222138467405</v>
      </c>
      <c r="K548" s="202">
        <v>-126614.6403058189</v>
      </c>
      <c r="L548" s="202">
        <v>-162351.55116481506</v>
      </c>
      <c r="M548" s="221">
        <v>35736.910858996154</v>
      </c>
      <c r="N548" s="221">
        <v>35736.910858996162</v>
      </c>
      <c r="O548" s="221">
        <v>-271682.06072569964</v>
      </c>
      <c r="Q548" s="204">
        <f t="shared" si="8"/>
        <v>0</v>
      </c>
      <c r="R548" s="204">
        <f>IF(MAX(K549:L549)=K549,1,0)</f>
        <v>0</v>
      </c>
    </row>
    <row r="549" spans="1:18" x14ac:dyDescent="0.3">
      <c r="A549" s="110">
        <v>544</v>
      </c>
      <c r="C549" s="191">
        <v>1.1005685576069921</v>
      </c>
      <c r="D549" s="192">
        <v>84617.898630103897</v>
      </c>
      <c r="E549" s="192">
        <v>1.1827675773558677</v>
      </c>
      <c r="F549" s="192">
        <v>82430.703692319003</v>
      </c>
      <c r="G549" s="192">
        <v>8.2199019748875557E-2</v>
      </c>
      <c r="H549" s="203">
        <v>-8.2199019748875557E-2</v>
      </c>
      <c r="I549" s="192">
        <v>-2187.1949377848941</v>
      </c>
      <c r="K549" s="202">
        <v>-127967.25542051991</v>
      </c>
      <c r="L549" s="202">
        <v>-126989.7880979731</v>
      </c>
      <c r="M549" s="221">
        <v>-977.4673225468141</v>
      </c>
      <c r="N549" s="221">
        <v>-977.46732254681501</v>
      </c>
      <c r="O549" s="221">
        <v>26608.528233876095</v>
      </c>
      <c r="Q549" s="204">
        <f t="shared" si="8"/>
        <v>1</v>
      </c>
      <c r="R549" s="204">
        <f>IF(MAX(K550:L550)=K550,1,0)</f>
        <v>1</v>
      </c>
    </row>
    <row r="550" spans="1:18" x14ac:dyDescent="0.3">
      <c r="A550" s="110">
        <v>545</v>
      </c>
      <c r="C550" s="191">
        <v>1.6159706624157135</v>
      </c>
      <c r="D550" s="192">
        <v>147840.95759031581</v>
      </c>
      <c r="E550" s="192">
        <v>1.3811593129175914</v>
      </c>
      <c r="F550" s="192">
        <v>114150.69493380842</v>
      </c>
      <c r="G550" s="192">
        <v>-0.2348113494981221</v>
      </c>
      <c r="H550" s="203">
        <v>0.2348113494981221</v>
      </c>
      <c r="I550" s="192">
        <v>-33690.262656507388</v>
      </c>
      <c r="K550" s="202">
        <v>-167325.32848113569</v>
      </c>
      <c r="L550" s="202">
        <v>-210055.82809332077</v>
      </c>
      <c r="M550" s="221">
        <v>42730.499612185085</v>
      </c>
      <c r="N550" s="221">
        <v>42730.499612185085</v>
      </c>
      <c r="O550" s="221">
        <v>-143477.99937488468</v>
      </c>
      <c r="Q550" s="204">
        <f t="shared" si="8"/>
        <v>0</v>
      </c>
      <c r="R550" s="204">
        <f>IF(MAX(K551:L551)=K551,1,0)</f>
        <v>1</v>
      </c>
    </row>
    <row r="551" spans="1:18" x14ac:dyDescent="0.3">
      <c r="A551" s="110">
        <v>546</v>
      </c>
      <c r="C551" s="191">
        <v>1.6934141171258714</v>
      </c>
      <c r="D551" s="192">
        <v>159700.91576272761</v>
      </c>
      <c r="E551" s="192">
        <v>1.5699610752809392</v>
      </c>
      <c r="F551" s="192">
        <v>111719.10078245985</v>
      </c>
      <c r="G551" s="192">
        <v>-0.12345304184493222</v>
      </c>
      <c r="H551" s="203">
        <v>0.12345304184493222</v>
      </c>
      <c r="I551" s="192">
        <v>-47981.814980267765</v>
      </c>
      <c r="K551" s="202">
        <v>-172162.60218077601</v>
      </c>
      <c r="L551" s="202">
        <v>-224897.35927207366</v>
      </c>
      <c r="M551" s="221">
        <v>52734.757091297652</v>
      </c>
      <c r="N551" s="221">
        <v>52734.757091297659</v>
      </c>
      <c r="O551" s="221">
        <v>-388664.50160488638</v>
      </c>
      <c r="Q551" s="204">
        <f t="shared" si="8"/>
        <v>0</v>
      </c>
      <c r="R551" s="204">
        <f>IF(MAX(K552:L552)=K552,1,0)</f>
        <v>1</v>
      </c>
    </row>
    <row r="552" spans="1:18" x14ac:dyDescent="0.3">
      <c r="A552" s="110">
        <v>547</v>
      </c>
      <c r="C552" s="191">
        <v>1.1872211088467934</v>
      </c>
      <c r="D552" s="192">
        <v>123832.647380318</v>
      </c>
      <c r="E552" s="192">
        <v>1.0219533584202505</v>
      </c>
      <c r="F552" s="192">
        <v>91179.301891381081</v>
      </c>
      <c r="G552" s="192">
        <v>-0.16526775042654296</v>
      </c>
      <c r="H552" s="203">
        <v>0.16526775042654296</v>
      </c>
      <c r="I552" s="192">
        <v>-32653.345488936917</v>
      </c>
      <c r="K552" s="202">
        <v>-130524.50619056073</v>
      </c>
      <c r="L552" s="202">
        <v>-169540.66007091955</v>
      </c>
      <c r="M552" s="221">
        <v>39016.153880358819</v>
      </c>
      <c r="N552" s="221">
        <v>39016.153880358819</v>
      </c>
      <c r="O552" s="221">
        <v>-197578.4471239018</v>
      </c>
      <c r="Q552" s="204">
        <f t="shared" si="8"/>
        <v>0</v>
      </c>
      <c r="R552" s="204">
        <f>IF(MAX(K553:L553)=K553,1,0)</f>
        <v>1</v>
      </c>
    </row>
    <row r="553" spans="1:18" x14ac:dyDescent="0.3">
      <c r="A553" s="110">
        <v>548</v>
      </c>
      <c r="C553" s="191">
        <v>1.6482321747058717</v>
      </c>
      <c r="D553" s="192">
        <v>142541.72289824035</v>
      </c>
      <c r="E553" s="192">
        <v>1.5779841175538845</v>
      </c>
      <c r="F553" s="192">
        <v>121736.81339810338</v>
      </c>
      <c r="G553" s="192">
        <v>-7.0248057151987231E-2</v>
      </c>
      <c r="H553" s="203">
        <v>7.0248057151987231E-2</v>
      </c>
      <c r="I553" s="192">
        <v>-20804.909500136971</v>
      </c>
      <c r="K553" s="202">
        <v>-182489.20192392793</v>
      </c>
      <c r="L553" s="202">
        <v>-205998.66162441642</v>
      </c>
      <c r="M553" s="221">
        <v>23509.459700488485</v>
      </c>
      <c r="N553" s="221">
        <v>23509.459700488478</v>
      </c>
      <c r="O553" s="221">
        <v>-296163.48613206344</v>
      </c>
      <c r="Q553" s="204">
        <f t="shared" si="8"/>
        <v>0</v>
      </c>
      <c r="R553" s="204">
        <f>IF(MAX(K554:L554)=K554,1,0)</f>
        <v>1</v>
      </c>
    </row>
    <row r="554" spans="1:18" x14ac:dyDescent="0.3">
      <c r="A554" s="110">
        <v>549</v>
      </c>
      <c r="C554" s="191">
        <v>1.2008723379598285</v>
      </c>
      <c r="D554" s="192">
        <v>114172.53649578178</v>
      </c>
      <c r="E554" s="192">
        <v>1.2293218215725839</v>
      </c>
      <c r="F554" s="192">
        <v>108825.94261060758</v>
      </c>
      <c r="G554" s="192">
        <v>2.8449483612755344E-2</v>
      </c>
      <c r="H554" s="203">
        <v>-2.8449483612755344E-2</v>
      </c>
      <c r="I554" s="192">
        <v>-5346.5938851741957</v>
      </c>
      <c r="K554" s="202">
        <v>-156154.83274115206</v>
      </c>
      <c r="L554" s="202">
        <v>-160406.12150723516</v>
      </c>
      <c r="M554" s="221">
        <v>4251.2887660831038</v>
      </c>
      <c r="N554" s="221">
        <v>4251.2887660831148</v>
      </c>
      <c r="O554" s="221">
        <v>187932.89741037856</v>
      </c>
      <c r="Q554" s="204">
        <f t="shared" si="8"/>
        <v>0</v>
      </c>
      <c r="R554" s="204">
        <f>IF(MAX(K555:L555)=K555,1,0)</f>
        <v>1</v>
      </c>
    </row>
    <row r="555" spans="1:18" x14ac:dyDescent="0.3">
      <c r="A555" s="110">
        <v>550</v>
      </c>
      <c r="C555" s="191">
        <v>1.3306994452439227</v>
      </c>
      <c r="D555" s="192">
        <v>171764.92591982402</v>
      </c>
      <c r="E555" s="192">
        <v>1.222377312753274</v>
      </c>
      <c r="F555" s="192">
        <v>150429.28506975708</v>
      </c>
      <c r="G555" s="192">
        <v>-0.1083221324906487</v>
      </c>
      <c r="H555" s="203">
        <v>0.1083221324906487</v>
      </c>
      <c r="I555" s="192">
        <v>-21335.640850066935</v>
      </c>
      <c r="K555" s="202">
        <v>-197490.81161075813</v>
      </c>
      <c r="L555" s="202">
        <v>-222996.85456171504</v>
      </c>
      <c r="M555" s="221">
        <v>25506.042950956908</v>
      </c>
      <c r="N555" s="221">
        <v>25506.042950956911</v>
      </c>
      <c r="O555" s="221">
        <v>-196964.74173372475</v>
      </c>
      <c r="Q555" s="204">
        <f t="shared" si="8"/>
        <v>0</v>
      </c>
      <c r="R555" s="204">
        <f>IF(MAX(K556:L556)=K556,1,0)</f>
        <v>1</v>
      </c>
    </row>
    <row r="556" spans="1:18" x14ac:dyDescent="0.3">
      <c r="A556" s="110">
        <v>551</v>
      </c>
      <c r="C556" s="191">
        <v>1.0380246063803498</v>
      </c>
      <c r="D556" s="192">
        <v>119188.66238762352</v>
      </c>
      <c r="E556" s="192">
        <v>0.97085836222406308</v>
      </c>
      <c r="F556" s="192">
        <v>100957.04404866607</v>
      </c>
      <c r="G556" s="192">
        <v>-6.7166244156286692E-2</v>
      </c>
      <c r="H556" s="203">
        <v>6.7166244156286692E-2</v>
      </c>
      <c r="I556" s="192">
        <v>-18231.618338957458</v>
      </c>
      <c r="K556" s="202">
        <v>-138335.09099429249</v>
      </c>
      <c r="L556" s="202">
        <v>-159152.60973326699</v>
      </c>
      <c r="M556" s="221">
        <v>20817.518738974497</v>
      </c>
      <c r="N556" s="221">
        <v>20817.518738974497</v>
      </c>
      <c r="O556" s="221">
        <v>-271440.19392442086</v>
      </c>
      <c r="Q556" s="204">
        <f t="shared" si="8"/>
        <v>0</v>
      </c>
      <c r="R556" s="204">
        <f>IF(MAX(K557:L557)=K557,1,0)</f>
        <v>1</v>
      </c>
    </row>
    <row r="557" spans="1:18" x14ac:dyDescent="0.3">
      <c r="A557" s="110">
        <v>552</v>
      </c>
      <c r="C557" s="191">
        <v>1.2281831257575597</v>
      </c>
      <c r="D557" s="192">
        <v>116153.65330835208</v>
      </c>
      <c r="E557" s="192">
        <v>1.1484762932151851</v>
      </c>
      <c r="F557" s="192">
        <v>85949.735919447412</v>
      </c>
      <c r="G557" s="192">
        <v>-7.970683254237465E-2</v>
      </c>
      <c r="H557" s="203">
        <v>7.970683254237465E-2</v>
      </c>
      <c r="I557" s="192">
        <v>-30203.917388904665</v>
      </c>
      <c r="K557" s="202">
        <v>-130166.07320823203</v>
      </c>
      <c r="L557" s="202">
        <v>-163438.70365001814</v>
      </c>
      <c r="M557" s="221">
        <v>33272.63044178611</v>
      </c>
      <c r="N557" s="221">
        <v>33272.630441786088</v>
      </c>
      <c r="O557" s="221">
        <v>-378937.61959299183</v>
      </c>
      <c r="Q557" s="204">
        <f t="shared" si="8"/>
        <v>0</v>
      </c>
      <c r="R557" s="204">
        <f>IF(MAX(K558:L558)=K558,1,0)</f>
        <v>1</v>
      </c>
    </row>
    <row r="558" spans="1:18" x14ac:dyDescent="0.3">
      <c r="A558" s="110">
        <v>553</v>
      </c>
      <c r="C558" s="191">
        <v>1.082319066089604</v>
      </c>
      <c r="D558" s="192">
        <v>109612.53406158715</v>
      </c>
      <c r="E558" s="192">
        <v>0.94365227848444555</v>
      </c>
      <c r="F558" s="192">
        <v>75111.02381610981</v>
      </c>
      <c r="G558" s="192">
        <v>-0.13866678760515849</v>
      </c>
      <c r="H558" s="203">
        <v>0.13866678760515849</v>
      </c>
      <c r="I558" s="192">
        <v>-34501.510245477344</v>
      </c>
      <c r="K558" s="202">
        <v>-111441.63653776096</v>
      </c>
      <c r="L558" s="202">
        <v>-151281.81810603692</v>
      </c>
      <c r="M558" s="221">
        <v>39840.181568275962</v>
      </c>
      <c r="N558" s="221">
        <v>39840.181568275948</v>
      </c>
      <c r="O558" s="221">
        <v>-248808.75111722763</v>
      </c>
      <c r="Q558" s="204">
        <f t="shared" si="8"/>
        <v>0</v>
      </c>
      <c r="R558" s="204">
        <f>IF(MAX(K559:L559)=K559,1,0)</f>
        <v>1</v>
      </c>
    </row>
    <row r="559" spans="1:18" x14ac:dyDescent="0.3">
      <c r="A559" s="110">
        <v>554</v>
      </c>
      <c r="C559" s="191">
        <v>1.6059822578167429</v>
      </c>
      <c r="D559" s="192">
        <v>141040.52147546102</v>
      </c>
      <c r="E559" s="192">
        <v>1.4192544099205517</v>
      </c>
      <c r="F559" s="192">
        <v>104108.6008344789</v>
      </c>
      <c r="G559" s="192">
        <v>-0.18672784789619112</v>
      </c>
      <c r="H559" s="203">
        <v>0.18672784789619112</v>
      </c>
      <c r="I559" s="192">
        <v>-36931.92064098212</v>
      </c>
      <c r="K559" s="202">
        <v>-158749.89561642014</v>
      </c>
      <c r="L559" s="202">
        <v>-202870.83840140561</v>
      </c>
      <c r="M559" s="221">
        <v>44120.942784985469</v>
      </c>
      <c r="N559" s="221">
        <v>44120.942784985476</v>
      </c>
      <c r="O559" s="221">
        <v>-197784.74960796384</v>
      </c>
      <c r="Q559" s="204">
        <f t="shared" si="8"/>
        <v>0</v>
      </c>
      <c r="R559" s="204">
        <f>IF(MAX(K560:L560)=K560,1,0)</f>
        <v>1</v>
      </c>
    </row>
    <row r="560" spans="1:18" x14ac:dyDescent="0.3">
      <c r="A560" s="110">
        <v>555</v>
      </c>
      <c r="C560" s="191">
        <v>1.0422072082783194</v>
      </c>
      <c r="D560" s="192">
        <v>125137.56223849818</v>
      </c>
      <c r="E560" s="192">
        <v>0.90189554689688523</v>
      </c>
      <c r="F560" s="192">
        <v>88284.235429557797</v>
      </c>
      <c r="G560" s="192">
        <v>-0.14031166138143414</v>
      </c>
      <c r="H560" s="203">
        <v>0.14031166138143414</v>
      </c>
      <c r="I560" s="192">
        <v>-36853.326808940386</v>
      </c>
      <c r="K560" s="202">
        <v>-123007.21398508787</v>
      </c>
      <c r="L560" s="202">
        <v>-165262.5397572135</v>
      </c>
      <c r="M560" s="221">
        <v>42255.325772125623</v>
      </c>
      <c r="N560" s="221">
        <v>42255.325772125601</v>
      </c>
      <c r="O560" s="221">
        <v>-262653.34218198323</v>
      </c>
      <c r="Q560" s="204">
        <f t="shared" si="8"/>
        <v>0</v>
      </c>
      <c r="R560" s="204">
        <f>IF(MAX(K561:L561)=K561,1,0)</f>
        <v>1</v>
      </c>
    </row>
    <row r="561" spans="1:18" x14ac:dyDescent="0.3">
      <c r="A561" s="110">
        <v>556</v>
      </c>
      <c r="C561" s="191">
        <v>1.2110600174997961</v>
      </c>
      <c r="D561" s="192">
        <v>116866.58133533425</v>
      </c>
      <c r="E561" s="192">
        <v>1.0988444560964259</v>
      </c>
      <c r="F561" s="192">
        <v>93327.06116408555</v>
      </c>
      <c r="G561" s="192">
        <v>-0.11221556140337019</v>
      </c>
      <c r="H561" s="203">
        <v>0.11221556140337019</v>
      </c>
      <c r="I561" s="192">
        <v>-23539.520171248703</v>
      </c>
      <c r="K561" s="202">
        <v>-135632.57272379793</v>
      </c>
      <c r="L561" s="202">
        <v>-163492.3920090764</v>
      </c>
      <c r="M561" s="221">
        <v>27859.81928527847</v>
      </c>
      <c r="N561" s="221">
        <v>27859.819285278456</v>
      </c>
      <c r="O561" s="221">
        <v>-209770.55122179995</v>
      </c>
      <c r="Q561" s="204">
        <f t="shared" si="8"/>
        <v>0</v>
      </c>
      <c r="R561" s="204">
        <f>IF(MAX(K562:L562)=K562,1,0)</f>
        <v>1</v>
      </c>
    </row>
    <row r="562" spans="1:18" x14ac:dyDescent="0.3">
      <c r="A562" s="110">
        <v>557</v>
      </c>
      <c r="C562" s="191">
        <v>1.363782527223051</v>
      </c>
      <c r="D562" s="192">
        <v>149048.75472240575</v>
      </c>
      <c r="E562" s="192">
        <v>1.1472904731580751</v>
      </c>
      <c r="F562" s="192">
        <v>97226.301746432378</v>
      </c>
      <c r="G562" s="192">
        <v>-0.21649205406497596</v>
      </c>
      <c r="H562" s="203">
        <v>0.21649205406497596</v>
      </c>
      <c r="I562" s="192">
        <v>-51822.45297597337</v>
      </c>
      <c r="K562" s="202">
        <v>-141396.98496301827</v>
      </c>
      <c r="L562" s="202">
        <v>-201554.38202049321</v>
      </c>
      <c r="M562" s="221">
        <v>60157.39705747494</v>
      </c>
      <c r="N562" s="221">
        <v>60157.397057474947</v>
      </c>
      <c r="O562" s="221">
        <v>-239373.46430469846</v>
      </c>
      <c r="Q562" s="204">
        <f t="shared" si="8"/>
        <v>0</v>
      </c>
      <c r="R562" s="204">
        <f>IF(MAX(K563:L563)=K563,1,0)</f>
        <v>1</v>
      </c>
    </row>
    <row r="563" spans="1:18" x14ac:dyDescent="0.3">
      <c r="A563" s="110">
        <v>558</v>
      </c>
      <c r="C563" s="191">
        <v>1.1721449699894582</v>
      </c>
      <c r="D563" s="192">
        <v>149476.98782140238</v>
      </c>
      <c r="E563" s="192">
        <v>0.94419615285762337</v>
      </c>
      <c r="F563" s="192">
        <v>107971.06115072977</v>
      </c>
      <c r="G563" s="192">
        <v>-0.22794881713183479</v>
      </c>
      <c r="H563" s="203">
        <v>0.22794881713183479</v>
      </c>
      <c r="I563" s="192">
        <v>-41505.926670672605</v>
      </c>
      <c r="K563" s="202">
        <v>-144322.61303574828</v>
      </c>
      <c r="L563" s="202">
        <v>-194604.56916599651</v>
      </c>
      <c r="M563" s="221">
        <v>50281.956130248233</v>
      </c>
      <c r="N563" s="221">
        <v>50281.956130248247</v>
      </c>
      <c r="O563" s="221">
        <v>-182084.41347895894</v>
      </c>
      <c r="Q563" s="204">
        <f t="shared" si="8"/>
        <v>0</v>
      </c>
      <c r="R563" s="204">
        <f>IF(MAX(K564:L564)=K564,1,0)</f>
        <v>1</v>
      </c>
    </row>
    <row r="564" spans="1:18" x14ac:dyDescent="0.3">
      <c r="A564" s="110">
        <v>559</v>
      </c>
      <c r="C564" s="191">
        <v>1.7242595711600399</v>
      </c>
      <c r="D564" s="192">
        <v>156240.1110729863</v>
      </c>
      <c r="E564" s="192">
        <v>1.6578938127879739</v>
      </c>
      <c r="F564" s="192">
        <v>124850.223569874</v>
      </c>
      <c r="G564" s="192">
        <v>-6.6365758372066042E-2</v>
      </c>
      <c r="H564" s="203">
        <v>6.6365758372066042E-2</v>
      </c>
      <c r="I564" s="192">
        <v>-31389.887503112303</v>
      </c>
      <c r="K564" s="202">
        <v>-188679.13536221097</v>
      </c>
      <c r="L564" s="202">
        <v>-222624.10456264782</v>
      </c>
      <c r="M564" s="221">
        <v>33944.969200436841</v>
      </c>
      <c r="N564" s="221">
        <v>33944.969200436848</v>
      </c>
      <c r="O564" s="221">
        <v>-472983.1809821463</v>
      </c>
      <c r="Q564" s="204">
        <f t="shared" si="8"/>
        <v>0</v>
      </c>
      <c r="R564" s="204">
        <f>IF(MAX(K565:L565)=K565,1,0)</f>
        <v>1</v>
      </c>
    </row>
    <row r="565" spans="1:18" x14ac:dyDescent="0.3">
      <c r="A565" s="110">
        <v>560</v>
      </c>
      <c r="C565" s="191">
        <v>1.4831424348001101</v>
      </c>
      <c r="D565" s="192">
        <v>117408.97359215716</v>
      </c>
      <c r="E565" s="192">
        <v>1.429354721004128</v>
      </c>
      <c r="F565" s="192">
        <v>88845.17010508549</v>
      </c>
      <c r="G565" s="192">
        <v>-5.3787713795982128E-2</v>
      </c>
      <c r="H565" s="203">
        <v>5.3787713795982128E-2</v>
      </c>
      <c r="I565" s="192">
        <v>-28563.803487071666</v>
      </c>
      <c r="K565" s="202">
        <v>-143875.32686374441</v>
      </c>
      <c r="L565" s="202">
        <v>-174509.9573319614</v>
      </c>
      <c r="M565" s="221">
        <v>30634.630468216987</v>
      </c>
      <c r="N565" s="221">
        <v>30634.630468216979</v>
      </c>
      <c r="O565" s="221">
        <v>-531046.98956744547</v>
      </c>
      <c r="Q565" s="204">
        <f t="shared" si="8"/>
        <v>0</v>
      </c>
      <c r="R565" s="204">
        <f>IF(MAX(K566:L566)=K566,1,0)</f>
        <v>1</v>
      </c>
    </row>
    <row r="566" spans="1:18" x14ac:dyDescent="0.3">
      <c r="A566" s="110">
        <v>561</v>
      </c>
      <c r="C566" s="191">
        <v>1.4269366827655268</v>
      </c>
      <c r="D566" s="192">
        <v>133084.86509355233</v>
      </c>
      <c r="E566" s="192">
        <v>1.2653881478570674</v>
      </c>
      <c r="F566" s="192">
        <v>91016.335431946529</v>
      </c>
      <c r="G566" s="192">
        <v>-0.16154853490845933</v>
      </c>
      <c r="H566" s="203">
        <v>0.16154853490845933</v>
      </c>
      <c r="I566" s="192">
        <v>-42068.529661605804</v>
      </c>
      <c r="K566" s="202">
        <v>-139733.77912444362</v>
      </c>
      <c r="L566" s="202">
        <v>-188021.9273800251</v>
      </c>
      <c r="M566" s="221">
        <v>48288.148255581473</v>
      </c>
      <c r="N566" s="221">
        <v>48288.148255581487</v>
      </c>
      <c r="O566" s="221">
        <v>-260407.99246767373</v>
      </c>
      <c r="Q566" s="204">
        <f t="shared" si="8"/>
        <v>0</v>
      </c>
      <c r="R566" s="204">
        <f>IF(MAX(K567:L567)=K567,1,0)</f>
        <v>1</v>
      </c>
    </row>
    <row r="567" spans="1:18" x14ac:dyDescent="0.3">
      <c r="A567" s="110">
        <v>562</v>
      </c>
      <c r="C567" s="191">
        <v>1.2094354722653384</v>
      </c>
      <c r="D567" s="192">
        <v>75488.985561774083</v>
      </c>
      <c r="E567" s="192">
        <v>1.0733326887003802</v>
      </c>
      <c r="F567" s="192">
        <v>57244.885788742504</v>
      </c>
      <c r="G567" s="192">
        <v>-0.1361027835649582</v>
      </c>
      <c r="H567" s="203">
        <v>0.1361027835649582</v>
      </c>
      <c r="I567" s="192">
        <v>-18244.099773031579</v>
      </c>
      <c r="K567" s="202">
        <v>-98568.194303707132</v>
      </c>
      <c r="L567" s="202">
        <v>-122052.25124398962</v>
      </c>
      <c r="M567" s="221">
        <v>23484.056940282491</v>
      </c>
      <c r="N567" s="221">
        <v>23484.056940282469</v>
      </c>
      <c r="O567" s="221">
        <v>-134046.48527503599</v>
      </c>
      <c r="Q567" s="204">
        <f t="shared" si="8"/>
        <v>0</v>
      </c>
      <c r="R567" s="204">
        <f>IF(MAX(K568:L568)=K568,1,0)</f>
        <v>1</v>
      </c>
    </row>
    <row r="568" spans="1:18" x14ac:dyDescent="0.3">
      <c r="A568" s="110">
        <v>563</v>
      </c>
      <c r="C568" s="191">
        <v>1.249220567381907</v>
      </c>
      <c r="D568" s="192">
        <v>117569.48423160355</v>
      </c>
      <c r="E568" s="192">
        <v>1.1333034057147422</v>
      </c>
      <c r="F568" s="192">
        <v>86691.688046518218</v>
      </c>
      <c r="G568" s="192">
        <v>-0.11591716166716481</v>
      </c>
      <c r="H568" s="203">
        <v>0.11591716166716481</v>
      </c>
      <c r="I568" s="192">
        <v>-30877.796185085332</v>
      </c>
      <c r="K568" s="202">
        <v>-130323.86916653579</v>
      </c>
      <c r="L568" s="202">
        <v>-165664.47607580698</v>
      </c>
      <c r="M568" s="221">
        <v>35340.606909271184</v>
      </c>
      <c r="N568" s="221">
        <v>35340.606909271177</v>
      </c>
      <c r="O568" s="221">
        <v>-266378.12504196179</v>
      </c>
      <c r="Q568" s="204">
        <f t="shared" si="8"/>
        <v>0</v>
      </c>
      <c r="R568" s="204">
        <f>IF(MAX(K569:L569)=K569,1,0)</f>
        <v>1</v>
      </c>
    </row>
    <row r="569" spans="1:18" x14ac:dyDescent="0.3">
      <c r="A569" s="110">
        <v>564</v>
      </c>
      <c r="C569" s="191">
        <v>1.5763348690302603</v>
      </c>
      <c r="D569" s="192">
        <v>152018.77938668046</v>
      </c>
      <c r="E569" s="192">
        <v>1.451342098444014</v>
      </c>
      <c r="F569" s="192">
        <v>108391.11331771727</v>
      </c>
      <c r="G569" s="192">
        <v>-0.12499277058624636</v>
      </c>
      <c r="H569" s="203">
        <v>0.12499277058624636</v>
      </c>
      <c r="I569" s="192">
        <v>-43627.666068963183</v>
      </c>
      <c r="K569" s="202">
        <v>-164267.78410781181</v>
      </c>
      <c r="L569" s="202">
        <v>-212707.67184434549</v>
      </c>
      <c r="M569" s="221">
        <v>48439.887736533681</v>
      </c>
      <c r="N569" s="221">
        <v>48439.887736533667</v>
      </c>
      <c r="O569" s="221">
        <v>-349041.51547596604</v>
      </c>
      <c r="Q569" s="204">
        <f t="shared" si="8"/>
        <v>0</v>
      </c>
      <c r="R569" s="204">
        <f>IF(MAX(K570:L570)=K570,1,0)</f>
        <v>1</v>
      </c>
    </row>
    <row r="570" spans="1:18" x14ac:dyDescent="0.3">
      <c r="A570" s="110">
        <v>565</v>
      </c>
      <c r="C570" s="191">
        <v>1.4998833454103102</v>
      </c>
      <c r="D570" s="192">
        <v>101234.00781274517</v>
      </c>
      <c r="E570" s="192">
        <v>1.3808052384785325</v>
      </c>
      <c r="F570" s="192">
        <v>70373.090087963981</v>
      </c>
      <c r="G570" s="192">
        <v>-0.11907810693177767</v>
      </c>
      <c r="H570" s="203">
        <v>0.11907810693177767</v>
      </c>
      <c r="I570" s="192">
        <v>-30860.917724781189</v>
      </c>
      <c r="K570" s="202">
        <v>-123534.09176938748</v>
      </c>
      <c r="L570" s="202">
        <v>-158979.51661104211</v>
      </c>
      <c r="M570" s="221">
        <v>35445.424841654632</v>
      </c>
      <c r="N570" s="221">
        <v>35445.424841654632</v>
      </c>
      <c r="O570" s="221">
        <v>-259165.3371048471</v>
      </c>
      <c r="Q570" s="204">
        <f t="shared" si="8"/>
        <v>0</v>
      </c>
      <c r="R570" s="204">
        <f>IF(MAX(K571:L571)=K571,1,0)</f>
        <v>1</v>
      </c>
    </row>
    <row r="571" spans="1:18" x14ac:dyDescent="0.3">
      <c r="A571" s="110">
        <v>566</v>
      </c>
      <c r="C571" s="191">
        <v>1.8082468360050872</v>
      </c>
      <c r="D571" s="192">
        <v>93413.311463063976</v>
      </c>
      <c r="E571" s="192">
        <v>1.6521473446712629</v>
      </c>
      <c r="F571" s="192">
        <v>68482.692000468363</v>
      </c>
      <c r="G571" s="192">
        <v>-0.15609949133382428</v>
      </c>
      <c r="H571" s="203">
        <v>0.15609949133382428</v>
      </c>
      <c r="I571" s="192">
        <v>-24930.619462595612</v>
      </c>
      <c r="K571" s="202">
        <v>-132090.36477031198</v>
      </c>
      <c r="L571" s="202">
        <v>-163030.81464925985</v>
      </c>
      <c r="M571" s="221">
        <v>30940.449878947868</v>
      </c>
      <c r="N571" s="221">
        <v>30940.449878947846</v>
      </c>
      <c r="O571" s="221">
        <v>-159709.80590372713</v>
      </c>
      <c r="Q571" s="204">
        <f t="shared" si="8"/>
        <v>0</v>
      </c>
      <c r="R571" s="204">
        <f>IF(MAX(K572:L572)=K572,1,0)</f>
        <v>1</v>
      </c>
    </row>
    <row r="572" spans="1:18" x14ac:dyDescent="0.3">
      <c r="A572" s="110">
        <v>567</v>
      </c>
      <c r="C572" s="191">
        <v>1.2646282819178662</v>
      </c>
      <c r="D572" s="192">
        <v>101343.41000675751</v>
      </c>
      <c r="E572" s="192">
        <v>1.1064399603097927</v>
      </c>
      <c r="F572" s="192">
        <v>76662.550503228806</v>
      </c>
      <c r="G572" s="192">
        <v>-0.1581883216080735</v>
      </c>
      <c r="H572" s="203">
        <v>0.1581883216080735</v>
      </c>
      <c r="I572" s="192">
        <v>-24680.8595035287</v>
      </c>
      <c r="K572" s="202">
        <v>-119260.48897515584</v>
      </c>
      <c r="L572" s="202">
        <v>-150031.59886059535</v>
      </c>
      <c r="M572" s="221">
        <v>30771.10988543951</v>
      </c>
      <c r="N572" s="221">
        <v>30771.109885439531</v>
      </c>
      <c r="O572" s="221">
        <v>-156022.00752011174</v>
      </c>
      <c r="Q572" s="204">
        <f t="shared" si="8"/>
        <v>0</v>
      </c>
      <c r="R572" s="204">
        <f>IF(MAX(K573:L573)=K573,1,0)</f>
        <v>1</v>
      </c>
    </row>
    <row r="573" spans="1:18" x14ac:dyDescent="0.3">
      <c r="A573" s="110">
        <v>568</v>
      </c>
      <c r="C573" s="191">
        <v>1.3174898891900821</v>
      </c>
      <c r="D573" s="192">
        <v>132271.06422260142</v>
      </c>
      <c r="E573" s="192">
        <v>1.2216092509725676</v>
      </c>
      <c r="F573" s="192">
        <v>95770.220613159239</v>
      </c>
      <c r="G573" s="192">
        <v>-9.588063821751458E-2</v>
      </c>
      <c r="H573" s="203">
        <v>9.588063821751458E-2</v>
      </c>
      <c r="I573" s="192">
        <v>-36500.843609442178</v>
      </c>
      <c r="K573" s="202">
        <v>-142802.17677560309</v>
      </c>
      <c r="L573" s="202">
        <v>-182994.42495641956</v>
      </c>
      <c r="M573" s="221">
        <v>40192.248180816474</v>
      </c>
      <c r="N573" s="221">
        <v>40192.248180816488</v>
      </c>
      <c r="O573" s="221">
        <v>-380690.45313023945</v>
      </c>
      <c r="Q573" s="204">
        <f t="shared" si="8"/>
        <v>0</v>
      </c>
      <c r="R573" s="204">
        <f>IF(MAX(K574:L574)=K574,1,0)</f>
        <v>1</v>
      </c>
    </row>
    <row r="574" spans="1:18" x14ac:dyDescent="0.3">
      <c r="A574" s="110">
        <v>569</v>
      </c>
      <c r="C574" s="191">
        <v>1.2899515769812218</v>
      </c>
      <c r="D574" s="192">
        <v>100277.72856905036</v>
      </c>
      <c r="E574" s="192">
        <v>1.2697125956089448</v>
      </c>
      <c r="F574" s="192">
        <v>75576.635688469905</v>
      </c>
      <c r="G574" s="192">
        <v>-2.0238981372276976E-2</v>
      </c>
      <c r="H574" s="203">
        <v>2.0238981372276976E-2</v>
      </c>
      <c r="I574" s="192">
        <v>-24701.092880580458</v>
      </c>
      <c r="K574" s="202">
        <v>-124460.57061941427</v>
      </c>
      <c r="L574" s="202">
        <v>-149940.86428282742</v>
      </c>
      <c r="M574" s="221">
        <v>25480.293663413147</v>
      </c>
      <c r="N574" s="221">
        <v>25480.293663413122</v>
      </c>
      <c r="O574" s="221">
        <v>-1220471.1505103516</v>
      </c>
      <c r="Q574" s="204">
        <f t="shared" si="8"/>
        <v>0</v>
      </c>
      <c r="R574" s="204">
        <f>IF(MAX(K575:L575)=K575,1,0)</f>
        <v>1</v>
      </c>
    </row>
    <row r="575" spans="1:18" x14ac:dyDescent="0.3">
      <c r="A575" s="110">
        <v>570</v>
      </c>
      <c r="C575" s="191">
        <v>1.1445903126488153</v>
      </c>
      <c r="D575" s="192">
        <v>112229.0051040313</v>
      </c>
      <c r="E575" s="192">
        <v>1.0114518610063428</v>
      </c>
      <c r="F575" s="192">
        <v>87704.407300422303</v>
      </c>
      <c r="G575" s="192">
        <v>-0.13313845164247251</v>
      </c>
      <c r="H575" s="203">
        <v>0.13313845164247251</v>
      </c>
      <c r="I575" s="192">
        <v>-24524.597803608995</v>
      </c>
      <c r="K575" s="202">
        <v>-126645.3039491665</v>
      </c>
      <c r="L575" s="202">
        <v>-156295.7321410107</v>
      </c>
      <c r="M575" s="221">
        <v>29650.428191844199</v>
      </c>
      <c r="N575" s="221">
        <v>29650.428191844185</v>
      </c>
      <c r="O575" s="221">
        <v>-184203.71801729291</v>
      </c>
      <c r="Q575" s="204">
        <f t="shared" si="8"/>
        <v>0</v>
      </c>
      <c r="R575" s="204">
        <f>IF(MAX(K576:L576)=K576,1,0)</f>
        <v>1</v>
      </c>
    </row>
    <row r="576" spans="1:18" x14ac:dyDescent="0.3">
      <c r="A576" s="110">
        <v>571</v>
      </c>
      <c r="C576" s="191">
        <v>1.203980390660728</v>
      </c>
      <c r="D576" s="192">
        <v>129846.39744509026</v>
      </c>
      <c r="E576" s="192">
        <v>1.1384010119716026</v>
      </c>
      <c r="F576" s="192">
        <v>106692.05268728468</v>
      </c>
      <c r="G576" s="192">
        <v>-6.5579378689125445E-2</v>
      </c>
      <c r="H576" s="203">
        <v>6.5579378689125445E-2</v>
      </c>
      <c r="I576" s="192">
        <v>-23154.344757805578</v>
      </c>
      <c r="K576" s="202">
        <v>-150520.49164819138</v>
      </c>
      <c r="L576" s="202">
        <v>-176199.64248552828</v>
      </c>
      <c r="M576" s="221">
        <v>25679.1508373369</v>
      </c>
      <c r="N576" s="221">
        <v>25679.150837336907</v>
      </c>
      <c r="O576" s="221">
        <v>-353073.56093700073</v>
      </c>
      <c r="Q576" s="204">
        <f t="shared" si="8"/>
        <v>0</v>
      </c>
      <c r="R576" s="204">
        <f>IF(MAX(K577:L577)=K577,1,0)</f>
        <v>1</v>
      </c>
    </row>
    <row r="577" spans="1:18" x14ac:dyDescent="0.3">
      <c r="A577" s="110">
        <v>572</v>
      </c>
      <c r="C577" s="191">
        <v>1.1304003349281209</v>
      </c>
      <c r="D577" s="192">
        <v>85843.575304129743</v>
      </c>
      <c r="E577" s="192">
        <v>1.061912728334613</v>
      </c>
      <c r="F577" s="192">
        <v>69370.786915096483</v>
      </c>
      <c r="G577" s="192">
        <v>-6.8487606593507833E-2</v>
      </c>
      <c r="H577" s="203">
        <v>6.8487606593507833E-2</v>
      </c>
      <c r="I577" s="192">
        <v>-16472.78838903326</v>
      </c>
      <c r="K577" s="202">
        <v>-110254.42695597908</v>
      </c>
      <c r="L577" s="202">
        <v>-129363.9881988624</v>
      </c>
      <c r="M577" s="221">
        <v>19109.561242883312</v>
      </c>
      <c r="N577" s="221">
        <v>19109.561242883312</v>
      </c>
      <c r="O577" s="221">
        <v>-240522.17924337232</v>
      </c>
      <c r="Q577" s="204">
        <f t="shared" si="8"/>
        <v>0</v>
      </c>
      <c r="R577" s="204">
        <f>IF(MAX(K578:L578)=K578,1,0)</f>
        <v>1</v>
      </c>
    </row>
    <row r="578" spans="1:18" x14ac:dyDescent="0.3">
      <c r="A578" s="110">
        <v>573</v>
      </c>
      <c r="C578" s="191">
        <v>1.1944551795128286</v>
      </c>
      <c r="D578" s="192">
        <v>126593.72776125955</v>
      </c>
      <c r="E578" s="192">
        <v>1.0868263928821511</v>
      </c>
      <c r="F578" s="192">
        <v>102115.80143272447</v>
      </c>
      <c r="G578" s="192">
        <v>-0.10762878663067754</v>
      </c>
      <c r="H578" s="203">
        <v>0.10762878663067754</v>
      </c>
      <c r="I578" s="192">
        <v>-24477.926328535075</v>
      </c>
      <c r="K578" s="202">
        <v>-143958.61755868729</v>
      </c>
      <c r="L578" s="202">
        <v>-172580.25217250345</v>
      </c>
      <c r="M578" s="221">
        <v>28621.634613816161</v>
      </c>
      <c r="N578" s="221">
        <v>28621.634613816161</v>
      </c>
      <c r="O578" s="221">
        <v>-227429.17666190717</v>
      </c>
      <c r="Q578" s="204">
        <f t="shared" si="8"/>
        <v>0</v>
      </c>
      <c r="R578" s="204">
        <f>IF(MAX(K579:L579)=K579,1,0)</f>
        <v>1</v>
      </c>
    </row>
    <row r="579" spans="1:18" x14ac:dyDescent="0.3">
      <c r="A579" s="110">
        <v>574</v>
      </c>
      <c r="C579" s="191">
        <v>0.96251341104616284</v>
      </c>
      <c r="D579" s="192">
        <v>112791.55569654176</v>
      </c>
      <c r="E579" s="192">
        <v>0.76512620160081601</v>
      </c>
      <c r="F579" s="192">
        <v>81323.322365017768</v>
      </c>
      <c r="G579" s="192">
        <v>-0.19738720944534682</v>
      </c>
      <c r="H579" s="203">
        <v>0.19738720944534682</v>
      </c>
      <c r="I579" s="192">
        <v>-31468.233331523996</v>
      </c>
      <c r="K579" s="202">
        <v>-110780.68112664919</v>
      </c>
      <c r="L579" s="202">
        <v>-149848.32202181904</v>
      </c>
      <c r="M579" s="221">
        <v>39067.640895169854</v>
      </c>
      <c r="N579" s="221">
        <v>39067.640895169847</v>
      </c>
      <c r="O579" s="221">
        <v>-159423.87260020015</v>
      </c>
      <c r="Q579" s="204">
        <f t="shared" si="8"/>
        <v>0</v>
      </c>
      <c r="R579" s="204">
        <f>IF(MAX(K580:L580)=K580,1,0)</f>
        <v>1</v>
      </c>
    </row>
    <row r="580" spans="1:18" x14ac:dyDescent="0.3">
      <c r="A580" s="110">
        <v>575</v>
      </c>
      <c r="C580" s="191">
        <v>1.2984774675456234</v>
      </c>
      <c r="D580" s="192">
        <v>110931.72660435094</v>
      </c>
      <c r="E580" s="192">
        <v>1.2043266736962988</v>
      </c>
      <c r="F580" s="192">
        <v>89973.369927820298</v>
      </c>
      <c r="G580" s="192">
        <v>-9.4150793849324677E-2</v>
      </c>
      <c r="H580" s="203">
        <v>9.4150793849324677E-2</v>
      </c>
      <c r="I580" s="192">
        <v>-20958.356676530646</v>
      </c>
      <c r="K580" s="202">
        <v>-136339.9468651278</v>
      </c>
      <c r="L580" s="202">
        <v>-160923.10910485743</v>
      </c>
      <c r="M580" s="221">
        <v>24583.162239729631</v>
      </c>
      <c r="N580" s="221">
        <v>24583.162239729645</v>
      </c>
      <c r="O580" s="221">
        <v>-222604.14192653116</v>
      </c>
      <c r="Q580" s="204">
        <f t="shared" si="8"/>
        <v>0</v>
      </c>
      <c r="R580" s="204">
        <f>IF(MAX(K581:L581)=K581,1,0)</f>
        <v>1</v>
      </c>
    </row>
    <row r="581" spans="1:18" x14ac:dyDescent="0.3">
      <c r="A581" s="110">
        <v>576</v>
      </c>
      <c r="C581" s="191">
        <v>1.6763290756041755</v>
      </c>
      <c r="D581" s="192">
        <v>130267.53517185766</v>
      </c>
      <c r="E581" s="192">
        <v>1.6187380856503837</v>
      </c>
      <c r="F581" s="192">
        <v>98932.219596631912</v>
      </c>
      <c r="G581" s="192">
        <v>-5.759098995379186E-2</v>
      </c>
      <c r="H581" s="203">
        <v>5.759098995379186E-2</v>
      </c>
      <c r="I581" s="192">
        <v>-31335.315575225744</v>
      </c>
      <c r="K581" s="202">
        <v>-161253.63589417169</v>
      </c>
      <c r="L581" s="202">
        <v>-194806.20458261843</v>
      </c>
      <c r="M581" s="221">
        <v>33552.568688446743</v>
      </c>
      <c r="N581" s="221">
        <v>33552.568688446729</v>
      </c>
      <c r="O581" s="221">
        <v>-544101.00608389685</v>
      </c>
      <c r="Q581" s="204">
        <f t="shared" si="8"/>
        <v>0</v>
      </c>
      <c r="R581" s="204">
        <f>IF(MAX(K582:L582)=K582,1,0)</f>
        <v>1</v>
      </c>
    </row>
    <row r="582" spans="1:18" x14ac:dyDescent="0.3">
      <c r="A582" s="110">
        <v>577</v>
      </c>
      <c r="C582" s="191">
        <v>1.1840654373807704</v>
      </c>
      <c r="D582" s="192">
        <v>122348.29570101338</v>
      </c>
      <c r="E582" s="192">
        <v>1.0318711209585054</v>
      </c>
      <c r="F582" s="192">
        <v>88417.618397271406</v>
      </c>
      <c r="G582" s="192">
        <v>-0.152194316422265</v>
      </c>
      <c r="H582" s="203">
        <v>0.152194316422265</v>
      </c>
      <c r="I582" s="192">
        <v>-33930.677303741977</v>
      </c>
      <c r="K582" s="202">
        <v>-128144.65655417387</v>
      </c>
      <c r="L582" s="202">
        <v>-167934.81504017304</v>
      </c>
      <c r="M582" s="221">
        <v>39790.158485999171</v>
      </c>
      <c r="N582" s="221">
        <v>39790.158485999178</v>
      </c>
      <c r="O582" s="221">
        <v>-222943.13021256914</v>
      </c>
      <c r="Q582" s="204">
        <f t="shared" si="8"/>
        <v>0</v>
      </c>
      <c r="R582" s="204">
        <f>IF(MAX(K583:L583)=K583,1,0)</f>
        <v>1</v>
      </c>
    </row>
    <row r="583" spans="1:18" x14ac:dyDescent="0.3">
      <c r="A583" s="110">
        <v>578</v>
      </c>
      <c r="C583" s="191">
        <v>1.3835394354431187</v>
      </c>
      <c r="D583" s="192">
        <v>167409.27123467426</v>
      </c>
      <c r="E583" s="192">
        <v>1.1366146325897686</v>
      </c>
      <c r="F583" s="192">
        <v>104391.32752703947</v>
      </c>
      <c r="G583" s="192">
        <v>-0.24692480285335017</v>
      </c>
      <c r="H583" s="203">
        <v>0.24692480285335017</v>
      </c>
      <c r="I583" s="192">
        <v>-63017.943707634797</v>
      </c>
      <c r="K583" s="202">
        <v>-148150.99088174556</v>
      </c>
      <c r="L583" s="202">
        <v>-220675.53949923435</v>
      </c>
      <c r="M583" s="221">
        <v>72524.548617488792</v>
      </c>
      <c r="N583" s="221">
        <v>72524.548617488777</v>
      </c>
      <c r="O583" s="221">
        <v>-255211.07227556017</v>
      </c>
      <c r="Q583" s="204">
        <f t="shared" ref="Q583:Q646" si="9">IF(MAX(K583:L583)=L583,1,0)</f>
        <v>0</v>
      </c>
      <c r="R583" s="204">
        <f>IF(MAX(K584:L584)=K584,1,0)</f>
        <v>1</v>
      </c>
    </row>
    <row r="584" spans="1:18" x14ac:dyDescent="0.3">
      <c r="A584" s="110">
        <v>579</v>
      </c>
      <c r="C584" s="191">
        <v>1.1638248130935056</v>
      </c>
      <c r="D584" s="192">
        <v>114418.76100967356</v>
      </c>
      <c r="E584" s="192">
        <v>0.98717402948288491</v>
      </c>
      <c r="F584" s="192">
        <v>88392.34930100356</v>
      </c>
      <c r="G584" s="192">
        <v>-0.1766507836106207</v>
      </c>
      <c r="H584" s="203">
        <v>0.1766507836106207</v>
      </c>
      <c r="I584" s="192">
        <v>-26026.411708669999</v>
      </c>
      <c r="K584" s="202">
        <v>-126398.54943609463</v>
      </c>
      <c r="L584" s="202">
        <v>-159226.01631377352</v>
      </c>
      <c r="M584" s="221">
        <v>32827.466877678889</v>
      </c>
      <c r="N584" s="221">
        <v>32827.466877678897</v>
      </c>
      <c r="O584" s="221">
        <v>-147332.55735812781</v>
      </c>
      <c r="Q584" s="204">
        <f t="shared" si="9"/>
        <v>0</v>
      </c>
      <c r="R584" s="204">
        <f>IF(MAX(K585:L585)=K585,1,0)</f>
        <v>1</v>
      </c>
    </row>
    <row r="585" spans="1:18" x14ac:dyDescent="0.3">
      <c r="A585" s="110">
        <v>580</v>
      </c>
      <c r="C585" s="191">
        <v>1.4623649400802936</v>
      </c>
      <c r="D585" s="192">
        <v>99180.264466432709</v>
      </c>
      <c r="E585" s="192">
        <v>1.3327330409949836</v>
      </c>
      <c r="F585" s="192">
        <v>65717.66898935294</v>
      </c>
      <c r="G585" s="192">
        <v>-0.12963189908531003</v>
      </c>
      <c r="H585" s="203">
        <v>0.12963189908531003</v>
      </c>
      <c r="I585" s="192">
        <v>-33462.595477079769</v>
      </c>
      <c r="K585" s="202">
        <v>-117027.8910676598</v>
      </c>
      <c r="L585" s="202">
        <v>-155481.31465952401</v>
      </c>
      <c r="M585" s="221">
        <v>38453.423591864208</v>
      </c>
      <c r="N585" s="221">
        <v>38453.423591864208</v>
      </c>
      <c r="O585" s="221">
        <v>-258135.50301425593</v>
      </c>
      <c r="Q585" s="204">
        <f t="shared" si="9"/>
        <v>0</v>
      </c>
      <c r="R585" s="204">
        <f>IF(MAX(K586:L586)=K586,1,0)</f>
        <v>1</v>
      </c>
    </row>
    <row r="586" spans="1:18" x14ac:dyDescent="0.3">
      <c r="A586" s="110">
        <v>581</v>
      </c>
      <c r="C586" s="191">
        <v>1.5612170475936447</v>
      </c>
      <c r="D586" s="192">
        <v>128695.58038399814</v>
      </c>
      <c r="E586" s="192">
        <v>1.4372523674600568</v>
      </c>
      <c r="F586" s="192">
        <v>86858.009334566494</v>
      </c>
      <c r="G586" s="192">
        <v>-0.12396468013358786</v>
      </c>
      <c r="H586" s="203">
        <v>0.12396468013358786</v>
      </c>
      <c r="I586" s="192">
        <v>-41837.571049431644</v>
      </c>
      <c r="K586" s="202">
        <v>-142192.22548177867</v>
      </c>
      <c r="L586" s="202">
        <v>-188802.43671635346</v>
      </c>
      <c r="M586" s="221">
        <v>46610.211234574788</v>
      </c>
      <c r="N586" s="221">
        <v>46610.211234574774</v>
      </c>
      <c r="O586" s="221">
        <v>-337495.8980602079</v>
      </c>
      <c r="Q586" s="204">
        <f t="shared" si="9"/>
        <v>0</v>
      </c>
      <c r="R586" s="204">
        <f>IF(MAX(K587:L587)=K587,1,0)</f>
        <v>1</v>
      </c>
    </row>
    <row r="587" spans="1:18" x14ac:dyDescent="0.3">
      <c r="A587" s="110">
        <v>582</v>
      </c>
      <c r="C587" s="191">
        <v>1.2765069921086367</v>
      </c>
      <c r="D587" s="192">
        <v>129981.97287782353</v>
      </c>
      <c r="E587" s="192">
        <v>1.0905395555277448</v>
      </c>
      <c r="F587" s="192">
        <v>92172.417574625433</v>
      </c>
      <c r="G587" s="192">
        <v>-0.18596743658089188</v>
      </c>
      <c r="H587" s="203">
        <v>0.18596743658089188</v>
      </c>
      <c r="I587" s="192">
        <v>-37809.555303198096</v>
      </c>
      <c r="K587" s="202">
        <v>-134158.1904624436</v>
      </c>
      <c r="L587" s="202">
        <v>-179127.49207400603</v>
      </c>
      <c r="M587" s="221">
        <v>44969.301611562434</v>
      </c>
      <c r="N587" s="221">
        <v>44969.301611562434</v>
      </c>
      <c r="O587" s="221">
        <v>-203312.77345295742</v>
      </c>
      <c r="Q587" s="204">
        <f t="shared" si="9"/>
        <v>0</v>
      </c>
      <c r="R587" s="204">
        <f>IF(MAX(K588:L588)=K588,1,0)</f>
        <v>1</v>
      </c>
    </row>
    <row r="588" spans="1:18" x14ac:dyDescent="0.3">
      <c r="A588" s="110">
        <v>583</v>
      </c>
      <c r="C588" s="191">
        <v>1.4481198386867729</v>
      </c>
      <c r="D588" s="192">
        <v>138353.62041250951</v>
      </c>
      <c r="E588" s="192">
        <v>1.2798244302625674</v>
      </c>
      <c r="F588" s="192">
        <v>99237.803113324524</v>
      </c>
      <c r="G588" s="192">
        <v>-0.16829540842420543</v>
      </c>
      <c r="H588" s="203">
        <v>0.16829540842420543</v>
      </c>
      <c r="I588" s="192">
        <v>-39115.817299184986</v>
      </c>
      <c r="K588" s="202">
        <v>-148511.04367843337</v>
      </c>
      <c r="L588" s="202">
        <v>-194106.23420195025</v>
      </c>
      <c r="M588" s="221">
        <v>45595.190523516882</v>
      </c>
      <c r="N588" s="221">
        <v>45595.190523516896</v>
      </c>
      <c r="O588" s="221">
        <v>-232423.55608769582</v>
      </c>
      <c r="Q588" s="204">
        <f t="shared" si="9"/>
        <v>0</v>
      </c>
      <c r="R588" s="204">
        <f>IF(MAX(K589:L589)=K589,1,0)</f>
        <v>1</v>
      </c>
    </row>
    <row r="589" spans="1:18" x14ac:dyDescent="0.3">
      <c r="A589" s="110">
        <v>584</v>
      </c>
      <c r="C589" s="191">
        <v>1.2871544793226974</v>
      </c>
      <c r="D589" s="192">
        <v>142429.5672965656</v>
      </c>
      <c r="E589" s="192">
        <v>1.1599479037154399</v>
      </c>
      <c r="F589" s="192">
        <v>103557.30818219014</v>
      </c>
      <c r="G589" s="192">
        <v>-0.12720657560725757</v>
      </c>
      <c r="H589" s="203">
        <v>0.12720657560725757</v>
      </c>
      <c r="I589" s="192">
        <v>-38872.259114375454</v>
      </c>
      <c r="K589" s="202">
        <v>-148215.30247523458</v>
      </c>
      <c r="L589" s="202">
        <v>-191985.01475048944</v>
      </c>
      <c r="M589" s="221">
        <v>43769.71227525486</v>
      </c>
      <c r="N589" s="221">
        <v>43769.712275254868</v>
      </c>
      <c r="O589" s="221">
        <v>-305583.72418098222</v>
      </c>
      <c r="Q589" s="204">
        <f t="shared" si="9"/>
        <v>0</v>
      </c>
      <c r="R589" s="204">
        <f>IF(MAX(K590:L590)=K590,1,0)</f>
        <v>1</v>
      </c>
    </row>
    <row r="590" spans="1:18" x14ac:dyDescent="0.3">
      <c r="A590" s="110">
        <v>585</v>
      </c>
      <c r="C590" s="191">
        <v>1.1332277824968715</v>
      </c>
      <c r="D590" s="192">
        <v>121124.6997072942</v>
      </c>
      <c r="E590" s="192">
        <v>1.0137556555781972</v>
      </c>
      <c r="F590" s="192">
        <v>89313.545083915451</v>
      </c>
      <c r="G590" s="192">
        <v>-0.11947212691867426</v>
      </c>
      <c r="H590" s="203">
        <v>0.11947212691867426</v>
      </c>
      <c r="I590" s="192">
        <v>-31811.154623378752</v>
      </c>
      <c r="K590" s="202">
        <v>-128343.13782367605</v>
      </c>
      <c r="L590" s="202">
        <v>-164753.96933342377</v>
      </c>
      <c r="M590" s="221">
        <v>36410.831509747717</v>
      </c>
      <c r="N590" s="221">
        <v>36410.83150974771</v>
      </c>
      <c r="O590" s="221">
        <v>-266264.23621831799</v>
      </c>
      <c r="Q590" s="204">
        <f t="shared" si="9"/>
        <v>0</v>
      </c>
      <c r="R590" s="204">
        <f>IF(MAX(K591:L591)=K591,1,0)</f>
        <v>1</v>
      </c>
    </row>
    <row r="591" spans="1:18" x14ac:dyDescent="0.3">
      <c r="A591" s="110">
        <v>586</v>
      </c>
      <c r="C591" s="191">
        <v>1.1538670866286205</v>
      </c>
      <c r="D591" s="192">
        <v>135127.66653748963</v>
      </c>
      <c r="E591" s="192">
        <v>1.029721337096424</v>
      </c>
      <c r="F591" s="192">
        <v>103446.95527704447</v>
      </c>
      <c r="G591" s="192">
        <v>-0.12414574953219648</v>
      </c>
      <c r="H591" s="203">
        <v>0.12414574953219648</v>
      </c>
      <c r="I591" s="192">
        <v>-31680.711260445154</v>
      </c>
      <c r="K591" s="202">
        <v>-143091.22675525679</v>
      </c>
      <c r="L591" s="202">
        <v>-179551.54937269152</v>
      </c>
      <c r="M591" s="221">
        <v>36460.322617434722</v>
      </c>
      <c r="N591" s="221">
        <v>36460.322617434722</v>
      </c>
      <c r="O591" s="221">
        <v>-255189.6571555915</v>
      </c>
      <c r="Q591" s="204">
        <f t="shared" si="9"/>
        <v>0</v>
      </c>
      <c r="R591" s="204">
        <f>IF(MAX(K592:L592)=K592,1,0)</f>
        <v>1</v>
      </c>
    </row>
    <row r="592" spans="1:18" x14ac:dyDescent="0.3">
      <c r="A592" s="110">
        <v>587</v>
      </c>
      <c r="C592" s="191">
        <v>1.3869274342418336</v>
      </c>
      <c r="D592" s="192">
        <v>128348.52406146647</v>
      </c>
      <c r="E592" s="192">
        <v>1.2287261653133754</v>
      </c>
      <c r="F592" s="192">
        <v>99422.107718942309</v>
      </c>
      <c r="G592" s="192">
        <v>-0.15820126892845821</v>
      </c>
      <c r="H592" s="203">
        <v>0.15820126892845821</v>
      </c>
      <c r="I592" s="192">
        <v>-28926.416342524157</v>
      </c>
      <c r="K592" s="202">
        <v>-146728.06508350727</v>
      </c>
      <c r="L592" s="202">
        <v>-181745.23027977705</v>
      </c>
      <c r="M592" s="221">
        <v>35017.16519626978</v>
      </c>
      <c r="N592" s="221">
        <v>35017.165196269794</v>
      </c>
      <c r="O592" s="221">
        <v>-182845.66576773327</v>
      </c>
      <c r="Q592" s="204">
        <f t="shared" si="9"/>
        <v>0</v>
      </c>
      <c r="R592" s="204">
        <f>IF(MAX(K593:L593)=K593,1,0)</f>
        <v>1</v>
      </c>
    </row>
    <row r="593" spans="1:18" x14ac:dyDescent="0.3">
      <c r="A593" s="110">
        <v>588</v>
      </c>
      <c r="C593" s="191">
        <v>1.7263100341686499</v>
      </c>
      <c r="D593" s="192">
        <v>106465.29898681898</v>
      </c>
      <c r="E593" s="192">
        <v>1.6724786136234751</v>
      </c>
      <c r="F593" s="192">
        <v>81584.993046386284</v>
      </c>
      <c r="G593" s="192">
        <v>-5.3831420545174868E-2</v>
      </c>
      <c r="H593" s="203">
        <v>5.3831420545174868E-2</v>
      </c>
      <c r="I593" s="192">
        <v>-24880.305940432692</v>
      </c>
      <c r="K593" s="202">
        <v>-145975.41967089009</v>
      </c>
      <c r="L593" s="202">
        <v>-172928.23530231201</v>
      </c>
      <c r="M593" s="221">
        <v>26952.815631421923</v>
      </c>
      <c r="N593" s="221">
        <v>26952.815631421923</v>
      </c>
      <c r="O593" s="221">
        <v>-462189.28812315757</v>
      </c>
      <c r="Q593" s="204">
        <f t="shared" si="9"/>
        <v>0</v>
      </c>
      <c r="R593" s="204">
        <f>IF(MAX(K594:L594)=K594,1,0)</f>
        <v>1</v>
      </c>
    </row>
    <row r="594" spans="1:18" x14ac:dyDescent="0.3">
      <c r="A594" s="110">
        <v>589</v>
      </c>
      <c r="C594" s="191">
        <v>1.426672068186142</v>
      </c>
      <c r="D594" s="192">
        <v>87082.470223197975</v>
      </c>
      <c r="E594" s="192">
        <v>1.3160358130778058</v>
      </c>
      <c r="F594" s="192">
        <v>65232.902284450727</v>
      </c>
      <c r="G594" s="192">
        <v>-0.11063625510833619</v>
      </c>
      <c r="H594" s="203">
        <v>0.11063625510833619</v>
      </c>
      <c r="I594" s="192">
        <v>-21849.567938747248</v>
      </c>
      <c r="K594" s="202">
        <v>-115900.28108794625</v>
      </c>
      <c r="L594" s="202">
        <v>-142009.34484836445</v>
      </c>
      <c r="M594" s="221">
        <v>26109.063760418197</v>
      </c>
      <c r="N594" s="221">
        <v>26109.06376041819</v>
      </c>
      <c r="O594" s="221">
        <v>-197490.1257942247</v>
      </c>
      <c r="Q594" s="204">
        <f t="shared" si="9"/>
        <v>0</v>
      </c>
      <c r="R594" s="204">
        <f>IF(MAX(K595:L595)=K595,1,0)</f>
        <v>1</v>
      </c>
    </row>
    <row r="595" spans="1:18" x14ac:dyDescent="0.3">
      <c r="A595" s="110">
        <v>590</v>
      </c>
      <c r="C595" s="191">
        <v>1.0838127304625549</v>
      </c>
      <c r="D595" s="192">
        <v>154192.20954259526</v>
      </c>
      <c r="E595" s="192">
        <v>0.87698867734056962</v>
      </c>
      <c r="F595" s="192">
        <v>103553.25349921857</v>
      </c>
      <c r="G595" s="192">
        <v>-0.20682405312198526</v>
      </c>
      <c r="H595" s="203">
        <v>0.20682405312198526</v>
      </c>
      <c r="I595" s="192">
        <v>-50638.956043376689</v>
      </c>
      <c r="K595" s="202">
        <v>-137317.31757683051</v>
      </c>
      <c r="L595" s="202">
        <v>-195918.99966540362</v>
      </c>
      <c r="M595" s="221">
        <v>58601.682088573114</v>
      </c>
      <c r="N595" s="221">
        <v>58601.682088573121</v>
      </c>
      <c r="O595" s="221">
        <v>-244840.74883451647</v>
      </c>
      <c r="Q595" s="204">
        <f t="shared" si="9"/>
        <v>0</v>
      </c>
      <c r="R595" s="204">
        <f>IF(MAX(K596:L596)=K596,1,0)</f>
        <v>1</v>
      </c>
    </row>
    <row r="596" spans="1:18" x14ac:dyDescent="0.3">
      <c r="A596" s="110">
        <v>591</v>
      </c>
      <c r="C596" s="191">
        <v>1.3343970920937824</v>
      </c>
      <c r="D596" s="192">
        <v>99520.163363243613</v>
      </c>
      <c r="E596" s="192">
        <v>1.170677187223965</v>
      </c>
      <c r="F596" s="192">
        <v>78835.545950297761</v>
      </c>
      <c r="G596" s="192">
        <v>-0.16371990486981747</v>
      </c>
      <c r="H596" s="203">
        <v>0.16371990486981747</v>
      </c>
      <c r="I596" s="192">
        <v>-20684.617412945852</v>
      </c>
      <c r="K596" s="202">
        <v>-123906.61765842041</v>
      </c>
      <c r="L596" s="202">
        <v>-150894.45140885422</v>
      </c>
      <c r="M596" s="221">
        <v>26987.833750433812</v>
      </c>
      <c r="N596" s="221">
        <v>26987.833750433827</v>
      </c>
      <c r="O596" s="221">
        <v>-126341.49420861994</v>
      </c>
      <c r="Q596" s="204">
        <f t="shared" si="9"/>
        <v>0</v>
      </c>
      <c r="R596" s="204">
        <f>IF(MAX(K597:L597)=K597,1,0)</f>
        <v>1</v>
      </c>
    </row>
    <row r="597" spans="1:18" x14ac:dyDescent="0.3">
      <c r="A597" s="110">
        <v>592</v>
      </c>
      <c r="C597" s="191">
        <v>1.3511218238920837</v>
      </c>
      <c r="D597" s="192">
        <v>121807.12823752173</v>
      </c>
      <c r="E597" s="192">
        <v>1.2512742728092447</v>
      </c>
      <c r="F597" s="192">
        <v>97989.237542762246</v>
      </c>
      <c r="G597" s="192">
        <v>-9.9847551082838937E-2</v>
      </c>
      <c r="H597" s="203">
        <v>9.9847551082838937E-2</v>
      </c>
      <c r="I597" s="192">
        <v>-23817.890694759481</v>
      </c>
      <c r="K597" s="202">
        <v>-146163.29704591818</v>
      </c>
      <c r="L597" s="202">
        <v>-173825.31845736696</v>
      </c>
      <c r="M597" s="221">
        <v>27662.021411448775</v>
      </c>
      <c r="N597" s="221">
        <v>27662.021411448779</v>
      </c>
      <c r="O597" s="221">
        <v>-238542.56250109599</v>
      </c>
      <c r="Q597" s="204">
        <f t="shared" si="9"/>
        <v>0</v>
      </c>
      <c r="R597" s="204">
        <f>IF(MAX(K598:L598)=K598,1,0)</f>
        <v>1</v>
      </c>
    </row>
    <row r="598" spans="1:18" x14ac:dyDescent="0.3">
      <c r="A598" s="110">
        <v>593</v>
      </c>
      <c r="C598" s="191">
        <v>1.1354030472729961</v>
      </c>
      <c r="D598" s="192">
        <v>117915.19937420415</v>
      </c>
      <c r="E598" s="192">
        <v>0.95532329421722928</v>
      </c>
      <c r="F598" s="192">
        <v>83859.304680084766</v>
      </c>
      <c r="G598" s="192">
        <v>-0.18007975305576684</v>
      </c>
      <c r="H598" s="203">
        <v>0.18007975305576684</v>
      </c>
      <c r="I598" s="192">
        <v>-34055.894694119386</v>
      </c>
      <c r="K598" s="202">
        <v>-120639.25150744809</v>
      </c>
      <c r="L598" s="202">
        <v>-161628.2166942145</v>
      </c>
      <c r="M598" s="221">
        <v>40988.965186766407</v>
      </c>
      <c r="N598" s="221">
        <v>40988.965186766407</v>
      </c>
      <c r="O598" s="221">
        <v>-189115.62302938633</v>
      </c>
      <c r="Q598" s="204">
        <f t="shared" si="9"/>
        <v>0</v>
      </c>
      <c r="R598" s="204">
        <f>IF(MAX(K599:L599)=K599,1,0)</f>
        <v>1</v>
      </c>
    </row>
    <row r="599" spans="1:18" x14ac:dyDescent="0.3">
      <c r="A599" s="110">
        <v>594</v>
      </c>
      <c r="C599" s="191">
        <v>1.3739882034076769</v>
      </c>
      <c r="D599" s="192">
        <v>118096.74829447737</v>
      </c>
      <c r="E599" s="192">
        <v>1.2259256557880687</v>
      </c>
      <c r="F599" s="192">
        <v>84435.756906272101</v>
      </c>
      <c r="G599" s="192">
        <v>-0.14806254761960824</v>
      </c>
      <c r="H599" s="203">
        <v>0.14806254761960824</v>
      </c>
      <c r="I599" s="192">
        <v>-33660.991388205264</v>
      </c>
      <c r="K599" s="202">
        <v>-131633.89465411275</v>
      </c>
      <c r="L599" s="202">
        <v>-170995.29412567292</v>
      </c>
      <c r="M599" s="221">
        <v>39361.399471560173</v>
      </c>
      <c r="N599" s="221">
        <v>39361.39947156018</v>
      </c>
      <c r="O599" s="221">
        <v>-227343.05149661945</v>
      </c>
      <c r="Q599" s="204">
        <f t="shared" si="9"/>
        <v>0</v>
      </c>
      <c r="R599" s="204">
        <f>IF(MAX(K600:L600)=K600,1,0)</f>
        <v>1</v>
      </c>
    </row>
    <row r="600" spans="1:18" x14ac:dyDescent="0.3">
      <c r="A600" s="110">
        <v>595</v>
      </c>
      <c r="C600" s="191">
        <v>1.2575680878815467</v>
      </c>
      <c r="D600" s="192">
        <v>110347.0748647232</v>
      </c>
      <c r="E600" s="192">
        <v>1.1038015071444267</v>
      </c>
      <c r="F600" s="192">
        <v>77262.356831001554</v>
      </c>
      <c r="G600" s="192">
        <v>-0.15376658073712002</v>
      </c>
      <c r="H600" s="203">
        <v>0.15376658073712002</v>
      </c>
      <c r="I600" s="192">
        <v>-33084.718033721641</v>
      </c>
      <c r="K600" s="202">
        <v>-119758.71485606198</v>
      </c>
      <c r="L600" s="202">
        <v>-158763.44624816274</v>
      </c>
      <c r="M600" s="221">
        <v>39004.731392100759</v>
      </c>
      <c r="N600" s="221">
        <v>39004.731392100759</v>
      </c>
      <c r="O600" s="221">
        <v>-215161.95440596688</v>
      </c>
      <c r="Q600" s="204">
        <f t="shared" si="9"/>
        <v>0</v>
      </c>
      <c r="R600" s="204">
        <f>IF(MAX(K601:L601)=K601,1,0)</f>
        <v>1</v>
      </c>
    </row>
    <row r="601" spans="1:18" x14ac:dyDescent="0.3">
      <c r="A601" s="110">
        <v>596</v>
      </c>
      <c r="C601" s="191">
        <v>1.3272260603464285</v>
      </c>
      <c r="D601" s="192">
        <v>124053.13333529601</v>
      </c>
      <c r="E601" s="192">
        <v>1.1635144754198057</v>
      </c>
      <c r="F601" s="192">
        <v>93200.340741457825</v>
      </c>
      <c r="G601" s="192">
        <v>-0.16371158492662286</v>
      </c>
      <c r="H601" s="203">
        <v>0.16371158492662286</v>
      </c>
      <c r="I601" s="192">
        <v>-30852.792593838181</v>
      </c>
      <c r="K601" s="202">
        <v>-137995.64804512035</v>
      </c>
      <c r="L601" s="202">
        <v>-175151.33665863349</v>
      </c>
      <c r="M601" s="221">
        <v>37155.688613513135</v>
      </c>
      <c r="N601" s="221">
        <v>37155.688613513164</v>
      </c>
      <c r="O601" s="221">
        <v>-188458.21209089574</v>
      </c>
      <c r="Q601" s="204">
        <f t="shared" si="9"/>
        <v>0</v>
      </c>
      <c r="R601" s="204">
        <f>IF(MAX(K602:L602)=K602,1,0)</f>
        <v>1</v>
      </c>
    </row>
    <row r="602" spans="1:18" x14ac:dyDescent="0.3">
      <c r="A602" s="110">
        <v>597</v>
      </c>
      <c r="C602" s="191">
        <v>1.182767529809795</v>
      </c>
      <c r="D602" s="192">
        <v>107934.16957135181</v>
      </c>
      <c r="E602" s="192">
        <v>0.9706303686702592</v>
      </c>
      <c r="F602" s="192">
        <v>79838.622264058125</v>
      </c>
      <c r="G602" s="192">
        <v>-0.21213716113953585</v>
      </c>
      <c r="H602" s="203">
        <v>0.21213716113953585</v>
      </c>
      <c r="I602" s="192">
        <v>-28095.547307293687</v>
      </c>
      <c r="K602" s="202">
        <v>-117207.89145786311</v>
      </c>
      <c r="L602" s="202">
        <v>-153470.71946902893</v>
      </c>
      <c r="M602" s="221">
        <v>36262.828011165824</v>
      </c>
      <c r="N602" s="221">
        <v>36262.828011165817</v>
      </c>
      <c r="O602" s="221">
        <v>-132440.47934069173</v>
      </c>
      <c r="Q602" s="204">
        <f t="shared" si="9"/>
        <v>0</v>
      </c>
      <c r="R602" s="204">
        <f>IF(MAX(K603:L603)=K603,1,0)</f>
        <v>1</v>
      </c>
    </row>
    <row r="603" spans="1:18" x14ac:dyDescent="0.3">
      <c r="A603" s="110">
        <v>598</v>
      </c>
      <c r="C603" s="191">
        <v>1.4069185358798004</v>
      </c>
      <c r="D603" s="192">
        <v>131448.86401191671</v>
      </c>
      <c r="E603" s="192">
        <v>1.2053144395367923</v>
      </c>
      <c r="F603" s="192">
        <v>93450.589667174674</v>
      </c>
      <c r="G603" s="192">
        <v>-0.20160409634300813</v>
      </c>
      <c r="H603" s="203">
        <v>0.20160409634300813</v>
      </c>
      <c r="I603" s="192">
        <v>-37998.274344742036</v>
      </c>
      <c r="K603" s="202">
        <v>-139855.19558934117</v>
      </c>
      <c r="L603" s="202">
        <v>-185615.22764328902</v>
      </c>
      <c r="M603" s="221">
        <v>45760.032053947856</v>
      </c>
      <c r="N603" s="221">
        <v>45760.032053947849</v>
      </c>
      <c r="O603" s="221">
        <v>-188479.67394517607</v>
      </c>
      <c r="Q603" s="204">
        <f t="shared" si="9"/>
        <v>0</v>
      </c>
      <c r="R603" s="204">
        <f>IF(MAX(K604:L604)=K604,1,0)</f>
        <v>1</v>
      </c>
    </row>
    <row r="604" spans="1:18" x14ac:dyDescent="0.3">
      <c r="A604" s="110">
        <v>599</v>
      </c>
      <c r="C604" s="191">
        <v>1.6496520989353589</v>
      </c>
      <c r="D604" s="192">
        <v>135251.06882602072</v>
      </c>
      <c r="E604" s="192">
        <v>1.4906035844705376</v>
      </c>
      <c r="F604" s="192">
        <v>88863.12971076151</v>
      </c>
      <c r="G604" s="192">
        <v>-0.15904851446482127</v>
      </c>
      <c r="H604" s="203">
        <v>0.15904851446482127</v>
      </c>
      <c r="I604" s="192">
        <v>-46387.939115259214</v>
      </c>
      <c r="K604" s="202">
        <v>-146251.36771287723</v>
      </c>
      <c r="L604" s="202">
        <v>-198762.67463503205</v>
      </c>
      <c r="M604" s="221">
        <v>52511.306922154821</v>
      </c>
      <c r="N604" s="221">
        <v>52511.306922154836</v>
      </c>
      <c r="O604" s="221">
        <v>-291659.05303390563</v>
      </c>
      <c r="Q604" s="204">
        <f t="shared" si="9"/>
        <v>0</v>
      </c>
      <c r="R604" s="204">
        <f>IF(MAX(K605:L605)=K605,1,0)</f>
        <v>1</v>
      </c>
    </row>
    <row r="605" spans="1:18" x14ac:dyDescent="0.3">
      <c r="A605" s="110">
        <v>600</v>
      </c>
      <c r="C605" s="191">
        <v>1.4984015125841545</v>
      </c>
      <c r="D605" s="192">
        <v>122150.2988841606</v>
      </c>
      <c r="E605" s="192">
        <v>1.3759877925203601</v>
      </c>
      <c r="F605" s="192">
        <v>90428.501983669688</v>
      </c>
      <c r="G605" s="192">
        <v>-0.12241372006379447</v>
      </c>
      <c r="H605" s="203">
        <v>0.12241372006379447</v>
      </c>
      <c r="I605" s="192">
        <v>-31721.79690049091</v>
      </c>
      <c r="K605" s="202">
        <v>-143404.03199570355</v>
      </c>
      <c r="L605" s="202">
        <v>-179838.75711865054</v>
      </c>
      <c r="M605" s="221">
        <v>36434.725122946984</v>
      </c>
      <c r="N605" s="221">
        <v>36434.725122946998</v>
      </c>
      <c r="O605" s="221">
        <v>-259135.96028255223</v>
      </c>
      <c r="Q605" s="204">
        <f t="shared" si="9"/>
        <v>0</v>
      </c>
      <c r="R605" s="204">
        <f>IF(MAX(K606:L606)=K606,1,0)</f>
        <v>1</v>
      </c>
    </row>
    <row r="606" spans="1:18" x14ac:dyDescent="0.3">
      <c r="A606" s="110">
        <v>601</v>
      </c>
      <c r="C606" s="191">
        <v>1.3084704842076611</v>
      </c>
      <c r="D606" s="192">
        <v>96016.958944964077</v>
      </c>
      <c r="E606" s="192">
        <v>1.2627152788444775</v>
      </c>
      <c r="F606" s="192">
        <v>74510.724720712416</v>
      </c>
      <c r="G606" s="192">
        <v>-4.575520536318356E-2</v>
      </c>
      <c r="H606" s="203">
        <v>4.575520536318356E-2</v>
      </c>
      <c r="I606" s="192">
        <v>-21506.234224251661</v>
      </c>
      <c r="K606" s="202">
        <v>-123125.2629562248</v>
      </c>
      <c r="L606" s="202">
        <v>-146393.07258695902</v>
      </c>
      <c r="M606" s="221">
        <v>23267.80963073422</v>
      </c>
      <c r="N606" s="221">
        <v>23267.809630734228</v>
      </c>
      <c r="O606" s="221">
        <v>-470028.14332369762</v>
      </c>
      <c r="Q606" s="204">
        <f t="shared" si="9"/>
        <v>0</v>
      </c>
      <c r="R606" s="204">
        <f>IF(MAX(K607:L607)=K607,1,0)</f>
        <v>1</v>
      </c>
    </row>
    <row r="607" spans="1:18" x14ac:dyDescent="0.3">
      <c r="A607" s="110">
        <v>602</v>
      </c>
      <c r="C607" s="191">
        <v>1.1803400639296648</v>
      </c>
      <c r="D607" s="192">
        <v>102432.45390035541</v>
      </c>
      <c r="E607" s="192">
        <v>1.0797813062634882</v>
      </c>
      <c r="F607" s="192">
        <v>86860.69127146808</v>
      </c>
      <c r="G607" s="192">
        <v>-0.10055875766617661</v>
      </c>
      <c r="H607" s="203">
        <v>0.10055875766617661</v>
      </c>
      <c r="I607" s="192">
        <v>-15571.762628887329</v>
      </c>
      <c r="K607" s="202">
        <v>-128432.27156261238</v>
      </c>
      <c r="L607" s="202">
        <v>-147875.54636164749</v>
      </c>
      <c r="M607" s="221">
        <v>19443.274799035105</v>
      </c>
      <c r="N607" s="221">
        <v>19443.274799035127</v>
      </c>
      <c r="O607" s="221">
        <v>-154852.37676245638</v>
      </c>
      <c r="Q607" s="204">
        <f t="shared" si="9"/>
        <v>0</v>
      </c>
      <c r="R607" s="204">
        <f>IF(MAX(K608:L608)=K608,1,0)</f>
        <v>1</v>
      </c>
    </row>
    <row r="608" spans="1:18" x14ac:dyDescent="0.3">
      <c r="A608" s="110">
        <v>603</v>
      </c>
      <c r="C608" s="191">
        <v>1.3016621969437829</v>
      </c>
      <c r="D608" s="192">
        <v>104479.34443950564</v>
      </c>
      <c r="E608" s="192">
        <v>1.1789761003999035</v>
      </c>
      <c r="F608" s="192">
        <v>73671.420440274611</v>
      </c>
      <c r="G608" s="192">
        <v>-0.12268609654387941</v>
      </c>
      <c r="H608" s="203">
        <v>0.12268609654387941</v>
      </c>
      <c r="I608" s="192">
        <v>-30807.923999231032</v>
      </c>
      <c r="K608" s="202">
        <v>-119062.0003056709</v>
      </c>
      <c r="L608" s="202">
        <v>-154593.3390218413</v>
      </c>
      <c r="M608" s="221">
        <v>35531.338716170401</v>
      </c>
      <c r="N608" s="221">
        <v>35531.338716170387</v>
      </c>
      <c r="O608" s="221">
        <v>-251111.77930591669</v>
      </c>
      <c r="Q608" s="204">
        <f t="shared" si="9"/>
        <v>0</v>
      </c>
      <c r="R608" s="204">
        <f>IF(MAX(K609:L609)=K609,1,0)</f>
        <v>1</v>
      </c>
    </row>
    <row r="609" spans="1:18" x14ac:dyDescent="0.3">
      <c r="A609" s="110">
        <v>604</v>
      </c>
      <c r="C609" s="191">
        <v>1.3456947417591405</v>
      </c>
      <c r="D609" s="192">
        <v>142388.29831785848</v>
      </c>
      <c r="E609" s="192">
        <v>1.0658045212048048</v>
      </c>
      <c r="F609" s="192">
        <v>87677.555263025963</v>
      </c>
      <c r="G609" s="192">
        <v>-0.27989022055433566</v>
      </c>
      <c r="H609" s="203">
        <v>0.27989022055433566</v>
      </c>
      <c r="I609" s="192">
        <v>-54710.743054832521</v>
      </c>
      <c r="K609" s="202">
        <v>-128711.02932941096</v>
      </c>
      <c r="L609" s="202">
        <v>-194197.54587558541</v>
      </c>
      <c r="M609" s="221">
        <v>65486.516546174447</v>
      </c>
      <c r="N609" s="221">
        <v>65486.516546174447</v>
      </c>
      <c r="O609" s="221">
        <v>-195472.14956805328</v>
      </c>
      <c r="Q609" s="204">
        <f t="shared" si="9"/>
        <v>0</v>
      </c>
      <c r="R609" s="204">
        <f>IF(MAX(K610:L610)=K610,1,0)</f>
        <v>1</v>
      </c>
    </row>
    <row r="610" spans="1:18" x14ac:dyDescent="0.3">
      <c r="A610" s="110">
        <v>605</v>
      </c>
      <c r="C610" s="191">
        <v>1.2247242781493997</v>
      </c>
      <c r="D610" s="192">
        <v>126532.3759596603</v>
      </c>
      <c r="E610" s="192">
        <v>1.1216096955963015</v>
      </c>
      <c r="F610" s="192">
        <v>96317.528302043647</v>
      </c>
      <c r="G610" s="192">
        <v>-0.10311458255309813</v>
      </c>
      <c r="H610" s="203">
        <v>0.10311458255309813</v>
      </c>
      <c r="I610" s="192">
        <v>-30214.847657616658</v>
      </c>
      <c r="K610" s="202">
        <v>-139499.50158250125</v>
      </c>
      <c r="L610" s="202">
        <v>-173684.2606684122</v>
      </c>
      <c r="M610" s="221">
        <v>34184.759085910948</v>
      </c>
      <c r="N610" s="221">
        <v>34184.759085910933</v>
      </c>
      <c r="O610" s="221">
        <v>-293022.06253958051</v>
      </c>
      <c r="Q610" s="204">
        <f t="shared" si="9"/>
        <v>0</v>
      </c>
      <c r="R610" s="204">
        <f>IF(MAX(K611:L611)=K611,1,0)</f>
        <v>1</v>
      </c>
    </row>
    <row r="611" spans="1:18" x14ac:dyDescent="0.3">
      <c r="A611" s="110">
        <v>606</v>
      </c>
      <c r="C611" s="191">
        <v>0.98970007437135255</v>
      </c>
      <c r="D611" s="192">
        <v>111897.79142963658</v>
      </c>
      <c r="E611" s="192">
        <v>0.80962888960120905</v>
      </c>
      <c r="F611" s="192">
        <v>90324.903044634353</v>
      </c>
      <c r="G611" s="192">
        <v>-0.1800711847701435</v>
      </c>
      <c r="H611" s="203">
        <v>0.1800711847701435</v>
      </c>
      <c r="I611" s="192">
        <v>-21572.888385002225</v>
      </c>
      <c r="K611" s="202">
        <v>-121495.6152942809</v>
      </c>
      <c r="L611" s="202">
        <v>-150001.24429293367</v>
      </c>
      <c r="M611" s="221">
        <v>28505.62899865277</v>
      </c>
      <c r="N611" s="221">
        <v>28505.628998652748</v>
      </c>
      <c r="O611" s="221">
        <v>-119802.00170582258</v>
      </c>
      <c r="Q611" s="204">
        <f t="shared" si="9"/>
        <v>0</v>
      </c>
      <c r="R611" s="204">
        <f>IF(MAX(K612:L612)=K612,1,0)</f>
        <v>1</v>
      </c>
    </row>
    <row r="612" spans="1:18" x14ac:dyDescent="0.3">
      <c r="A612" s="110">
        <v>607</v>
      </c>
      <c r="C612" s="191">
        <v>1.2762465764542641</v>
      </c>
      <c r="D612" s="192">
        <v>144328.45161528027</v>
      </c>
      <c r="E612" s="192">
        <v>1.159404236750847</v>
      </c>
      <c r="F612" s="192">
        <v>105052.40342856731</v>
      </c>
      <c r="G612" s="192">
        <v>-0.11684233970341706</v>
      </c>
      <c r="H612" s="203">
        <v>0.11684233970341706</v>
      </c>
      <c r="I612" s="192">
        <v>-39276.048186712957</v>
      </c>
      <c r="K612" s="202">
        <v>-149689.46654347493</v>
      </c>
      <c r="L612" s="202">
        <v>-193463.94480876945</v>
      </c>
      <c r="M612" s="221">
        <v>43774.478265294514</v>
      </c>
      <c r="N612" s="221">
        <v>43774.478265294514</v>
      </c>
      <c r="O612" s="221">
        <v>-336145.68388828938</v>
      </c>
      <c r="Q612" s="204">
        <f t="shared" si="9"/>
        <v>0</v>
      </c>
      <c r="R612" s="204">
        <f>IF(MAX(K613:L613)=K613,1,0)</f>
        <v>1</v>
      </c>
    </row>
    <row r="613" spans="1:18" x14ac:dyDescent="0.3">
      <c r="A613" s="110">
        <v>608</v>
      </c>
      <c r="C613" s="191">
        <v>1.0066512712209372</v>
      </c>
      <c r="D613" s="192">
        <v>113588.88325939987</v>
      </c>
      <c r="E613" s="192">
        <v>0.90737107454235522</v>
      </c>
      <c r="F613" s="192">
        <v>85037.677679782675</v>
      </c>
      <c r="G613" s="192">
        <v>-9.9280196678582011E-2</v>
      </c>
      <c r="H613" s="203">
        <v>9.9280196678582011E-2</v>
      </c>
      <c r="I613" s="192">
        <v>-28551.205579617192</v>
      </c>
      <c r="K613" s="202">
        <v>-119971.46404966335</v>
      </c>
      <c r="L613" s="202">
        <v>-152344.95720140595</v>
      </c>
      <c r="M613" s="221">
        <v>32373.493151742601</v>
      </c>
      <c r="N613" s="221">
        <v>32373.493151742598</v>
      </c>
      <c r="O613" s="221">
        <v>-287582.08116822375</v>
      </c>
      <c r="Q613" s="204">
        <f t="shared" si="9"/>
        <v>0</v>
      </c>
      <c r="R613" s="204">
        <f>IF(MAX(K614:L614)=K614,1,0)</f>
        <v>1</v>
      </c>
    </row>
    <row r="614" spans="1:18" x14ac:dyDescent="0.3">
      <c r="A614" s="110">
        <v>609</v>
      </c>
      <c r="C614" s="191">
        <v>1.3367955893396197</v>
      </c>
      <c r="D614" s="192">
        <v>120745.41353507168</v>
      </c>
      <c r="E614" s="192">
        <v>1.1273149897930976</v>
      </c>
      <c r="F614" s="192">
        <v>88713.998631366805</v>
      </c>
      <c r="G614" s="192">
        <v>-0.20948059954652209</v>
      </c>
      <c r="H614" s="203">
        <v>0.20948059954652209</v>
      </c>
      <c r="I614" s="192">
        <v>-32031.414903704877</v>
      </c>
      <c r="K614" s="202">
        <v>-132115.62573840105</v>
      </c>
      <c r="L614" s="202">
        <v>-172212.04372464702</v>
      </c>
      <c r="M614" s="221">
        <v>40096.417986245971</v>
      </c>
      <c r="N614" s="221">
        <v>40096.417986245979</v>
      </c>
      <c r="O614" s="221">
        <v>-152908.7417786927</v>
      </c>
      <c r="Q614" s="204">
        <f t="shared" si="9"/>
        <v>0</v>
      </c>
      <c r="R614" s="204">
        <f>IF(MAX(K615:L615)=K615,1,0)</f>
        <v>1</v>
      </c>
    </row>
    <row r="615" spans="1:18" x14ac:dyDescent="0.3">
      <c r="A615" s="110">
        <v>610</v>
      </c>
      <c r="C615" s="191">
        <v>1.3741389857202848</v>
      </c>
      <c r="D615" s="192">
        <v>122693.31850837401</v>
      </c>
      <c r="E615" s="192">
        <v>1.2307531036921084</v>
      </c>
      <c r="F615" s="192">
        <v>100060.21731369595</v>
      </c>
      <c r="G615" s="192">
        <v>-0.14338588202817637</v>
      </c>
      <c r="H615" s="203">
        <v>0.14338588202817637</v>
      </c>
      <c r="I615" s="192">
        <v>-22633.101194678064</v>
      </c>
      <c r="K615" s="202">
        <v>-147444.21180584212</v>
      </c>
      <c r="L615" s="202">
        <v>-175597.66945860497</v>
      </c>
      <c r="M615" s="221">
        <v>28153.457652762852</v>
      </c>
      <c r="N615" s="221">
        <v>28153.457652762852</v>
      </c>
      <c r="O615" s="221">
        <v>-157847.48731559564</v>
      </c>
      <c r="Q615" s="204">
        <f t="shared" si="9"/>
        <v>0</v>
      </c>
      <c r="R615" s="204">
        <f>IF(MAX(K616:L616)=K616,1,0)</f>
        <v>1</v>
      </c>
    </row>
    <row r="616" spans="1:18" x14ac:dyDescent="0.3">
      <c r="A616" s="110">
        <v>611</v>
      </c>
      <c r="C616" s="191">
        <v>1.1297107231564645</v>
      </c>
      <c r="D616" s="192">
        <v>131179.89222017565</v>
      </c>
      <c r="E616" s="192">
        <v>0.94175733127537198</v>
      </c>
      <c r="F616" s="192">
        <v>100159.67826581984</v>
      </c>
      <c r="G616" s="192">
        <v>-0.1879533918810925</v>
      </c>
      <c r="H616" s="203">
        <v>0.1879533918810925</v>
      </c>
      <c r="I616" s="192">
        <v>-31020.213954355815</v>
      </c>
      <c r="K616" s="202">
        <v>-136417.33551992165</v>
      </c>
      <c r="L616" s="202">
        <v>-174673.75506169954</v>
      </c>
      <c r="M616" s="221">
        <v>38256.419541777897</v>
      </c>
      <c r="N616" s="221">
        <v>38256.419541777876</v>
      </c>
      <c r="O616" s="221">
        <v>-165042.05454286534</v>
      </c>
      <c r="Q616" s="204">
        <f t="shared" si="9"/>
        <v>0</v>
      </c>
      <c r="R616" s="204">
        <f>IF(MAX(K617:L617)=K617,1,0)</f>
        <v>1</v>
      </c>
    </row>
    <row r="617" spans="1:18" x14ac:dyDescent="0.3">
      <c r="A617" s="110">
        <v>612</v>
      </c>
      <c r="C617" s="191">
        <v>1.3456050218889632</v>
      </c>
      <c r="D617" s="192">
        <v>153975.97684967061</v>
      </c>
      <c r="E617" s="192">
        <v>1.1507872379123547</v>
      </c>
      <c r="F617" s="192">
        <v>113575.10624157076</v>
      </c>
      <c r="G617" s="192">
        <v>-0.19481778397660854</v>
      </c>
      <c r="H617" s="203">
        <v>0.19481778397660854</v>
      </c>
      <c r="I617" s="192">
        <v>-40400.870608099853</v>
      </c>
      <c r="K617" s="202">
        <v>-157880.4149011964</v>
      </c>
      <c r="L617" s="202">
        <v>-205781.77019239569</v>
      </c>
      <c r="M617" s="221">
        <v>47901.355291199288</v>
      </c>
      <c r="N617" s="221">
        <v>47901.355291199281</v>
      </c>
      <c r="O617" s="221">
        <v>-207377.73412385557</v>
      </c>
      <c r="Q617" s="204">
        <f t="shared" si="9"/>
        <v>0</v>
      </c>
      <c r="R617" s="204">
        <f>IF(MAX(K618:L618)=K618,1,0)</f>
        <v>1</v>
      </c>
    </row>
    <row r="618" spans="1:18" x14ac:dyDescent="0.3">
      <c r="A618" s="110">
        <v>613</v>
      </c>
      <c r="C618" s="191">
        <v>1.4178905606355108</v>
      </c>
      <c r="D618" s="192">
        <v>102156.13589435547</v>
      </c>
      <c r="E618" s="192">
        <v>1.3872560595882704</v>
      </c>
      <c r="F618" s="192">
        <v>75936.27636311423</v>
      </c>
      <c r="G618" s="192">
        <v>-3.0634501047240414E-2</v>
      </c>
      <c r="H618" s="203">
        <v>3.0634501047240414E-2</v>
      </c>
      <c r="I618" s="192">
        <v>-26219.859531241236</v>
      </c>
      <c r="K618" s="202">
        <v>-129345.63465726264</v>
      </c>
      <c r="L618" s="202">
        <v>-156744.92247882264</v>
      </c>
      <c r="M618" s="221">
        <v>27399.287821560007</v>
      </c>
      <c r="N618" s="221">
        <v>27399.287821559992</v>
      </c>
      <c r="O618" s="221">
        <v>-855893.14775548293</v>
      </c>
      <c r="Q618" s="204">
        <f t="shared" si="9"/>
        <v>0</v>
      </c>
      <c r="R618" s="204">
        <f>IF(MAX(K619:L619)=K619,1,0)</f>
        <v>1</v>
      </c>
    </row>
    <row r="619" spans="1:18" x14ac:dyDescent="0.3">
      <c r="A619" s="110">
        <v>614</v>
      </c>
      <c r="C619" s="191">
        <v>1.0759639247965622</v>
      </c>
      <c r="D619" s="192">
        <v>139351.99325559201</v>
      </c>
      <c r="E619" s="192">
        <v>0.9234597831414243</v>
      </c>
      <c r="F619" s="192">
        <v>112896.91885268547</v>
      </c>
      <c r="G619" s="192">
        <v>-0.15250414165513793</v>
      </c>
      <c r="H619" s="203">
        <v>0.15250414165513793</v>
      </c>
      <c r="I619" s="192">
        <v>-26455.074402906539</v>
      </c>
      <c r="K619" s="202">
        <v>-148450.12050363031</v>
      </c>
      <c r="L619" s="202">
        <v>-180776.60436025966</v>
      </c>
      <c r="M619" s="221">
        <v>32326.483856629347</v>
      </c>
      <c r="N619" s="221">
        <v>32326.483856629347</v>
      </c>
      <c r="O619" s="221">
        <v>-173471.1865250858</v>
      </c>
      <c r="Q619" s="204">
        <f t="shared" si="9"/>
        <v>0</v>
      </c>
      <c r="R619" s="204">
        <f>IF(MAX(K620:L620)=K620,1,0)</f>
        <v>1</v>
      </c>
    </row>
    <row r="620" spans="1:18" x14ac:dyDescent="0.3">
      <c r="A620" s="110">
        <v>615</v>
      </c>
      <c r="C620" s="191">
        <v>1.4539358632518791</v>
      </c>
      <c r="D620" s="192">
        <v>111136.74187185302</v>
      </c>
      <c r="E620" s="192">
        <v>1.285390522285969</v>
      </c>
      <c r="F620" s="192">
        <v>75375.350477956963</v>
      </c>
      <c r="G620" s="192">
        <v>-0.16854534096591012</v>
      </c>
      <c r="H620" s="203">
        <v>0.16854534096591012</v>
      </c>
      <c r="I620" s="192">
        <v>-35761.391393896061</v>
      </c>
      <c r="K620" s="202">
        <v>-124862.88558596677</v>
      </c>
      <c r="L620" s="202">
        <v>-167113.27260705037</v>
      </c>
      <c r="M620" s="221">
        <v>42250.387021083603</v>
      </c>
      <c r="N620" s="221">
        <v>42250.387021083603</v>
      </c>
      <c r="O620" s="221">
        <v>-212176.68307502574</v>
      </c>
      <c r="Q620" s="204">
        <f t="shared" si="9"/>
        <v>0</v>
      </c>
      <c r="R620" s="204">
        <f>IF(MAX(K621:L621)=K621,1,0)</f>
        <v>1</v>
      </c>
    </row>
    <row r="621" spans="1:18" x14ac:dyDescent="0.3">
      <c r="A621" s="110">
        <v>616</v>
      </c>
      <c r="C621" s="191">
        <v>1.222519994392693</v>
      </c>
      <c r="D621" s="192">
        <v>106989.19659026951</v>
      </c>
      <c r="E621" s="192">
        <v>1.118112628320914</v>
      </c>
      <c r="F621" s="192">
        <v>85931.210016230893</v>
      </c>
      <c r="G621" s="192">
        <v>-0.10440736607177903</v>
      </c>
      <c r="H621" s="203">
        <v>0.10440736607177903</v>
      </c>
      <c r="I621" s="192">
        <v>-21057.986574038616</v>
      </c>
      <c r="K621" s="202">
        <v>-128978.54620658608</v>
      </c>
      <c r="L621" s="202">
        <v>-154056.2163743882</v>
      </c>
      <c r="M621" s="221">
        <v>25077.67016780212</v>
      </c>
      <c r="N621" s="221">
        <v>25077.670167802109</v>
      </c>
      <c r="O621" s="221">
        <v>-201690.62170921406</v>
      </c>
      <c r="Q621" s="204">
        <f t="shared" si="9"/>
        <v>0</v>
      </c>
      <c r="R621" s="204">
        <f>IF(MAX(K622:L622)=K622,1,0)</f>
        <v>1</v>
      </c>
    </row>
    <row r="622" spans="1:18" x14ac:dyDescent="0.3">
      <c r="A622" s="110">
        <v>617</v>
      </c>
      <c r="C622" s="191">
        <v>1.0637008792819531</v>
      </c>
      <c r="D622" s="192">
        <v>133683.51129308168</v>
      </c>
      <c r="E622" s="192">
        <v>0.83736519458419778</v>
      </c>
      <c r="F622" s="192">
        <v>98024.835676073606</v>
      </c>
      <c r="G622" s="192">
        <v>-0.22633568469775533</v>
      </c>
      <c r="H622" s="203">
        <v>0.22633568469775533</v>
      </c>
      <c r="I622" s="192">
        <v>-35658.675617008077</v>
      </c>
      <c r="K622" s="202">
        <v>-130263.39566756522</v>
      </c>
      <c r="L622" s="202">
        <v>-174635.99514543687</v>
      </c>
      <c r="M622" s="221">
        <v>44372.599477871656</v>
      </c>
      <c r="N622" s="221">
        <v>44372.599477871656</v>
      </c>
      <c r="O622" s="221">
        <v>-157547.74005091615</v>
      </c>
      <c r="Q622" s="204">
        <f t="shared" si="9"/>
        <v>0</v>
      </c>
      <c r="R622" s="204">
        <f>IF(MAX(K623:L623)=K623,1,0)</f>
        <v>1</v>
      </c>
    </row>
    <row r="623" spans="1:18" x14ac:dyDescent="0.3">
      <c r="A623" s="110">
        <v>618</v>
      </c>
      <c r="C623" s="191">
        <v>1.5312870945469736</v>
      </c>
      <c r="D623" s="192">
        <v>169014.24488726928</v>
      </c>
      <c r="E623" s="192">
        <v>1.2889465625620726</v>
      </c>
      <c r="F623" s="192">
        <v>100440.29979301072</v>
      </c>
      <c r="G623" s="192">
        <v>-0.24234053198490102</v>
      </c>
      <c r="H623" s="203">
        <v>0.24234053198490102</v>
      </c>
      <c r="I623" s="192">
        <v>-68573.945094258554</v>
      </c>
      <c r="K623" s="202">
        <v>-150064.74245165053</v>
      </c>
      <c r="L623" s="202">
        <v>-227968.79802732775</v>
      </c>
      <c r="M623" s="221">
        <v>77904.055575677223</v>
      </c>
      <c r="N623" s="221">
        <v>77904.055575677237</v>
      </c>
      <c r="O623" s="221">
        <v>-282965.23298269825</v>
      </c>
      <c r="Q623" s="204">
        <f t="shared" si="9"/>
        <v>0</v>
      </c>
      <c r="R623" s="204">
        <f>IF(MAX(K624:L624)=K624,1,0)</f>
        <v>1</v>
      </c>
    </row>
    <row r="624" spans="1:18" x14ac:dyDescent="0.3">
      <c r="A624" s="110">
        <v>619</v>
      </c>
      <c r="C624" s="191">
        <v>1.5673360154989164</v>
      </c>
      <c r="D624" s="192">
        <v>80271.094924685502</v>
      </c>
      <c r="E624" s="192">
        <v>1.4109963051081111</v>
      </c>
      <c r="F624" s="192">
        <v>59855.294919332599</v>
      </c>
      <c r="G624" s="192">
        <v>-0.1563397103908053</v>
      </c>
      <c r="H624" s="203">
        <v>0.1563397103908053</v>
      </c>
      <c r="I624" s="192">
        <v>-20415.800005352903</v>
      </c>
      <c r="K624" s="202">
        <v>-114178.65266599489</v>
      </c>
      <c r="L624" s="202">
        <v>-140613.5315213938</v>
      </c>
      <c r="M624" s="221">
        <v>26434.878855398914</v>
      </c>
      <c r="N624" s="221">
        <v>26434.878855398907</v>
      </c>
      <c r="O624" s="221">
        <v>-130586.1444563198</v>
      </c>
      <c r="Q624" s="204">
        <f t="shared" si="9"/>
        <v>0</v>
      </c>
      <c r="R624" s="204">
        <f>IF(MAX(K625:L625)=K625,1,0)</f>
        <v>1</v>
      </c>
    </row>
    <row r="625" spans="1:18" x14ac:dyDescent="0.3">
      <c r="A625" s="110">
        <v>620</v>
      </c>
      <c r="C625" s="191">
        <v>1.8248571113775673</v>
      </c>
      <c r="D625" s="192">
        <v>119888.64908891202</v>
      </c>
      <c r="E625" s="192">
        <v>1.8034447535333478</v>
      </c>
      <c r="F625" s="192">
        <v>99959.475109747698</v>
      </c>
      <c r="G625" s="192">
        <v>-2.1412357844219576E-2</v>
      </c>
      <c r="H625" s="203">
        <v>2.1412357844219576E-2</v>
      </c>
      <c r="I625" s="192">
        <v>-19929.173979164319</v>
      </c>
      <c r="K625" s="202">
        <v>-169392.09812078159</v>
      </c>
      <c r="L625" s="202">
        <v>-190145.64787694835</v>
      </c>
      <c r="M625" s="221">
        <v>20753.549756166758</v>
      </c>
      <c r="N625" s="221">
        <v>20753.549756166773</v>
      </c>
      <c r="O625" s="221">
        <v>-930732.34270388144</v>
      </c>
      <c r="Q625" s="204">
        <f t="shared" si="9"/>
        <v>0</v>
      </c>
      <c r="R625" s="204">
        <f>IF(MAX(K626:L626)=K626,1,0)</f>
        <v>1</v>
      </c>
    </row>
    <row r="626" spans="1:18" x14ac:dyDescent="0.3">
      <c r="A626" s="110">
        <v>621</v>
      </c>
      <c r="C626" s="191">
        <v>0.98240969712373394</v>
      </c>
      <c r="D626" s="192">
        <v>147131.11926420036</v>
      </c>
      <c r="E626" s="192">
        <v>0.96747478902614548</v>
      </c>
      <c r="F626" s="192">
        <v>134367.26638811297</v>
      </c>
      <c r="G626" s="192">
        <v>-1.4934908097588462E-2</v>
      </c>
      <c r="H626" s="203">
        <v>1.4934908097588462E-2</v>
      </c>
      <c r="I626" s="192">
        <v>-12763.852876087389</v>
      </c>
      <c r="K626" s="202">
        <v>-171615.04576561958</v>
      </c>
      <c r="L626" s="202">
        <v>-184953.89260346413</v>
      </c>
      <c r="M626" s="221">
        <v>13338.846837844554</v>
      </c>
      <c r="N626" s="221">
        <v>13338.846837844545</v>
      </c>
      <c r="O626" s="221">
        <v>-854632.16731466644</v>
      </c>
      <c r="Q626" s="204">
        <f t="shared" si="9"/>
        <v>0</v>
      </c>
      <c r="R626" s="204">
        <f>IF(MAX(K627:L627)=K627,1,0)</f>
        <v>1</v>
      </c>
    </row>
    <row r="627" spans="1:18" x14ac:dyDescent="0.3">
      <c r="A627" s="110">
        <v>622</v>
      </c>
      <c r="C627" s="191">
        <v>1.1995511918891593</v>
      </c>
      <c r="D627" s="192">
        <v>130256.31662328362</v>
      </c>
      <c r="E627" s="192">
        <v>1.0221474196288076</v>
      </c>
      <c r="F627" s="192">
        <v>87871.032204154733</v>
      </c>
      <c r="G627" s="192">
        <v>-0.17740377226035164</v>
      </c>
      <c r="H627" s="203">
        <v>0.17740377226035164</v>
      </c>
      <c r="I627" s="192">
        <v>-42385.28441912889</v>
      </c>
      <c r="K627" s="202">
        <v>-127223.70785986382</v>
      </c>
      <c r="L627" s="202">
        <v>-176439.03751101624</v>
      </c>
      <c r="M627" s="221">
        <v>49215.329651152424</v>
      </c>
      <c r="N627" s="221">
        <v>49215.329651152424</v>
      </c>
      <c r="O627" s="221">
        <v>-238919.85992792595</v>
      </c>
      <c r="Q627" s="204">
        <f t="shared" si="9"/>
        <v>0</v>
      </c>
      <c r="R627" s="204">
        <f>IF(MAX(K628:L628)=K628,1,0)</f>
        <v>1</v>
      </c>
    </row>
    <row r="628" spans="1:18" x14ac:dyDescent="0.3">
      <c r="A628" s="110">
        <v>623</v>
      </c>
      <c r="C628" s="191">
        <v>1.0793606605035535</v>
      </c>
      <c r="D628" s="192">
        <v>153060.191697389</v>
      </c>
      <c r="E628" s="192">
        <v>0.88858108547554304</v>
      </c>
      <c r="F628" s="192">
        <v>107090.72082224362</v>
      </c>
      <c r="G628" s="192">
        <v>-0.19077957502801046</v>
      </c>
      <c r="H628" s="203">
        <v>0.19077957502801046</v>
      </c>
      <c r="I628" s="192">
        <v>-45969.470875145387</v>
      </c>
      <c r="K628" s="202">
        <v>-141301.09261305202</v>
      </c>
      <c r="L628" s="202">
        <v>-194615.57712677581</v>
      </c>
      <c r="M628" s="221">
        <v>53314.484513723786</v>
      </c>
      <c r="N628" s="221">
        <v>53314.484513723786</v>
      </c>
      <c r="O628" s="221">
        <v>-240955.93497572315</v>
      </c>
      <c r="Q628" s="204">
        <f t="shared" si="9"/>
        <v>0</v>
      </c>
      <c r="R628" s="204">
        <f>IF(MAX(K629:L629)=K629,1,0)</f>
        <v>1</v>
      </c>
    </row>
    <row r="629" spans="1:18" x14ac:dyDescent="0.3">
      <c r="A629" s="110">
        <v>624</v>
      </c>
      <c r="C629" s="191">
        <v>1.5492763901114195</v>
      </c>
      <c r="D629" s="192">
        <v>111606.71751834711</v>
      </c>
      <c r="E629" s="192">
        <v>1.5316489516676259</v>
      </c>
      <c r="F629" s="192">
        <v>86632.890235749335</v>
      </c>
      <c r="G629" s="192">
        <v>-1.7627438443793553E-2</v>
      </c>
      <c r="H629" s="203">
        <v>1.7627438443793553E-2</v>
      </c>
      <c r="I629" s="192">
        <v>-24973.827282597777</v>
      </c>
      <c r="K629" s="202">
        <v>-145601.37487495295</v>
      </c>
      <c r="L629" s="202">
        <v>-171253.85853763676</v>
      </c>
      <c r="M629" s="221">
        <v>25652.483662683808</v>
      </c>
      <c r="N629" s="221">
        <v>25652.48366268383</v>
      </c>
      <c r="O629" s="221">
        <v>-1416758.7288549468</v>
      </c>
      <c r="Q629" s="204">
        <f t="shared" si="9"/>
        <v>0</v>
      </c>
      <c r="R629" s="204">
        <f>IF(MAX(K630:L630)=K630,1,0)</f>
        <v>1</v>
      </c>
    </row>
    <row r="630" spans="1:18" x14ac:dyDescent="0.3">
      <c r="A630" s="110">
        <v>625</v>
      </c>
      <c r="C630" s="191">
        <v>1.2208942351284211</v>
      </c>
      <c r="D630" s="192">
        <v>158379.01556680241</v>
      </c>
      <c r="E630" s="192">
        <v>0.98057890594142771</v>
      </c>
      <c r="F630" s="192">
        <v>110502.32215494452</v>
      </c>
      <c r="G630" s="192">
        <v>-0.24031532918699339</v>
      </c>
      <c r="H630" s="203">
        <v>0.24031532918699339</v>
      </c>
      <c r="I630" s="192">
        <v>-47876.693411857894</v>
      </c>
      <c r="K630" s="202">
        <v>-148254.61003368947</v>
      </c>
      <c r="L630" s="202">
        <v>-205383.44361924662</v>
      </c>
      <c r="M630" s="221">
        <v>57128.833585557149</v>
      </c>
      <c r="N630" s="221">
        <v>57128.833585557135</v>
      </c>
      <c r="O630" s="221">
        <v>-199224.46717747347</v>
      </c>
      <c r="Q630" s="204">
        <f t="shared" si="9"/>
        <v>0</v>
      </c>
      <c r="R630" s="204">
        <f>IF(MAX(K631:L631)=K631,1,0)</f>
        <v>1</v>
      </c>
    </row>
    <row r="631" spans="1:18" x14ac:dyDescent="0.3">
      <c r="A631" s="110">
        <v>626</v>
      </c>
      <c r="C631" s="191">
        <v>1.3109217192572886</v>
      </c>
      <c r="D631" s="192">
        <v>137614.59481595099</v>
      </c>
      <c r="E631" s="192">
        <v>1.0983735200202225</v>
      </c>
      <c r="F631" s="192">
        <v>97683.125453353568</v>
      </c>
      <c r="G631" s="192">
        <v>-0.21254819923706614</v>
      </c>
      <c r="H631" s="203">
        <v>0.21254819923706614</v>
      </c>
      <c r="I631" s="192">
        <v>-39931.469362597418</v>
      </c>
      <c r="K631" s="202">
        <v>-139970.50597413213</v>
      </c>
      <c r="L631" s="202">
        <v>-188085.08100735658</v>
      </c>
      <c r="M631" s="221">
        <v>48114.57503322445</v>
      </c>
      <c r="N631" s="221">
        <v>48114.575033224464</v>
      </c>
      <c r="O631" s="221">
        <v>-187870.18429669103</v>
      </c>
      <c r="Q631" s="204">
        <f t="shared" si="9"/>
        <v>0</v>
      </c>
      <c r="R631" s="204">
        <f>IF(MAX(K632:L632)=K632,1,0)</f>
        <v>1</v>
      </c>
    </row>
    <row r="632" spans="1:18" x14ac:dyDescent="0.3">
      <c r="A632" s="110">
        <v>627</v>
      </c>
      <c r="C632" s="191">
        <v>1.1370294727883314</v>
      </c>
      <c r="D632" s="192">
        <v>130339.71827969977</v>
      </c>
      <c r="E632" s="192">
        <v>0.9384581003011857</v>
      </c>
      <c r="F632" s="192">
        <v>84491.454417806221</v>
      </c>
      <c r="G632" s="192">
        <v>-0.19857137248714574</v>
      </c>
      <c r="H632" s="203">
        <v>0.19857137248714574</v>
      </c>
      <c r="I632" s="192">
        <v>-45848.263861893545</v>
      </c>
      <c r="K632" s="202">
        <v>-120622.09127940188</v>
      </c>
      <c r="L632" s="202">
        <v>-174115.35298205054</v>
      </c>
      <c r="M632" s="221">
        <v>53493.261702648655</v>
      </c>
      <c r="N632" s="221">
        <v>53493.261702648655</v>
      </c>
      <c r="O632" s="221">
        <v>-230890.60264646896</v>
      </c>
      <c r="Q632" s="204">
        <f t="shared" si="9"/>
        <v>0</v>
      </c>
      <c r="R632" s="204">
        <f>IF(MAX(K633:L633)=K633,1,0)</f>
        <v>1</v>
      </c>
    </row>
    <row r="633" spans="1:18" x14ac:dyDescent="0.3">
      <c r="A633" s="110">
        <v>628</v>
      </c>
      <c r="C633" s="191">
        <v>1.0093731902228085</v>
      </c>
      <c r="D633" s="192">
        <v>116967.17076264847</v>
      </c>
      <c r="E633" s="192">
        <v>0.80796627289281242</v>
      </c>
      <c r="F633" s="192">
        <v>86529.549380611672</v>
      </c>
      <c r="G633" s="192">
        <v>-0.20140691732999605</v>
      </c>
      <c r="H633" s="203">
        <v>0.20140691732999605</v>
      </c>
      <c r="I633" s="192">
        <v>-30437.621382036799</v>
      </c>
      <c r="K633" s="202">
        <v>-117636.25088698496</v>
      </c>
      <c r="L633" s="202">
        <v>-155828.03858622658</v>
      </c>
      <c r="M633" s="221">
        <v>38191.787699241628</v>
      </c>
      <c r="N633" s="221">
        <v>38191.78769924165</v>
      </c>
      <c r="O633" s="221">
        <v>-151125.0049677596</v>
      </c>
      <c r="Q633" s="204">
        <f t="shared" si="9"/>
        <v>0</v>
      </c>
      <c r="R633" s="204">
        <f>IF(MAX(K634:L634)=K634,1,0)</f>
        <v>1</v>
      </c>
    </row>
    <row r="634" spans="1:18" x14ac:dyDescent="0.3">
      <c r="A634" s="110">
        <v>629</v>
      </c>
      <c r="C634" s="191">
        <v>1.4381623087956323</v>
      </c>
      <c r="D634" s="192">
        <v>128484.53529752037</v>
      </c>
      <c r="E634" s="192">
        <v>1.3130143384826207</v>
      </c>
      <c r="F634" s="192">
        <v>91988.168781442175</v>
      </c>
      <c r="G634" s="192">
        <v>-0.12514797031301161</v>
      </c>
      <c r="H634" s="203">
        <v>0.12514797031301161</v>
      </c>
      <c r="I634" s="192">
        <v>-36496.366516078197</v>
      </c>
      <c r="K634" s="202">
        <v>-142539.22081302307</v>
      </c>
      <c r="L634" s="202">
        <v>-183853.78418615222</v>
      </c>
      <c r="M634" s="221">
        <v>41314.563373129145</v>
      </c>
      <c r="N634" s="221">
        <v>41314.563373129145</v>
      </c>
      <c r="O634" s="221">
        <v>-291625.71654015611</v>
      </c>
      <c r="Q634" s="204">
        <f t="shared" si="9"/>
        <v>0</v>
      </c>
      <c r="R634" s="204">
        <f>IF(MAX(K635:L635)=K635,1,0)</f>
        <v>1</v>
      </c>
    </row>
    <row r="635" spans="1:18" x14ac:dyDescent="0.3">
      <c r="A635" s="110">
        <v>630</v>
      </c>
      <c r="C635" s="191">
        <v>1.1957963319795386</v>
      </c>
      <c r="D635" s="192">
        <v>139618.45957473927</v>
      </c>
      <c r="E635" s="192">
        <v>1.0056804547072551</v>
      </c>
      <c r="F635" s="192">
        <v>96457.165052366036</v>
      </c>
      <c r="G635" s="192">
        <v>-0.19011587727228352</v>
      </c>
      <c r="H635" s="203">
        <v>0.19011587727228352</v>
      </c>
      <c r="I635" s="192">
        <v>-43161.294522373239</v>
      </c>
      <c r="K635" s="202">
        <v>-135175.86255859537</v>
      </c>
      <c r="L635" s="202">
        <v>-185656.6183559515</v>
      </c>
      <c r="M635" s="221">
        <v>50480.755797356134</v>
      </c>
      <c r="N635" s="221">
        <v>50480.755797356156</v>
      </c>
      <c r="O635" s="221">
        <v>-227026.24915728491</v>
      </c>
      <c r="Q635" s="204">
        <f t="shared" si="9"/>
        <v>0</v>
      </c>
      <c r="R635" s="204">
        <f>IF(MAX(K636:L636)=K636,1,0)</f>
        <v>1</v>
      </c>
    </row>
    <row r="636" spans="1:18" x14ac:dyDescent="0.3">
      <c r="A636" s="110">
        <v>631</v>
      </c>
      <c r="C636" s="191">
        <v>0.80622764250602053</v>
      </c>
      <c r="D636" s="192">
        <v>119957.38433463254</v>
      </c>
      <c r="E636" s="192">
        <v>0.75630427109894927</v>
      </c>
      <c r="F636" s="192">
        <v>98851.797260973661</v>
      </c>
      <c r="G636" s="192">
        <v>-4.992337140707126E-2</v>
      </c>
      <c r="H636" s="203">
        <v>4.992337140707126E-2</v>
      </c>
      <c r="I636" s="192">
        <v>-21105.587073658884</v>
      </c>
      <c r="K636" s="202">
        <v>-127969.51169828321</v>
      </c>
      <c r="L636" s="202">
        <v>-150997.14857111435</v>
      </c>
      <c r="M636" s="221">
        <v>23027.636872831135</v>
      </c>
      <c r="N636" s="221">
        <v>23027.636872831128</v>
      </c>
      <c r="O636" s="221">
        <v>-422759.65101726766</v>
      </c>
      <c r="Q636" s="204">
        <f t="shared" si="9"/>
        <v>0</v>
      </c>
      <c r="R636" s="204">
        <f>IF(MAX(K637:L637)=K637,1,0)</f>
        <v>1</v>
      </c>
    </row>
    <row r="637" spans="1:18" x14ac:dyDescent="0.3">
      <c r="A637" s="110">
        <v>632</v>
      </c>
      <c r="C637" s="191">
        <v>1.3161372163729226</v>
      </c>
      <c r="D637" s="192">
        <v>129207.04808849891</v>
      </c>
      <c r="E637" s="192">
        <v>1.120558362566511</v>
      </c>
      <c r="F637" s="192">
        <v>94399.52384446621</v>
      </c>
      <c r="G637" s="192">
        <v>-0.1955788538064116</v>
      </c>
      <c r="H637" s="203">
        <v>0.1955788538064116</v>
      </c>
      <c r="I637" s="192">
        <v>-34807.524244032698</v>
      </c>
      <c r="K637" s="202">
        <v>-137541.02080327689</v>
      </c>
      <c r="L637" s="202">
        <v>-179878.33091885643</v>
      </c>
      <c r="M637" s="221">
        <v>42337.310115579545</v>
      </c>
      <c r="N637" s="221">
        <v>42337.310115579545</v>
      </c>
      <c r="O637" s="221">
        <v>-177971.8183566306</v>
      </c>
      <c r="Q637" s="204">
        <f t="shared" si="9"/>
        <v>0</v>
      </c>
      <c r="R637" s="204">
        <f>IF(MAX(K638:L638)=K638,1,0)</f>
        <v>1</v>
      </c>
    </row>
    <row r="638" spans="1:18" x14ac:dyDescent="0.3">
      <c r="A638" s="110">
        <v>633</v>
      </c>
      <c r="C638" s="191">
        <v>1.3005946024130268</v>
      </c>
      <c r="D638" s="192">
        <v>125827.91172579548</v>
      </c>
      <c r="E638" s="192">
        <v>1.1310805655410063</v>
      </c>
      <c r="F638" s="192">
        <v>93192.514151662588</v>
      </c>
      <c r="G638" s="192">
        <v>-0.16951403687202049</v>
      </c>
      <c r="H638" s="203">
        <v>0.16951403687202049</v>
      </c>
      <c r="I638" s="192">
        <v>-32635.39757413289</v>
      </c>
      <c r="K638" s="202">
        <v>-136739.11592499132</v>
      </c>
      <c r="L638" s="202">
        <v>-175900.803918697</v>
      </c>
      <c r="M638" s="221">
        <v>39161.68799370568</v>
      </c>
      <c r="N638" s="221">
        <v>39161.68799370568</v>
      </c>
      <c r="O638" s="221">
        <v>-192523.27521862939</v>
      </c>
      <c r="Q638" s="204">
        <f t="shared" si="9"/>
        <v>0</v>
      </c>
      <c r="R638" s="204">
        <f>IF(MAX(K639:L639)=K639,1,0)</f>
        <v>1</v>
      </c>
    </row>
    <row r="639" spans="1:18" x14ac:dyDescent="0.3">
      <c r="A639" s="110">
        <v>634</v>
      </c>
      <c r="C639" s="191">
        <v>1.3289123352321763</v>
      </c>
      <c r="D639" s="192">
        <v>151962.02576024336</v>
      </c>
      <c r="E639" s="192">
        <v>1.2145608661220471</v>
      </c>
      <c r="F639" s="192">
        <v>124350.15044018348</v>
      </c>
      <c r="G639" s="192">
        <v>-0.11435146911012928</v>
      </c>
      <c r="H639" s="203">
        <v>0.11435146911012928</v>
      </c>
      <c r="I639" s="192">
        <v>-27611.875320059873</v>
      </c>
      <c r="K639" s="202">
        <v>-171110.74378588231</v>
      </c>
      <c r="L639" s="202">
        <v>-203125.15066668214</v>
      </c>
      <c r="M639" s="221">
        <v>32014.406880799826</v>
      </c>
      <c r="N639" s="221">
        <v>32014.406880799848</v>
      </c>
      <c r="O639" s="221">
        <v>-241464.98103550824</v>
      </c>
      <c r="Q639" s="204">
        <f t="shared" si="9"/>
        <v>0</v>
      </c>
      <c r="R639" s="204">
        <f>IF(MAX(K640:L640)=K640,1,0)</f>
        <v>1</v>
      </c>
    </row>
    <row r="640" spans="1:18" x14ac:dyDescent="0.3">
      <c r="A640" s="110">
        <v>635</v>
      </c>
      <c r="C640" s="191">
        <v>1.2176211820615352</v>
      </c>
      <c r="D640" s="192">
        <v>100518.97133181145</v>
      </c>
      <c r="E640" s="192">
        <v>1.164672257936914</v>
      </c>
      <c r="F640" s="192">
        <v>82713.876168739022</v>
      </c>
      <c r="G640" s="192">
        <v>-5.2948924124621266E-2</v>
      </c>
      <c r="H640" s="203">
        <v>5.2948924124621266E-2</v>
      </c>
      <c r="I640" s="192">
        <v>-17805.09516307243</v>
      </c>
      <c r="K640" s="202">
        <v>-127553.75809931022</v>
      </c>
      <c r="L640" s="202">
        <v>-147397.38684118056</v>
      </c>
      <c r="M640" s="221">
        <v>19843.628741870343</v>
      </c>
      <c r="N640" s="221">
        <v>19843.62874187035</v>
      </c>
      <c r="O640" s="221">
        <v>-336269.25301005418</v>
      </c>
      <c r="Q640" s="204">
        <f t="shared" si="9"/>
        <v>0</v>
      </c>
      <c r="R640" s="204">
        <f>IF(MAX(K641:L641)=K641,1,0)</f>
        <v>1</v>
      </c>
    </row>
    <row r="641" spans="1:18" x14ac:dyDescent="0.3">
      <c r="A641" s="110">
        <v>636</v>
      </c>
      <c r="C641" s="191">
        <v>1.4154873387216995</v>
      </c>
      <c r="D641" s="192">
        <v>119716.46466754147</v>
      </c>
      <c r="E641" s="192">
        <v>1.2542549220262569</v>
      </c>
      <c r="F641" s="192">
        <v>77344.805220124414</v>
      </c>
      <c r="G641" s="192">
        <v>-0.16123241669544264</v>
      </c>
      <c r="H641" s="203">
        <v>0.16123241669544264</v>
      </c>
      <c r="I641" s="192">
        <v>-42371.659447417056</v>
      </c>
      <c r="K641" s="202">
        <v>-125633.61971813531</v>
      </c>
      <c r="L641" s="202">
        <v>-174212.72720832689</v>
      </c>
      <c r="M641" s="221">
        <v>48579.107490191585</v>
      </c>
      <c r="N641" s="221">
        <v>48579.1074901916</v>
      </c>
      <c r="O641" s="221">
        <v>-262798.6376179817</v>
      </c>
      <c r="Q641" s="204">
        <f t="shared" si="9"/>
        <v>0</v>
      </c>
      <c r="R641" s="204">
        <f>IF(MAX(K642:L642)=K642,1,0)</f>
        <v>1</v>
      </c>
    </row>
    <row r="642" spans="1:18" x14ac:dyDescent="0.3">
      <c r="A642" s="110">
        <v>637</v>
      </c>
      <c r="C642" s="191">
        <v>1.9563488062259931</v>
      </c>
      <c r="D642" s="192">
        <v>148482.51962894996</v>
      </c>
      <c r="E642" s="192">
        <v>1.7700294235403708</v>
      </c>
      <c r="F642" s="192">
        <v>93868.535303199038</v>
      </c>
      <c r="G642" s="192">
        <v>-0.1863193826856222</v>
      </c>
      <c r="H642" s="203">
        <v>0.1863193826856222</v>
      </c>
      <c r="I642" s="192">
        <v>-54613.98432575092</v>
      </c>
      <c r="K642" s="202">
        <v>-162014.66810950331</v>
      </c>
      <c r="L642" s="202">
        <v>-223801.9486686507</v>
      </c>
      <c r="M642" s="221">
        <v>61787.280559147388</v>
      </c>
      <c r="N642" s="221">
        <v>61787.280559147373</v>
      </c>
      <c r="O642" s="221">
        <v>-293120.251573082</v>
      </c>
      <c r="Q642" s="204">
        <f t="shared" si="9"/>
        <v>0</v>
      </c>
      <c r="R642" s="204">
        <f>IF(MAX(K643:L643)=K643,1,0)</f>
        <v>1</v>
      </c>
    </row>
    <row r="643" spans="1:18" x14ac:dyDescent="0.3">
      <c r="A643" s="110">
        <v>638</v>
      </c>
      <c r="C643" s="191">
        <v>1.4108856770317888</v>
      </c>
      <c r="D643" s="192">
        <v>123686.35790221969</v>
      </c>
      <c r="E643" s="192">
        <v>1.2337078726274633</v>
      </c>
      <c r="F643" s="192">
        <v>96319.114461142366</v>
      </c>
      <c r="G643" s="192">
        <v>-0.17717780440432551</v>
      </c>
      <c r="H643" s="203">
        <v>0.17717780440432551</v>
      </c>
      <c r="I643" s="192">
        <v>-27367.243441077328</v>
      </c>
      <c r="K643" s="202">
        <v>-143816.8675572997</v>
      </c>
      <c r="L643" s="202">
        <v>-178005.45646794356</v>
      </c>
      <c r="M643" s="221">
        <v>34188.588910643855</v>
      </c>
      <c r="N643" s="221">
        <v>34188.588910643863</v>
      </c>
      <c r="O643" s="221">
        <v>-154462.03057480263</v>
      </c>
      <c r="Q643" s="204">
        <f t="shared" si="9"/>
        <v>0</v>
      </c>
      <c r="R643" s="204">
        <f>IF(MAX(K644:L644)=K644,1,0)</f>
        <v>1</v>
      </c>
    </row>
    <row r="644" spans="1:18" x14ac:dyDescent="0.3">
      <c r="A644" s="110">
        <v>639</v>
      </c>
      <c r="C644" s="191">
        <v>1.5587124780371002</v>
      </c>
      <c r="D644" s="192">
        <v>127479.33192602426</v>
      </c>
      <c r="E644" s="192">
        <v>1.4768046831389201</v>
      </c>
      <c r="F644" s="192">
        <v>98531.751634551139</v>
      </c>
      <c r="G644" s="192">
        <v>-8.190779489818012E-2</v>
      </c>
      <c r="H644" s="203">
        <v>8.190779489818012E-2</v>
      </c>
      <c r="I644" s="192">
        <v>-28947.580291473118</v>
      </c>
      <c r="K644" s="202">
        <v>-155388.73193539956</v>
      </c>
      <c r="L644" s="202">
        <v>-187489.76233045262</v>
      </c>
      <c r="M644" s="221">
        <v>32101.030395053065</v>
      </c>
      <c r="N644" s="221">
        <v>32101.030395053051</v>
      </c>
      <c r="O644" s="221">
        <v>-353416.67209400475</v>
      </c>
      <c r="Q644" s="204">
        <f t="shared" si="9"/>
        <v>0</v>
      </c>
      <c r="R644" s="204">
        <f>IF(MAX(K645:L645)=K645,1,0)</f>
        <v>1</v>
      </c>
    </row>
    <row r="645" spans="1:18" x14ac:dyDescent="0.3">
      <c r="A645" s="110">
        <v>640</v>
      </c>
      <c r="C645" s="191">
        <v>1.2955676080712244</v>
      </c>
      <c r="D645" s="192">
        <v>112772.37069167034</v>
      </c>
      <c r="E645" s="192">
        <v>1.1262989802026895</v>
      </c>
      <c r="F645" s="192">
        <v>83539.337915983517</v>
      </c>
      <c r="G645" s="192">
        <v>-0.16926862786853492</v>
      </c>
      <c r="H645" s="203">
        <v>0.16926862786853492</v>
      </c>
      <c r="I645" s="192">
        <v>-29233.032775686821</v>
      </c>
      <c r="K645" s="202">
        <v>-126901.84865378706</v>
      </c>
      <c r="L645" s="202">
        <v>-162651.72360241247</v>
      </c>
      <c r="M645" s="221">
        <v>35749.874948625409</v>
      </c>
      <c r="N645" s="221">
        <v>35749.874948625416</v>
      </c>
      <c r="O645" s="221">
        <v>-172702.01302979255</v>
      </c>
      <c r="Q645" s="204">
        <f t="shared" si="9"/>
        <v>0</v>
      </c>
      <c r="R645" s="204">
        <f>IF(MAX(K646:L646)=K646,1,0)</f>
        <v>1</v>
      </c>
    </row>
    <row r="646" spans="1:18" x14ac:dyDescent="0.3">
      <c r="A646" s="110">
        <v>641</v>
      </c>
      <c r="C646" s="191">
        <v>1.6388075587685493</v>
      </c>
      <c r="D646" s="192">
        <v>140306.9292676521</v>
      </c>
      <c r="E646" s="192">
        <v>1.4692770489490194</v>
      </c>
      <c r="F646" s="192">
        <v>97266.744493660502</v>
      </c>
      <c r="G646" s="192">
        <v>-0.16953050981952988</v>
      </c>
      <c r="H646" s="203">
        <v>0.16953050981952988</v>
      </c>
      <c r="I646" s="192">
        <v>-43040.184773991597</v>
      </c>
      <c r="K646" s="202">
        <v>-153833.91087819776</v>
      </c>
      <c r="L646" s="202">
        <v>-203401.02028024124</v>
      </c>
      <c r="M646" s="221">
        <v>49567.109402043483</v>
      </c>
      <c r="N646" s="221">
        <v>49567.109402043498</v>
      </c>
      <c r="O646" s="221">
        <v>-253878.69605187359</v>
      </c>
      <c r="Q646" s="204">
        <f t="shared" si="9"/>
        <v>0</v>
      </c>
      <c r="R646" s="204">
        <f>IF(MAX(K647:L647)=K647,1,0)</f>
        <v>1</v>
      </c>
    </row>
    <row r="647" spans="1:18" x14ac:dyDescent="0.3">
      <c r="A647" s="110">
        <v>642</v>
      </c>
      <c r="C647" s="191">
        <v>1.147788035109971</v>
      </c>
      <c r="D647" s="192">
        <v>79600.916786479414</v>
      </c>
      <c r="E647" s="192">
        <v>1.0490520165894612</v>
      </c>
      <c r="F647" s="192">
        <v>61884.384429815502</v>
      </c>
      <c r="G647" s="192">
        <v>-9.8736018520509727E-2</v>
      </c>
      <c r="H647" s="203">
        <v>9.8736018520509727E-2</v>
      </c>
      <c r="I647" s="192">
        <v>-17716.532356663913</v>
      </c>
      <c r="K647" s="202">
        <v>-102272.88706850976</v>
      </c>
      <c r="L647" s="202">
        <v>-123790.7561382133</v>
      </c>
      <c r="M647" s="221">
        <v>21517.869069703534</v>
      </c>
      <c r="N647" s="221">
        <v>21517.869069703538</v>
      </c>
      <c r="O647" s="221">
        <v>-179433.32759547909</v>
      </c>
      <c r="Q647" s="204">
        <f t="shared" ref="Q647:Q710" si="10">IF(MAX(K647:L647)=L647,1,0)</f>
        <v>0</v>
      </c>
      <c r="R647" s="204">
        <f>IF(MAX(K648:L648)=K648,1,0)</f>
        <v>1</v>
      </c>
    </row>
    <row r="648" spans="1:18" x14ac:dyDescent="0.3">
      <c r="A648" s="110">
        <v>643</v>
      </c>
      <c r="C648" s="191">
        <v>1.5984069252751603</v>
      </c>
      <c r="D648" s="192">
        <v>130131.68572794452</v>
      </c>
      <c r="E648" s="192">
        <v>1.4371738744157196</v>
      </c>
      <c r="F648" s="192">
        <v>97845.405013805794</v>
      </c>
      <c r="G648" s="192">
        <v>-0.16123305085944062</v>
      </c>
      <c r="H648" s="203">
        <v>0.16123305085944062</v>
      </c>
      <c r="I648" s="192">
        <v>-32286.280714138731</v>
      </c>
      <c r="K648" s="202">
        <v>-153176.59917881101</v>
      </c>
      <c r="L648" s="202">
        <v>-191670.35235103819</v>
      </c>
      <c r="M648" s="221">
        <v>38493.753172227181</v>
      </c>
      <c r="N648" s="221">
        <v>38493.753172227196</v>
      </c>
      <c r="O648" s="221">
        <v>-200246.04472866541</v>
      </c>
      <c r="Q648" s="204">
        <f t="shared" si="10"/>
        <v>0</v>
      </c>
      <c r="R648" s="204">
        <f>IF(MAX(K649:L649)=K649,1,0)</f>
        <v>1</v>
      </c>
    </row>
    <row r="649" spans="1:18" x14ac:dyDescent="0.3">
      <c r="A649" s="110">
        <v>644</v>
      </c>
      <c r="C649" s="191">
        <v>1.6123869880845139</v>
      </c>
      <c r="D649" s="192">
        <v>184452.55775928299</v>
      </c>
      <c r="E649" s="192">
        <v>1.4211246403297726</v>
      </c>
      <c r="F649" s="192">
        <v>123020.98517750211</v>
      </c>
      <c r="G649" s="192">
        <v>-0.19126234775474127</v>
      </c>
      <c r="H649" s="203">
        <v>0.19126234775474127</v>
      </c>
      <c r="I649" s="192">
        <v>-61431.572581780885</v>
      </c>
      <c r="K649" s="202">
        <v>-177734.28383019834</v>
      </c>
      <c r="L649" s="202">
        <v>-246529.45680053678</v>
      </c>
      <c r="M649" s="221">
        <v>68795.172970338434</v>
      </c>
      <c r="N649" s="221">
        <v>68795.172970338419</v>
      </c>
      <c r="O649" s="221">
        <v>-321190.09989648126</v>
      </c>
      <c r="Q649" s="204">
        <f t="shared" si="10"/>
        <v>0</v>
      </c>
      <c r="R649" s="204">
        <f>IF(MAX(K650:L650)=K650,1,0)</f>
        <v>1</v>
      </c>
    </row>
    <row r="650" spans="1:18" x14ac:dyDescent="0.3">
      <c r="A650" s="110">
        <v>645</v>
      </c>
      <c r="C650" s="191">
        <v>1.3925158611848782</v>
      </c>
      <c r="D650" s="192">
        <v>143036.17078716183</v>
      </c>
      <c r="E650" s="192">
        <v>1.2573505858495169</v>
      </c>
      <c r="F650" s="192">
        <v>104048.97190270945</v>
      </c>
      <c r="G650" s="192">
        <v>-0.13516527533536138</v>
      </c>
      <c r="H650" s="203">
        <v>0.13516527533536138</v>
      </c>
      <c r="I650" s="192">
        <v>-38987.198884452373</v>
      </c>
      <c r="K650" s="202">
        <v>-152456.96945791587</v>
      </c>
      <c r="L650" s="202">
        <v>-196648.03144277964</v>
      </c>
      <c r="M650" s="221">
        <v>44191.061984863773</v>
      </c>
      <c r="N650" s="221">
        <v>44191.061984863787</v>
      </c>
      <c r="O650" s="221">
        <v>-288440.93860438949</v>
      </c>
      <c r="Q650" s="204">
        <f t="shared" si="10"/>
        <v>0</v>
      </c>
      <c r="R650" s="204">
        <f>IF(MAX(K651:L651)=K651,1,0)</f>
        <v>1</v>
      </c>
    </row>
    <row r="651" spans="1:18" x14ac:dyDescent="0.3">
      <c r="A651" s="110">
        <v>646</v>
      </c>
      <c r="C651" s="191">
        <v>0.90171325590589002</v>
      </c>
      <c r="D651" s="192">
        <v>103621.42660165959</v>
      </c>
      <c r="E651" s="192">
        <v>0.83133250972091521</v>
      </c>
      <c r="F651" s="192">
        <v>88049.383743711558</v>
      </c>
      <c r="G651" s="192">
        <v>-7.0380746184974807E-2</v>
      </c>
      <c r="H651" s="203">
        <v>7.0380746184974807E-2</v>
      </c>
      <c r="I651" s="192">
        <v>-15572.042857948036</v>
      </c>
      <c r="K651" s="202">
        <v>-120055.6853679668</v>
      </c>
      <c r="L651" s="202">
        <v>-138337.38695403637</v>
      </c>
      <c r="M651" s="221">
        <v>18281.701586069568</v>
      </c>
      <c r="N651" s="221">
        <v>18281.701586069565</v>
      </c>
      <c r="O651" s="221">
        <v>-221254.30180892887</v>
      </c>
      <c r="Q651" s="204">
        <f t="shared" si="10"/>
        <v>0</v>
      </c>
      <c r="R651" s="204">
        <f>IF(MAX(K652:L652)=K652,1,0)</f>
        <v>1</v>
      </c>
    </row>
    <row r="652" spans="1:18" x14ac:dyDescent="0.3">
      <c r="A652" s="110">
        <v>647</v>
      </c>
      <c r="C652" s="191">
        <v>1.4589632308369318</v>
      </c>
      <c r="D652" s="192">
        <v>91094.858801923387</v>
      </c>
      <c r="E652" s="192">
        <v>1.3487803428322753</v>
      </c>
      <c r="F652" s="192">
        <v>65854.781634432846</v>
      </c>
      <c r="G652" s="192">
        <v>-0.11018288800465648</v>
      </c>
      <c r="H652" s="203">
        <v>0.11018288800465648</v>
      </c>
      <c r="I652" s="192">
        <v>-25240.077167490541</v>
      </c>
      <c r="K652" s="202">
        <v>-117782.82483347545</v>
      </c>
      <c r="L652" s="202">
        <v>-147264.94318914527</v>
      </c>
      <c r="M652" s="221">
        <v>29482.118355669823</v>
      </c>
      <c r="N652" s="221">
        <v>29482.118355669816</v>
      </c>
      <c r="O652" s="221">
        <v>-229074.38373210785</v>
      </c>
      <c r="Q652" s="204">
        <f t="shared" si="10"/>
        <v>0</v>
      </c>
      <c r="R652" s="204">
        <f>IF(MAX(K653:L653)=K653,1,0)</f>
        <v>1</v>
      </c>
    </row>
    <row r="653" spans="1:18" x14ac:dyDescent="0.3">
      <c r="A653" s="110">
        <v>648</v>
      </c>
      <c r="C653" s="191">
        <v>1.4544867884071251</v>
      </c>
      <c r="D653" s="192">
        <v>114450.45033155703</v>
      </c>
      <c r="E653" s="192">
        <v>1.2773644564414226</v>
      </c>
      <c r="F653" s="192">
        <v>82622.614456733514</v>
      </c>
      <c r="G653" s="192">
        <v>-0.17712233196570248</v>
      </c>
      <c r="H653" s="203">
        <v>0.17712233196570248</v>
      </c>
      <c r="I653" s="192">
        <v>-31827.835874823519</v>
      </c>
      <c r="K653" s="202">
        <v>-131801.14602972829</v>
      </c>
      <c r="L653" s="202">
        <v>-170448.19168523134</v>
      </c>
      <c r="M653" s="221">
        <v>38647.045655503054</v>
      </c>
      <c r="N653" s="221">
        <v>38647.045655503061</v>
      </c>
      <c r="O653" s="221">
        <v>-179694.08781828018</v>
      </c>
      <c r="Q653" s="204">
        <f t="shared" si="10"/>
        <v>0</v>
      </c>
      <c r="R653" s="204">
        <f>IF(MAX(K654:L654)=K654,1,0)</f>
        <v>1</v>
      </c>
    </row>
    <row r="654" spans="1:18" x14ac:dyDescent="0.3">
      <c r="A654" s="110">
        <v>649</v>
      </c>
      <c r="C654" s="191">
        <v>1.3085794618210178</v>
      </c>
      <c r="D654" s="192">
        <v>109787.41925340384</v>
      </c>
      <c r="E654" s="192">
        <v>1.1731425321405844</v>
      </c>
      <c r="F654" s="192">
        <v>87708.555900488631</v>
      </c>
      <c r="G654" s="192">
        <v>-0.13543692968043342</v>
      </c>
      <c r="H654" s="203">
        <v>0.13543692968043342</v>
      </c>
      <c r="I654" s="192">
        <v>-22078.863352915214</v>
      </c>
      <c r="K654" s="202">
        <v>-132874.54338790113</v>
      </c>
      <c r="L654" s="202">
        <v>-160167.72853351303</v>
      </c>
      <c r="M654" s="221">
        <v>27293.185145611904</v>
      </c>
      <c r="N654" s="221">
        <v>27293.1851456119</v>
      </c>
      <c r="O654" s="221">
        <v>-163019.52063599497</v>
      </c>
      <c r="Q654" s="204">
        <f t="shared" si="10"/>
        <v>0</v>
      </c>
      <c r="R654" s="204">
        <f>IF(MAX(K655:L655)=K655,1,0)</f>
        <v>1</v>
      </c>
    </row>
    <row r="655" spans="1:18" x14ac:dyDescent="0.3">
      <c r="A655" s="110">
        <v>650</v>
      </c>
      <c r="C655" s="191">
        <v>1.9271743329015929</v>
      </c>
      <c r="D655" s="192">
        <v>113939.50200320367</v>
      </c>
      <c r="E655" s="192">
        <v>1.693307845314221</v>
      </c>
      <c r="F655" s="192">
        <v>79732.621596109806</v>
      </c>
      <c r="G655" s="192">
        <v>-0.23386648758737194</v>
      </c>
      <c r="H655" s="203">
        <v>0.23386648758737194</v>
      </c>
      <c r="I655" s="192">
        <v>-34206.880407093864</v>
      </c>
      <c r="K655" s="202">
        <v>-144924.97364070732</v>
      </c>
      <c r="L655" s="202">
        <v>-188135.71381991499</v>
      </c>
      <c r="M655" s="221">
        <v>43210.740179207671</v>
      </c>
      <c r="N655" s="221">
        <v>43210.740179207685</v>
      </c>
      <c r="O655" s="221">
        <v>-146266.70439181355</v>
      </c>
      <c r="Q655" s="204">
        <f t="shared" si="10"/>
        <v>0</v>
      </c>
      <c r="R655" s="204">
        <f>IF(MAX(K656:L656)=K656,1,0)</f>
        <v>1</v>
      </c>
    </row>
    <row r="656" spans="1:18" x14ac:dyDescent="0.3">
      <c r="A656" s="110">
        <v>651</v>
      </c>
      <c r="C656" s="191">
        <v>0.94007453832813437</v>
      </c>
      <c r="D656" s="192">
        <v>94348.51961069557</v>
      </c>
      <c r="E656" s="192">
        <v>0.82231311440573085</v>
      </c>
      <c r="F656" s="192">
        <v>77307.324948330774</v>
      </c>
      <c r="G656" s="192">
        <v>-0.11776142392240352</v>
      </c>
      <c r="H656" s="203">
        <v>0.11776142392240352</v>
      </c>
      <c r="I656" s="192">
        <v>-17041.194662364796</v>
      </c>
      <c r="K656" s="202">
        <v>-108966.37985295142</v>
      </c>
      <c r="L656" s="202">
        <v>-130541.38933632875</v>
      </c>
      <c r="M656" s="221">
        <v>21575.009483377333</v>
      </c>
      <c r="N656" s="221">
        <v>21575.009483377333</v>
      </c>
      <c r="O656" s="221">
        <v>-144709.48205919913</v>
      </c>
      <c r="Q656" s="204">
        <f t="shared" si="10"/>
        <v>0</v>
      </c>
      <c r="R656" s="204">
        <f>IF(MAX(K657:L657)=K657,1,0)</f>
        <v>1</v>
      </c>
    </row>
    <row r="657" spans="1:18" x14ac:dyDescent="0.3">
      <c r="A657" s="110">
        <v>652</v>
      </c>
      <c r="C657" s="191">
        <v>1.5414042413731843</v>
      </c>
      <c r="D657" s="192">
        <v>124163.72108535175</v>
      </c>
      <c r="E657" s="192">
        <v>1.3595649063629152</v>
      </c>
      <c r="F657" s="192">
        <v>87447.238908023923</v>
      </c>
      <c r="G657" s="192">
        <v>-0.18183933501026917</v>
      </c>
      <c r="H657" s="203">
        <v>0.18183933501026917</v>
      </c>
      <c r="I657" s="192">
        <v>-36716.482177327824</v>
      </c>
      <c r="K657" s="202">
        <v>-139790.48780299615</v>
      </c>
      <c r="L657" s="202">
        <v>-183507.78437821934</v>
      </c>
      <c r="M657" s="221">
        <v>43717.296575223183</v>
      </c>
      <c r="N657" s="221">
        <v>43717.296575223183</v>
      </c>
      <c r="O657" s="221">
        <v>-201917.1604166629</v>
      </c>
      <c r="Q657" s="204">
        <f t="shared" si="10"/>
        <v>0</v>
      </c>
      <c r="R657" s="204">
        <f>IF(MAX(K658:L658)=K658,1,0)</f>
        <v>1</v>
      </c>
    </row>
    <row r="658" spans="1:18" x14ac:dyDescent="0.3">
      <c r="A658" s="110">
        <v>653</v>
      </c>
      <c r="C658" s="191">
        <v>1.7483751052738949</v>
      </c>
      <c r="D658" s="192">
        <v>110762.83728770526</v>
      </c>
      <c r="E658" s="192">
        <v>1.6215330716832583</v>
      </c>
      <c r="F658" s="192">
        <v>81959.361009050946</v>
      </c>
      <c r="G658" s="192">
        <v>-0.12684203359063662</v>
      </c>
      <c r="H658" s="203">
        <v>0.12684203359063662</v>
      </c>
      <c r="I658" s="192">
        <v>-28803.476278654314</v>
      </c>
      <c r="K658" s="202">
        <v>-144388.38426885637</v>
      </c>
      <c r="L658" s="202">
        <v>-178075.27884075022</v>
      </c>
      <c r="M658" s="221">
        <v>33686.894571893848</v>
      </c>
      <c r="N658" s="221">
        <v>33686.894571893827</v>
      </c>
      <c r="O658" s="221">
        <v>-227081.47656803703</v>
      </c>
      <c r="Q658" s="204">
        <f t="shared" si="10"/>
        <v>0</v>
      </c>
      <c r="R658" s="204">
        <f>IF(MAX(K659:L659)=K659,1,0)</f>
        <v>1</v>
      </c>
    </row>
    <row r="659" spans="1:18" x14ac:dyDescent="0.3">
      <c r="A659" s="110">
        <v>654</v>
      </c>
      <c r="C659" s="191">
        <v>1.3459265483833063</v>
      </c>
      <c r="D659" s="192">
        <v>122979.94189817467</v>
      </c>
      <c r="E659" s="192">
        <v>1.2699397580446912</v>
      </c>
      <c r="F659" s="192">
        <v>90992.319397440559</v>
      </c>
      <c r="G659" s="192">
        <v>-7.5986790338615107E-2</v>
      </c>
      <c r="H659" s="203">
        <v>7.5986790338615107E-2</v>
      </c>
      <c r="I659" s="192">
        <v>-31987.622500734113</v>
      </c>
      <c r="K659" s="202">
        <v>-139885.00008216116</v>
      </c>
      <c r="L659" s="202">
        <v>-174798.11401093195</v>
      </c>
      <c r="M659" s="221">
        <v>34913.113928770792</v>
      </c>
      <c r="N659" s="221">
        <v>34913.113928770792</v>
      </c>
      <c r="O659" s="221">
        <v>-420962.93787630327</v>
      </c>
      <c r="Q659" s="204">
        <f t="shared" si="10"/>
        <v>0</v>
      </c>
      <c r="R659" s="204">
        <f>IF(MAX(K660:L660)=K660,1,0)</f>
        <v>1</v>
      </c>
    </row>
    <row r="660" spans="1:18" x14ac:dyDescent="0.3">
      <c r="A660" s="110">
        <v>655</v>
      </c>
      <c r="C660" s="191">
        <v>1.3572468224950689</v>
      </c>
      <c r="D660" s="192">
        <v>102851.38761516519</v>
      </c>
      <c r="E660" s="192">
        <v>1.2535021182303134</v>
      </c>
      <c r="F660" s="192">
        <v>76828.626286382714</v>
      </c>
      <c r="G660" s="192">
        <v>-0.10374470426475546</v>
      </c>
      <c r="H660" s="203">
        <v>0.10374470426475546</v>
      </c>
      <c r="I660" s="192">
        <v>-26022.761328782479</v>
      </c>
      <c r="K660" s="202">
        <v>-125088.45783824977</v>
      </c>
      <c r="L660" s="202">
        <v>-155105.39028122535</v>
      </c>
      <c r="M660" s="221">
        <v>30016.93244297558</v>
      </c>
      <c r="N660" s="221">
        <v>30016.932442975565</v>
      </c>
      <c r="O660" s="221">
        <v>-250834.59934853783</v>
      </c>
      <c r="Q660" s="204">
        <f t="shared" si="10"/>
        <v>0</v>
      </c>
      <c r="R660" s="204">
        <f>IF(MAX(K661:L661)=K661,1,0)</f>
        <v>1</v>
      </c>
    </row>
    <row r="661" spans="1:18" x14ac:dyDescent="0.3">
      <c r="A661" s="110">
        <v>656</v>
      </c>
      <c r="C661" s="191">
        <v>1.1355730843284286</v>
      </c>
      <c r="D661" s="192">
        <v>121145.60184469886</v>
      </c>
      <c r="E661" s="192">
        <v>0.989337220012518</v>
      </c>
      <c r="F661" s="192">
        <v>86603.363634452893</v>
      </c>
      <c r="G661" s="192">
        <v>-0.14623586431591062</v>
      </c>
      <c r="H661" s="203">
        <v>0.14623586431591062</v>
      </c>
      <c r="I661" s="192">
        <v>-34542.238210245967</v>
      </c>
      <c r="K661" s="202">
        <v>-124692.84660493484</v>
      </c>
      <c r="L661" s="202">
        <v>-164865.16559134336</v>
      </c>
      <c r="M661" s="221">
        <v>40172.318986408529</v>
      </c>
      <c r="N661" s="221">
        <v>40172.318986408529</v>
      </c>
      <c r="O661" s="221">
        <v>-236209.0747836318</v>
      </c>
      <c r="Q661" s="204">
        <f t="shared" si="10"/>
        <v>0</v>
      </c>
      <c r="R661" s="204">
        <f>IF(MAX(K662:L662)=K662,1,0)</f>
        <v>1</v>
      </c>
    </row>
    <row r="662" spans="1:18" x14ac:dyDescent="0.3">
      <c r="A662" s="110">
        <v>657</v>
      </c>
      <c r="C662" s="191">
        <v>1.1214044251156952</v>
      </c>
      <c r="D662" s="192">
        <v>125252.91184275229</v>
      </c>
      <c r="E662" s="192">
        <v>0.97173702363796288</v>
      </c>
      <c r="F662" s="192">
        <v>85548.616212671623</v>
      </c>
      <c r="G662" s="192">
        <v>-0.14966740147773228</v>
      </c>
      <c r="H662" s="203">
        <v>0.14966740147773228</v>
      </c>
      <c r="I662" s="192">
        <v>-39704.295630080669</v>
      </c>
      <c r="K662" s="202">
        <v>-122960.49162273319</v>
      </c>
      <c r="L662" s="202">
        <v>-168426.98220970656</v>
      </c>
      <c r="M662" s="221">
        <v>45466.490586973378</v>
      </c>
      <c r="N662" s="221">
        <v>45466.490586973363</v>
      </c>
      <c r="O662" s="221">
        <v>-265283.52358671726</v>
      </c>
      <c r="Q662" s="204">
        <f t="shared" si="10"/>
        <v>0</v>
      </c>
      <c r="R662" s="204">
        <f>IF(MAX(K663:L663)=K663,1,0)</f>
        <v>1</v>
      </c>
    </row>
    <row r="663" spans="1:18" x14ac:dyDescent="0.3">
      <c r="A663" s="110">
        <v>658</v>
      </c>
      <c r="C663" s="191">
        <v>1.6260970830200379</v>
      </c>
      <c r="D663" s="192">
        <v>111294.8553837529</v>
      </c>
      <c r="E663" s="192">
        <v>1.5258302296902286</v>
      </c>
      <c r="F663" s="192">
        <v>86090.80045431391</v>
      </c>
      <c r="G663" s="192">
        <v>-0.10026685332980922</v>
      </c>
      <c r="H663" s="203">
        <v>0.10026685332980922</v>
      </c>
      <c r="I663" s="192">
        <v>-25204.054929438993</v>
      </c>
      <c r="K663" s="202">
        <v>-144835.26429738771</v>
      </c>
      <c r="L663" s="202">
        <v>-173899.59308002435</v>
      </c>
      <c r="M663" s="221">
        <v>29064.328782636643</v>
      </c>
      <c r="N663" s="221">
        <v>29064.328782636647</v>
      </c>
      <c r="O663" s="221">
        <v>-251369.76071778106</v>
      </c>
      <c r="Q663" s="204">
        <f t="shared" si="10"/>
        <v>0</v>
      </c>
      <c r="R663" s="204">
        <f>IF(MAX(K664:L664)=K664,1,0)</f>
        <v>1</v>
      </c>
    </row>
    <row r="664" spans="1:18" x14ac:dyDescent="0.3">
      <c r="A664" s="110">
        <v>659</v>
      </c>
      <c r="C664" s="191">
        <v>1.7958460172737225</v>
      </c>
      <c r="D664" s="192">
        <v>123179.32671861368</v>
      </c>
      <c r="E664" s="192">
        <v>1.6662042000544255</v>
      </c>
      <c r="F664" s="192">
        <v>92629.752182005075</v>
      </c>
      <c r="G664" s="192">
        <v>-0.12964181721929702</v>
      </c>
      <c r="H664" s="203">
        <v>0.12964181721929702</v>
      </c>
      <c r="I664" s="192">
        <v>-30549.574536608605</v>
      </c>
      <c r="K664" s="202">
        <v>-156778.61388410046</v>
      </c>
      <c r="L664" s="202">
        <v>-192319.39838365198</v>
      </c>
      <c r="M664" s="221">
        <v>35540.784499551519</v>
      </c>
      <c r="N664" s="221">
        <v>35540.784499551541</v>
      </c>
      <c r="O664" s="221">
        <v>-235645.99133111612</v>
      </c>
      <c r="Q664" s="204">
        <f t="shared" si="10"/>
        <v>0</v>
      </c>
      <c r="R664" s="204">
        <f>IF(MAX(K665:L665)=K665,1,0)</f>
        <v>1</v>
      </c>
    </row>
    <row r="665" spans="1:18" x14ac:dyDescent="0.3">
      <c r="A665" s="110">
        <v>660</v>
      </c>
      <c r="C665" s="191">
        <v>1.6857803393495472</v>
      </c>
      <c r="D665" s="192">
        <v>106508.88708354101</v>
      </c>
      <c r="E665" s="192">
        <v>1.5238482921333534</v>
      </c>
      <c r="F665" s="192">
        <v>78647.628659107242</v>
      </c>
      <c r="G665" s="192">
        <v>-0.16193204721619381</v>
      </c>
      <c r="H665" s="203">
        <v>0.16193204721619381</v>
      </c>
      <c r="I665" s="192">
        <v>-27861.258424433763</v>
      </c>
      <c r="K665" s="202">
        <v>-137315.78790624134</v>
      </c>
      <c r="L665" s="202">
        <v>-171411.43014849856</v>
      </c>
      <c r="M665" s="221">
        <v>34095.642242257221</v>
      </c>
      <c r="N665" s="221">
        <v>34095.642242257221</v>
      </c>
      <c r="O665" s="221">
        <v>-172055.24726823519</v>
      </c>
      <c r="Q665" s="204">
        <f t="shared" si="10"/>
        <v>0</v>
      </c>
      <c r="R665" s="204">
        <f>IF(MAX(K666:L666)=K666,1,0)</f>
        <v>1</v>
      </c>
    </row>
    <row r="666" spans="1:18" x14ac:dyDescent="0.3">
      <c r="A666" s="110">
        <v>661</v>
      </c>
      <c r="C666" s="191">
        <v>1.049249248968751</v>
      </c>
      <c r="D666" s="192">
        <v>88298.866424763954</v>
      </c>
      <c r="E666" s="192">
        <v>0.88528278313100472</v>
      </c>
      <c r="F666" s="192">
        <v>64025.116890484089</v>
      </c>
      <c r="G666" s="192">
        <v>-0.16396646583774632</v>
      </c>
      <c r="H666" s="203">
        <v>0.16396646583774632</v>
      </c>
      <c r="I666" s="192">
        <v>-24273.749534279865</v>
      </c>
      <c r="K666" s="202">
        <v>-98108.504041027772</v>
      </c>
      <c r="L666" s="202">
        <v>-128694.96251006087</v>
      </c>
      <c r="M666" s="221">
        <v>30586.458469033096</v>
      </c>
      <c r="N666" s="221">
        <v>30586.458469033099</v>
      </c>
      <c r="O666" s="221">
        <v>-148040.93879964488</v>
      </c>
      <c r="Q666" s="204">
        <f t="shared" si="10"/>
        <v>0</v>
      </c>
      <c r="R666" s="204">
        <f>IF(MAX(K667:L667)=K667,1,0)</f>
        <v>1</v>
      </c>
    </row>
    <row r="667" spans="1:18" x14ac:dyDescent="0.3">
      <c r="A667" s="110">
        <v>662</v>
      </c>
      <c r="C667" s="191">
        <v>1.3040345100351713</v>
      </c>
      <c r="D667" s="192">
        <v>139328.44251263663</v>
      </c>
      <c r="E667" s="192">
        <v>1.0786764126725747</v>
      </c>
      <c r="F667" s="192">
        <v>90097.859866096245</v>
      </c>
      <c r="G667" s="192">
        <v>-0.2253580973625966</v>
      </c>
      <c r="H667" s="203">
        <v>0.2253580973625966</v>
      </c>
      <c r="I667" s="192">
        <v>-49230.582646540381</v>
      </c>
      <c r="K667" s="202">
        <v>-131626.90175399039</v>
      </c>
      <c r="L667" s="202">
        <v>-189533.77114899072</v>
      </c>
      <c r="M667" s="221">
        <v>57906.869395000336</v>
      </c>
      <c r="N667" s="221">
        <v>57906.869395000351</v>
      </c>
      <c r="O667" s="221">
        <v>-218454.90897684218</v>
      </c>
      <c r="Q667" s="204">
        <f t="shared" si="10"/>
        <v>0</v>
      </c>
      <c r="R667" s="204">
        <f>IF(MAX(K668:L668)=K668,1,0)</f>
        <v>1</v>
      </c>
    </row>
    <row r="668" spans="1:18" x14ac:dyDescent="0.3">
      <c r="A668" s="110">
        <v>663</v>
      </c>
      <c r="C668" s="191">
        <v>1.206474895057011</v>
      </c>
      <c r="D668" s="192">
        <v>120236.91734881331</v>
      </c>
      <c r="E668" s="192">
        <v>1.0313929636776158</v>
      </c>
      <c r="F668" s="192">
        <v>81417.217185506495</v>
      </c>
      <c r="G668" s="192">
        <v>-0.17508193137939521</v>
      </c>
      <c r="H668" s="203">
        <v>0.17508193137939521</v>
      </c>
      <c r="I668" s="192">
        <v>-38819.700163306814</v>
      </c>
      <c r="K668" s="202">
        <v>-121125.8462870947</v>
      </c>
      <c r="L668" s="202">
        <v>-166686.20080850823</v>
      </c>
      <c r="M668" s="221">
        <v>45560.354521413537</v>
      </c>
      <c r="N668" s="221">
        <v>45560.35452141353</v>
      </c>
      <c r="O668" s="221">
        <v>-221723.05193039108</v>
      </c>
      <c r="Q668" s="204">
        <f t="shared" si="10"/>
        <v>0</v>
      </c>
      <c r="R668" s="204">
        <f>IF(MAX(K669:L669)=K669,1,0)</f>
        <v>1</v>
      </c>
    </row>
    <row r="669" spans="1:18" x14ac:dyDescent="0.3">
      <c r="A669" s="110">
        <v>664</v>
      </c>
      <c r="C669" s="191">
        <v>1.5374831049817386</v>
      </c>
      <c r="D669" s="192">
        <v>103822.49324445099</v>
      </c>
      <c r="E669" s="192">
        <v>1.3933978430831744</v>
      </c>
      <c r="F669" s="192">
        <v>71774.476432752563</v>
      </c>
      <c r="G669" s="192">
        <v>-0.14408526189856419</v>
      </c>
      <c r="H669" s="203">
        <v>0.14408526189856419</v>
      </c>
      <c r="I669" s="192">
        <v>-32048.016811698428</v>
      </c>
      <c r="K669" s="202">
        <v>-125420.29339145478</v>
      </c>
      <c r="L669" s="202">
        <v>-163015.59278624793</v>
      </c>
      <c r="M669" s="221">
        <v>37595.299394793154</v>
      </c>
      <c r="N669" s="221">
        <v>37595.299394793146</v>
      </c>
      <c r="O669" s="221">
        <v>-222423.97584188858</v>
      </c>
      <c r="Q669" s="204">
        <f t="shared" si="10"/>
        <v>0</v>
      </c>
      <c r="R669" s="204">
        <f>IF(MAX(K670:L670)=K670,1,0)</f>
        <v>1</v>
      </c>
    </row>
    <row r="670" spans="1:18" x14ac:dyDescent="0.3">
      <c r="A670" s="110">
        <v>665</v>
      </c>
      <c r="C670" s="191">
        <v>1.6699347979209698</v>
      </c>
      <c r="D670" s="192">
        <v>103654.46227304093</v>
      </c>
      <c r="E670" s="192">
        <v>1.5244682352483339</v>
      </c>
      <c r="F670" s="192">
        <v>68438.801000732128</v>
      </c>
      <c r="G670" s="192">
        <v>-0.14546656267263591</v>
      </c>
      <c r="H670" s="203">
        <v>0.14546656267263591</v>
      </c>
      <c r="I670" s="192">
        <v>-35215.661272308804</v>
      </c>
      <c r="K670" s="202">
        <v>-127130.82805779298</v>
      </c>
      <c r="L670" s="202">
        <v>-167946.95199299828</v>
      </c>
      <c r="M670" s="221">
        <v>40816.123935205294</v>
      </c>
      <c r="N670" s="221">
        <v>40816.123935205287</v>
      </c>
      <c r="O670" s="221">
        <v>-242087.67035734263</v>
      </c>
      <c r="Q670" s="204">
        <f t="shared" si="10"/>
        <v>0</v>
      </c>
      <c r="R670" s="204">
        <f>IF(MAX(K671:L671)=K671,1,0)</f>
        <v>1</v>
      </c>
    </row>
    <row r="671" spans="1:18" x14ac:dyDescent="0.3">
      <c r="A671" s="110">
        <v>666</v>
      </c>
      <c r="C671" s="191">
        <v>1.4549191580114038</v>
      </c>
      <c r="D671" s="192">
        <v>92005.568291712101</v>
      </c>
      <c r="E671" s="192">
        <v>1.2626705991897895</v>
      </c>
      <c r="F671" s="192">
        <v>61048.148481548735</v>
      </c>
      <c r="G671" s="192">
        <v>-0.19224855882161429</v>
      </c>
      <c r="H671" s="203">
        <v>0.19224855882161429</v>
      </c>
      <c r="I671" s="192">
        <v>-30957.419810163366</v>
      </c>
      <c r="K671" s="202">
        <v>-109660.96655035563</v>
      </c>
      <c r="L671" s="202">
        <v>-148019.95587515115</v>
      </c>
      <c r="M671" s="221">
        <v>38358.989324795519</v>
      </c>
      <c r="N671" s="221">
        <v>38358.989324795519</v>
      </c>
      <c r="O671" s="221">
        <v>-161028.0982074278</v>
      </c>
      <c r="Q671" s="204">
        <f t="shared" si="10"/>
        <v>0</v>
      </c>
      <c r="R671" s="204">
        <f>IF(MAX(K672:L672)=K672,1,0)</f>
        <v>1</v>
      </c>
    </row>
    <row r="672" spans="1:18" x14ac:dyDescent="0.3">
      <c r="A672" s="110">
        <v>667</v>
      </c>
      <c r="C672" s="191">
        <v>1.4079028490909238</v>
      </c>
      <c r="D672" s="192">
        <v>128777.25686775372</v>
      </c>
      <c r="E672" s="192">
        <v>1.2982480830068812</v>
      </c>
      <c r="F672" s="192">
        <v>95928.843039751751</v>
      </c>
      <c r="G672" s="192">
        <v>-0.10965476608404257</v>
      </c>
      <c r="H672" s="203">
        <v>0.10965476608404257</v>
      </c>
      <c r="I672" s="192">
        <v>-32848.413828001969</v>
      </c>
      <c r="K672" s="202">
        <v>-145911.39423551667</v>
      </c>
      <c r="L672" s="202">
        <v>-182981.51655775428</v>
      </c>
      <c r="M672" s="221">
        <v>37070.122322237614</v>
      </c>
      <c r="N672" s="221">
        <v>37070.122322237607</v>
      </c>
      <c r="O672" s="221">
        <v>-299562.11664184299</v>
      </c>
      <c r="Q672" s="204">
        <f t="shared" si="10"/>
        <v>0</v>
      </c>
      <c r="R672" s="204">
        <f>IF(MAX(K673:L673)=K673,1,0)</f>
        <v>1</v>
      </c>
    </row>
    <row r="673" spans="1:18" x14ac:dyDescent="0.3">
      <c r="A673" s="110">
        <v>668</v>
      </c>
      <c r="C673" s="191">
        <v>1.3475420978388022</v>
      </c>
      <c r="D673" s="192">
        <v>105238.60325432346</v>
      </c>
      <c r="E673" s="192">
        <v>1.2670930689777793</v>
      </c>
      <c r="F673" s="192">
        <v>80795.948998688662</v>
      </c>
      <c r="G673" s="192">
        <v>-8.0449028861022898E-2</v>
      </c>
      <c r="H673" s="203">
        <v>8.0449028861022898E-2</v>
      </c>
      <c r="I673" s="192">
        <v>-24442.654255634799</v>
      </c>
      <c r="K673" s="202">
        <v>-129579.03215433317</v>
      </c>
      <c r="L673" s="202">
        <v>-157118.97402111735</v>
      </c>
      <c r="M673" s="221">
        <v>27539.941866784182</v>
      </c>
      <c r="N673" s="221">
        <v>27539.941866784182</v>
      </c>
      <c r="O673" s="221">
        <v>-303827.83486249304</v>
      </c>
      <c r="Q673" s="204">
        <f t="shared" si="10"/>
        <v>0</v>
      </c>
      <c r="R673" s="204">
        <f>IF(MAX(K674:L674)=K674,1,0)</f>
        <v>1</v>
      </c>
    </row>
    <row r="674" spans="1:18" x14ac:dyDescent="0.3">
      <c r="A674" s="110">
        <v>669</v>
      </c>
      <c r="C674" s="191">
        <v>1.5097405452172654</v>
      </c>
      <c r="D674" s="192">
        <v>153103.80262072961</v>
      </c>
      <c r="E674" s="192">
        <v>1.3517275435251064</v>
      </c>
      <c r="F674" s="192">
        <v>101524.65651125093</v>
      </c>
      <c r="G674" s="192">
        <v>-0.15801300169215904</v>
      </c>
      <c r="H674" s="203">
        <v>0.15801300169215904</v>
      </c>
      <c r="I674" s="192">
        <v>-51579.146109478679</v>
      </c>
      <c r="K674" s="202">
        <v>-153566.16693696752</v>
      </c>
      <c r="L674" s="202">
        <v>-211228.81361159432</v>
      </c>
      <c r="M674" s="221">
        <v>57662.646674626798</v>
      </c>
      <c r="N674" s="221">
        <v>57662.646674626805</v>
      </c>
      <c r="O674" s="221">
        <v>-326423.43071214599</v>
      </c>
      <c r="Q674" s="204">
        <f t="shared" si="10"/>
        <v>0</v>
      </c>
      <c r="R674" s="204">
        <f>IF(MAX(K675:L675)=K675,1,0)</f>
        <v>1</v>
      </c>
    </row>
    <row r="675" spans="1:18" x14ac:dyDescent="0.3">
      <c r="A675" s="110">
        <v>670</v>
      </c>
      <c r="C675" s="191">
        <v>1.5679771207951321</v>
      </c>
      <c r="D675" s="192">
        <v>149710.58823877832</v>
      </c>
      <c r="E675" s="192">
        <v>1.472167874362224</v>
      </c>
      <c r="F675" s="192">
        <v>124355.03561572384</v>
      </c>
      <c r="G675" s="192">
        <v>-9.5809246432908113E-2</v>
      </c>
      <c r="H675" s="203">
        <v>9.5809246432908113E-2</v>
      </c>
      <c r="I675" s="192">
        <v>-25355.552623054478</v>
      </c>
      <c r="K675" s="202">
        <v>-181033.49877866945</v>
      </c>
      <c r="L675" s="202">
        <v>-210077.70738939091</v>
      </c>
      <c r="M675" s="221">
        <v>29044.208610721456</v>
      </c>
      <c r="N675" s="221">
        <v>29044.208610721442</v>
      </c>
      <c r="O675" s="221">
        <v>-264646.19613525603</v>
      </c>
      <c r="Q675" s="204">
        <f t="shared" si="10"/>
        <v>0</v>
      </c>
      <c r="R675" s="204">
        <f>IF(MAX(K676:L676)=K676,1,0)</f>
        <v>1</v>
      </c>
    </row>
    <row r="676" spans="1:18" x14ac:dyDescent="0.3">
      <c r="A676" s="110">
        <v>671</v>
      </c>
      <c r="C676" s="191">
        <v>1.1550654458882417</v>
      </c>
      <c r="D676" s="192">
        <v>103490.36198294708</v>
      </c>
      <c r="E676" s="192">
        <v>0.98120713914594504</v>
      </c>
      <c r="F676" s="192">
        <v>74660.932564659452</v>
      </c>
      <c r="G676" s="192">
        <v>-0.17385830674229663</v>
      </c>
      <c r="H676" s="203">
        <v>0.17385830674229663</v>
      </c>
      <c r="I676" s="192">
        <v>-28829.429418287633</v>
      </c>
      <c r="K676" s="202">
        <v>-112437.40742177833</v>
      </c>
      <c r="L676" s="202">
        <v>-147960.38164964441</v>
      </c>
      <c r="M676" s="221">
        <v>35522.974227866071</v>
      </c>
      <c r="N676" s="221">
        <v>35522.974227866056</v>
      </c>
      <c r="O676" s="221">
        <v>-165821.40916062394</v>
      </c>
      <c r="Q676" s="204">
        <f t="shared" si="10"/>
        <v>0</v>
      </c>
      <c r="R676" s="204">
        <f>IF(MAX(K677:L677)=K677,1,0)</f>
        <v>1</v>
      </c>
    </row>
    <row r="677" spans="1:18" x14ac:dyDescent="0.3">
      <c r="A677" s="110">
        <v>672</v>
      </c>
      <c r="C677" s="191">
        <v>1.2791647598966192</v>
      </c>
      <c r="D677" s="192">
        <v>128864.93564402244</v>
      </c>
      <c r="E677" s="192">
        <v>1.2000392382667586</v>
      </c>
      <c r="F677" s="192">
        <v>109944.16142988429</v>
      </c>
      <c r="G677" s="192">
        <v>-7.9125521629860529E-2</v>
      </c>
      <c r="H677" s="203">
        <v>7.9125521629860529E-2</v>
      </c>
      <c r="I677" s="192">
        <v>-18920.774214138146</v>
      </c>
      <c r="K677" s="202">
        <v>-156145.6721031545</v>
      </c>
      <c r="L677" s="202">
        <v>-178112.77890004226</v>
      </c>
      <c r="M677" s="221">
        <v>21967.106796887761</v>
      </c>
      <c r="N677" s="221">
        <v>21967.106796887776</v>
      </c>
      <c r="O677" s="221">
        <v>-239123.53213476687</v>
      </c>
      <c r="Q677" s="204">
        <f t="shared" si="10"/>
        <v>0</v>
      </c>
      <c r="R677" s="204">
        <f>IF(MAX(K678:L678)=K678,1,0)</f>
        <v>1</v>
      </c>
    </row>
    <row r="678" spans="1:18" x14ac:dyDescent="0.3">
      <c r="A678" s="110">
        <v>673</v>
      </c>
      <c r="C678" s="191">
        <v>1.1785050589126018</v>
      </c>
      <c r="D678" s="192">
        <v>111754.62689441587</v>
      </c>
      <c r="E678" s="192">
        <v>1.1214233112192369</v>
      </c>
      <c r="F678" s="192">
        <v>83073.897898187177</v>
      </c>
      <c r="G678" s="192">
        <v>-5.7081747693364937E-2</v>
      </c>
      <c r="H678" s="203">
        <v>5.7081747693364937E-2</v>
      </c>
      <c r="I678" s="192">
        <v>-28680.728996228689</v>
      </c>
      <c r="K678" s="202">
        <v>-126248.6953801278</v>
      </c>
      <c r="L678" s="202">
        <v>-157127.07166255102</v>
      </c>
      <c r="M678" s="221">
        <v>30878.376282423225</v>
      </c>
      <c r="N678" s="221">
        <v>30878.37628242324</v>
      </c>
      <c r="O678" s="221">
        <v>-502450.08527590119</v>
      </c>
      <c r="Q678" s="204">
        <f t="shared" si="10"/>
        <v>0</v>
      </c>
      <c r="R678" s="204">
        <f>IF(MAX(K679:L679)=K679,1,0)</f>
        <v>1</v>
      </c>
    </row>
    <row r="679" spans="1:18" x14ac:dyDescent="0.3">
      <c r="A679" s="110">
        <v>674</v>
      </c>
      <c r="C679" s="191">
        <v>1.4953467632844177</v>
      </c>
      <c r="D679" s="192">
        <v>164008.64902792615</v>
      </c>
      <c r="E679" s="192">
        <v>1.279998741807987</v>
      </c>
      <c r="F679" s="192">
        <v>107041.37945599556</v>
      </c>
      <c r="G679" s="192">
        <v>-0.21534802147643073</v>
      </c>
      <c r="H679" s="203">
        <v>0.21534802147643073</v>
      </c>
      <c r="I679" s="192">
        <v>-56967.269571930592</v>
      </c>
      <c r="K679" s="202">
        <v>-156321.33101560306</v>
      </c>
      <c r="L679" s="202">
        <v>-221579.49941437622</v>
      </c>
      <c r="M679" s="221">
        <v>65258.168398773152</v>
      </c>
      <c r="N679" s="221">
        <v>65258.168398773174</v>
      </c>
      <c r="O679" s="221">
        <v>-264535.83915636537</v>
      </c>
      <c r="Q679" s="204">
        <f t="shared" si="10"/>
        <v>0</v>
      </c>
      <c r="R679" s="204">
        <f>IF(MAX(K680:L680)=K680,1,0)</f>
        <v>1</v>
      </c>
    </row>
    <row r="680" spans="1:18" x14ac:dyDescent="0.3">
      <c r="A680" s="110">
        <v>675</v>
      </c>
      <c r="C680" s="191">
        <v>0.92723207710545863</v>
      </c>
      <c r="D680" s="192">
        <v>87716.791182255576</v>
      </c>
      <c r="E680" s="192">
        <v>0.86545703535963736</v>
      </c>
      <c r="F680" s="192">
        <v>73027.86143906627</v>
      </c>
      <c r="G680" s="192">
        <v>-6.1775041745821269E-2</v>
      </c>
      <c r="H680" s="203">
        <v>6.1775041745821269E-2</v>
      </c>
      <c r="I680" s="192">
        <v>-14688.929743189306</v>
      </c>
      <c r="K680" s="202">
        <v>-106347.95730041231</v>
      </c>
      <c r="L680" s="202">
        <v>-123415.22615081572</v>
      </c>
      <c r="M680" s="221">
        <v>17067.268850403416</v>
      </c>
      <c r="N680" s="221">
        <v>17067.268850403427</v>
      </c>
      <c r="O680" s="221">
        <v>-237780.97639542152</v>
      </c>
      <c r="Q680" s="204">
        <f t="shared" si="10"/>
        <v>0</v>
      </c>
      <c r="R680" s="204">
        <f>IF(MAX(K681:L681)=K681,1,0)</f>
        <v>1</v>
      </c>
    </row>
    <row r="681" spans="1:18" x14ac:dyDescent="0.3">
      <c r="A681" s="110">
        <v>676</v>
      </c>
      <c r="C681" s="191">
        <v>1.0728776260127444</v>
      </c>
      <c r="D681" s="192">
        <v>86677.299121787422</v>
      </c>
      <c r="E681" s="192">
        <v>0.92224373992394859</v>
      </c>
      <c r="F681" s="192">
        <v>68353.373186921948</v>
      </c>
      <c r="G681" s="192">
        <v>-0.1506338860887958</v>
      </c>
      <c r="H681" s="203">
        <v>0.1506338860887958</v>
      </c>
      <c r="I681" s="192">
        <v>-18323.925934865474</v>
      </c>
      <c r="K681" s="202">
        <v>-103859.75717399397</v>
      </c>
      <c r="L681" s="202">
        <v>-127983.08772327809</v>
      </c>
      <c r="M681" s="221">
        <v>24123.330549284117</v>
      </c>
      <c r="N681" s="221">
        <v>24123.330549284114</v>
      </c>
      <c r="O681" s="221">
        <v>-121645.44386821349</v>
      </c>
      <c r="Q681" s="204">
        <f t="shared" si="10"/>
        <v>0</v>
      </c>
      <c r="R681" s="204">
        <f>IF(MAX(K682:L682)=K682,1,0)</f>
        <v>1</v>
      </c>
    </row>
    <row r="682" spans="1:18" x14ac:dyDescent="0.3">
      <c r="A682" s="110">
        <v>677</v>
      </c>
      <c r="C682" s="191">
        <v>1.247389390084406</v>
      </c>
      <c r="D682" s="192">
        <v>132625.21021353666</v>
      </c>
      <c r="E682" s="192">
        <v>1.0687552692393139</v>
      </c>
      <c r="F682" s="192">
        <v>92332.368164053623</v>
      </c>
      <c r="G682" s="192">
        <v>-0.17863412084509211</v>
      </c>
      <c r="H682" s="203">
        <v>0.17863412084509211</v>
      </c>
      <c r="I682" s="192">
        <v>-40292.842049483035</v>
      </c>
      <c r="K682" s="202">
        <v>-133479.44602976722</v>
      </c>
      <c r="L682" s="202">
        <v>-180649.70173178631</v>
      </c>
      <c r="M682" s="221">
        <v>47170.255702019087</v>
      </c>
      <c r="N682" s="221">
        <v>47170.25570201908</v>
      </c>
      <c r="O682" s="221">
        <v>-225560.72635431262</v>
      </c>
      <c r="Q682" s="204">
        <f t="shared" si="10"/>
        <v>0</v>
      </c>
      <c r="R682" s="204">
        <f>IF(MAX(K683:L683)=K683,1,0)</f>
        <v>1</v>
      </c>
    </row>
    <row r="683" spans="1:18" x14ac:dyDescent="0.3">
      <c r="A683" s="110">
        <v>678</v>
      </c>
      <c r="C683" s="191">
        <v>1.191442543297397</v>
      </c>
      <c r="D683" s="192">
        <v>61466.841554259336</v>
      </c>
      <c r="E683" s="192">
        <v>1.2053251090248445</v>
      </c>
      <c r="F683" s="192">
        <v>50840.583986838836</v>
      </c>
      <c r="G683" s="192">
        <v>1.3882565727447504E-2</v>
      </c>
      <c r="H683" s="203">
        <v>-1.3882565727447504E-2</v>
      </c>
      <c r="I683" s="192">
        <v>-10626.2575674205</v>
      </c>
      <c r="K683" s="202">
        <v>-97245.60068429535</v>
      </c>
      <c r="L683" s="202">
        <v>-107337.37947120912</v>
      </c>
      <c r="M683" s="221">
        <v>10091.778786913768</v>
      </c>
      <c r="N683" s="221">
        <v>10091.778786913772</v>
      </c>
      <c r="O683" s="221">
        <v>765439.02446009021</v>
      </c>
      <c r="Q683" s="204">
        <f t="shared" si="10"/>
        <v>0</v>
      </c>
      <c r="R683" s="204">
        <f>IF(MAX(K684:L684)=K684,1,0)</f>
        <v>1</v>
      </c>
    </row>
    <row r="684" spans="1:18" x14ac:dyDescent="0.3">
      <c r="A684" s="110">
        <v>679</v>
      </c>
      <c r="C684" s="191">
        <v>1.3679399156971468</v>
      </c>
      <c r="D684" s="192">
        <v>134150.84950969182</v>
      </c>
      <c r="E684" s="192">
        <v>1.2133056434543334</v>
      </c>
      <c r="F684" s="192">
        <v>91390.194682049027</v>
      </c>
      <c r="G684" s="192">
        <v>-0.15463427224281334</v>
      </c>
      <c r="H684" s="203">
        <v>0.15463427224281334</v>
      </c>
      <c r="I684" s="192">
        <v>-42760.654827642793</v>
      </c>
      <c r="K684" s="202">
        <v>-138102.46195504087</v>
      </c>
      <c r="L684" s="202">
        <v>-186816.53626403198</v>
      </c>
      <c r="M684" s="221">
        <v>48714.074308991112</v>
      </c>
      <c r="N684" s="221">
        <v>48714.074308991105</v>
      </c>
      <c r="O684" s="221">
        <v>-276527.66885013814</v>
      </c>
      <c r="Q684" s="204">
        <f t="shared" si="10"/>
        <v>0</v>
      </c>
      <c r="R684" s="204">
        <f>IF(MAX(K685:L685)=K685,1,0)</f>
        <v>1</v>
      </c>
    </row>
    <row r="685" spans="1:18" x14ac:dyDescent="0.3">
      <c r="A685" s="110">
        <v>680</v>
      </c>
      <c r="C685" s="191">
        <v>1.1990517738819764</v>
      </c>
      <c r="D685" s="192">
        <v>171918.19735723032</v>
      </c>
      <c r="E685" s="192">
        <v>1.025575035922476</v>
      </c>
      <c r="F685" s="192">
        <v>123376.43995374514</v>
      </c>
      <c r="G685" s="192">
        <v>-0.17347673795950036</v>
      </c>
      <c r="H685" s="203">
        <v>0.17347673795950036</v>
      </c>
      <c r="I685" s="192">
        <v>-48541.757403485186</v>
      </c>
      <c r="K685" s="202">
        <v>-162861.07883676045</v>
      </c>
      <c r="L685" s="202">
        <v>-218081.69065168643</v>
      </c>
      <c r="M685" s="221">
        <v>55220.611814925971</v>
      </c>
      <c r="N685" s="221">
        <v>55220.611814925949</v>
      </c>
      <c r="O685" s="221">
        <v>-279817.09809886833</v>
      </c>
      <c r="Q685" s="204">
        <f t="shared" si="10"/>
        <v>0</v>
      </c>
      <c r="R685" s="204">
        <f>IF(MAX(K686:L686)=K686,1,0)</f>
        <v>1</v>
      </c>
    </row>
    <row r="686" spans="1:18" x14ac:dyDescent="0.3">
      <c r="A686" s="110">
        <v>681</v>
      </c>
      <c r="C686" s="191">
        <v>1.7203414511769541</v>
      </c>
      <c r="D686" s="192">
        <v>123261.37389607093</v>
      </c>
      <c r="E686" s="192">
        <v>1.5693254213591232</v>
      </c>
      <c r="F686" s="192">
        <v>83100.117208367286</v>
      </c>
      <c r="G686" s="192">
        <v>-0.15101602981783091</v>
      </c>
      <c r="H686" s="203">
        <v>0.15101602981783091</v>
      </c>
      <c r="I686" s="192">
        <v>-40161.256687703644</v>
      </c>
      <c r="K686" s="202">
        <v>-143519.14593069354</v>
      </c>
      <c r="L686" s="202">
        <v>-189494.51976638366</v>
      </c>
      <c r="M686" s="221">
        <v>45975.373835690116</v>
      </c>
      <c r="N686" s="221">
        <v>45975.37383569013</v>
      </c>
      <c r="O686" s="221">
        <v>-265940.3557102498</v>
      </c>
      <c r="Q686" s="204">
        <f t="shared" si="10"/>
        <v>0</v>
      </c>
      <c r="R686" s="204">
        <f>IF(MAX(K687:L687)=K687,1,0)</f>
        <v>1</v>
      </c>
    </row>
    <row r="687" spans="1:18" x14ac:dyDescent="0.3">
      <c r="A687" s="110">
        <v>682</v>
      </c>
      <c r="C687" s="191">
        <v>1.3826047697415209</v>
      </c>
      <c r="D687" s="192">
        <v>114276.95046544312</v>
      </c>
      <c r="E687" s="192">
        <v>1.2480256000791696</v>
      </c>
      <c r="F687" s="192">
        <v>85712.996596089288</v>
      </c>
      <c r="G687" s="192">
        <v>-0.13457916966235128</v>
      </c>
      <c r="H687" s="203">
        <v>0.13457916966235128</v>
      </c>
      <c r="I687" s="192">
        <v>-28563.953869353834</v>
      </c>
      <c r="K687" s="202">
        <v>-133761.98219913733</v>
      </c>
      <c r="L687" s="202">
        <v>-167507.23410049168</v>
      </c>
      <c r="M687" s="221">
        <v>33745.25190135435</v>
      </c>
      <c r="N687" s="221">
        <v>33745.251901354357</v>
      </c>
      <c r="O687" s="221">
        <v>-212246.47128540458</v>
      </c>
      <c r="Q687" s="204">
        <f t="shared" si="10"/>
        <v>0</v>
      </c>
      <c r="R687" s="204">
        <f>IF(MAX(K688:L688)=K688,1,0)</f>
        <v>1</v>
      </c>
    </row>
    <row r="688" spans="1:18" x14ac:dyDescent="0.3">
      <c r="A688" s="110">
        <v>683</v>
      </c>
      <c r="C688" s="191">
        <v>1.0263565279667277</v>
      </c>
      <c r="D688" s="192">
        <v>98379.461926044198</v>
      </c>
      <c r="E688" s="192">
        <v>0.87963548773883005</v>
      </c>
      <c r="F688" s="192">
        <v>72398.36781655981</v>
      </c>
      <c r="G688" s="192">
        <v>-0.14672104022789767</v>
      </c>
      <c r="H688" s="203">
        <v>0.14672104022789767</v>
      </c>
      <c r="I688" s="192">
        <v>-25981.094109484387</v>
      </c>
      <c r="K688" s="202">
        <v>-106264.33409450477</v>
      </c>
      <c r="L688" s="202">
        <v>-137894.18825276321</v>
      </c>
      <c r="M688" s="221">
        <v>31629.854158258444</v>
      </c>
      <c r="N688" s="221">
        <v>31629.854158258448</v>
      </c>
      <c r="O688" s="221">
        <v>-177078.17548954592</v>
      </c>
      <c r="Q688" s="204">
        <f t="shared" si="10"/>
        <v>0</v>
      </c>
      <c r="R688" s="204">
        <f>IF(MAX(K689:L689)=K689,1,0)</f>
        <v>1</v>
      </c>
    </row>
    <row r="689" spans="1:18" x14ac:dyDescent="0.3">
      <c r="A689" s="110">
        <v>684</v>
      </c>
      <c r="C689" s="191">
        <v>1.2687314663023865</v>
      </c>
      <c r="D689" s="192">
        <v>137743.31347092951</v>
      </c>
      <c r="E689" s="192">
        <v>1.1213418981405228</v>
      </c>
      <c r="F689" s="192">
        <v>98394.157266788243</v>
      </c>
      <c r="G689" s="192">
        <v>-0.14738956816186377</v>
      </c>
      <c r="H689" s="203">
        <v>0.14738956816186377</v>
      </c>
      <c r="I689" s="192">
        <v>-39349.156204141269</v>
      </c>
      <c r="K689" s="202">
        <v>-141565.82034519839</v>
      </c>
      <c r="L689" s="202">
        <v>-186589.4749235714</v>
      </c>
      <c r="M689" s="221">
        <v>45023.654578373011</v>
      </c>
      <c r="N689" s="221">
        <v>45023.654578373025</v>
      </c>
      <c r="O689" s="221">
        <v>-266973.82111146348</v>
      </c>
      <c r="Q689" s="204">
        <f t="shared" si="10"/>
        <v>0</v>
      </c>
      <c r="R689" s="204">
        <f>IF(MAX(K690:L690)=K690,1,0)</f>
        <v>1</v>
      </c>
    </row>
    <row r="690" spans="1:18" x14ac:dyDescent="0.3">
      <c r="A690" s="110">
        <v>685</v>
      </c>
      <c r="C690" s="191">
        <v>1.3143089346261281</v>
      </c>
      <c r="D690" s="192">
        <v>105654.29316710042</v>
      </c>
      <c r="E690" s="192">
        <v>1.2336880788974089</v>
      </c>
      <c r="F690" s="192">
        <v>86598.005997078639</v>
      </c>
      <c r="G690" s="192">
        <v>-8.0620855728719132E-2</v>
      </c>
      <c r="H690" s="203">
        <v>8.0620855728719132E-2</v>
      </c>
      <c r="I690" s="192">
        <v>-19056.28717002178</v>
      </c>
      <c r="K690" s="202">
        <v>-134094.99703462888</v>
      </c>
      <c r="L690" s="202">
        <v>-156255.18715020636</v>
      </c>
      <c r="M690" s="221">
        <v>22160.190115577483</v>
      </c>
      <c r="N690" s="221">
        <v>22160.190115577469</v>
      </c>
      <c r="O690" s="221">
        <v>-236369.1999765448</v>
      </c>
      <c r="Q690" s="204">
        <f t="shared" si="10"/>
        <v>0</v>
      </c>
      <c r="R690" s="204">
        <f>IF(MAX(K691:L691)=K691,1,0)</f>
        <v>1</v>
      </c>
    </row>
    <row r="691" spans="1:18" x14ac:dyDescent="0.3">
      <c r="A691" s="110">
        <v>686</v>
      </c>
      <c r="C691" s="191">
        <v>1.1204695651750465</v>
      </c>
      <c r="D691" s="192">
        <v>123054.67274753039</v>
      </c>
      <c r="E691" s="192">
        <v>1.1367847298245819</v>
      </c>
      <c r="F691" s="192">
        <v>106125.24265060677</v>
      </c>
      <c r="G691" s="192">
        <v>1.6315164649535419E-2</v>
      </c>
      <c r="H691" s="203">
        <v>-1.6315164649535419E-2</v>
      </c>
      <c r="I691" s="192">
        <v>-16929.430096923621</v>
      </c>
      <c r="K691" s="202">
        <v>-149891.45474885317</v>
      </c>
      <c r="L691" s="202">
        <v>-166192.75100676969</v>
      </c>
      <c r="M691" s="221">
        <v>16301.296257916518</v>
      </c>
      <c r="N691" s="221">
        <v>16301.296257916507</v>
      </c>
      <c r="O691" s="221">
        <v>1037649.9692515021</v>
      </c>
      <c r="Q691" s="204">
        <f t="shared" si="10"/>
        <v>0</v>
      </c>
      <c r="R691" s="204">
        <f>IF(MAX(K692:L692)=K692,1,0)</f>
        <v>1</v>
      </c>
    </row>
    <row r="692" spans="1:18" x14ac:dyDescent="0.3">
      <c r="A692" s="110">
        <v>687</v>
      </c>
      <c r="C692" s="191">
        <v>1.3048868481371096</v>
      </c>
      <c r="D692" s="192">
        <v>123024.86609431246</v>
      </c>
      <c r="E692" s="192">
        <v>1.1152405253405122</v>
      </c>
      <c r="F692" s="192">
        <v>88832.098413656728</v>
      </c>
      <c r="G692" s="192">
        <v>-0.18964632279659743</v>
      </c>
      <c r="H692" s="203">
        <v>0.18964632279659743</v>
      </c>
      <c r="I692" s="192">
        <v>-34192.767680655728</v>
      </c>
      <c r="K692" s="202">
        <v>-131768.85863926646</v>
      </c>
      <c r="L692" s="202">
        <v>-173263.00974759116</v>
      </c>
      <c r="M692" s="221">
        <v>41494.151108324702</v>
      </c>
      <c r="N692" s="221">
        <v>41494.151108324731</v>
      </c>
      <c r="O692" s="221">
        <v>-180297.5516552921</v>
      </c>
      <c r="Q692" s="204">
        <f t="shared" si="10"/>
        <v>0</v>
      </c>
      <c r="R692" s="204">
        <f>IF(MAX(K693:L693)=K693,1,0)</f>
        <v>1</v>
      </c>
    </row>
    <row r="693" spans="1:18" x14ac:dyDescent="0.3">
      <c r="A693" s="110">
        <v>688</v>
      </c>
      <c r="C693" s="191">
        <v>1.1813562189440203</v>
      </c>
      <c r="D693" s="192">
        <v>125283.01884079928</v>
      </c>
      <c r="E693" s="192">
        <v>1.0830760630197975</v>
      </c>
      <c r="F693" s="192">
        <v>93995.609836510019</v>
      </c>
      <c r="G693" s="192">
        <v>-9.828015592422279E-2</v>
      </c>
      <c r="H693" s="203">
        <v>9.828015592422279E-2</v>
      </c>
      <c r="I693" s="192">
        <v>-31287.409004289264</v>
      </c>
      <c r="K693" s="202">
        <v>-135694.03826277223</v>
      </c>
      <c r="L693" s="202">
        <v>-170765.23327014406</v>
      </c>
      <c r="M693" s="221">
        <v>35071.195007371833</v>
      </c>
      <c r="N693" s="221">
        <v>35071.19500737184</v>
      </c>
      <c r="O693" s="221">
        <v>-318349.19989761594</v>
      </c>
      <c r="Q693" s="204">
        <f t="shared" si="10"/>
        <v>0</v>
      </c>
      <c r="R693" s="204">
        <f>IF(MAX(K694:L694)=K694,1,0)</f>
        <v>1</v>
      </c>
    </row>
    <row r="694" spans="1:18" x14ac:dyDescent="0.3">
      <c r="A694" s="110">
        <v>689</v>
      </c>
      <c r="C694" s="191">
        <v>1.1896804568688479</v>
      </c>
      <c r="D694" s="192">
        <v>138341.76548868566</v>
      </c>
      <c r="E694" s="192">
        <v>1.0195165483961894</v>
      </c>
      <c r="F694" s="192">
        <v>87547.152121872059</v>
      </c>
      <c r="G694" s="192">
        <v>-0.1701639084726585</v>
      </c>
      <c r="H694" s="203">
        <v>0.1701639084726585</v>
      </c>
      <c r="I694" s="192">
        <v>-50794.613366813603</v>
      </c>
      <c r="K694" s="202">
        <v>-126798.53923512535</v>
      </c>
      <c r="L694" s="202">
        <v>-184144.46307813632</v>
      </c>
      <c r="M694" s="221">
        <v>57345.923843010969</v>
      </c>
      <c r="N694" s="221">
        <v>57345.923843010954</v>
      </c>
      <c r="O694" s="221">
        <v>-298504.03544871061</v>
      </c>
      <c r="Q694" s="204">
        <f t="shared" si="10"/>
        <v>0</v>
      </c>
      <c r="R694" s="204">
        <f>IF(MAX(K695:L695)=K695,1,0)</f>
        <v>1</v>
      </c>
    </row>
    <row r="695" spans="1:18" x14ac:dyDescent="0.3">
      <c r="A695" s="110">
        <v>690</v>
      </c>
      <c r="C695" s="191">
        <v>1.310314032601968</v>
      </c>
      <c r="D695" s="192">
        <v>111516.32794824986</v>
      </c>
      <c r="E695" s="192">
        <v>1.2176479511413896</v>
      </c>
      <c r="F695" s="192">
        <v>86921.637370607757</v>
      </c>
      <c r="G695" s="192">
        <v>-9.266608146057842E-2</v>
      </c>
      <c r="H695" s="203">
        <v>9.266608146057842E-2</v>
      </c>
      <c r="I695" s="192">
        <v>-24594.690577642104</v>
      </c>
      <c r="K695" s="202">
        <v>-133801.08348955127</v>
      </c>
      <c r="L695" s="202">
        <v>-161963.41820342562</v>
      </c>
      <c r="M695" s="221">
        <v>28162.334713874356</v>
      </c>
      <c r="N695" s="221">
        <v>28162.334713874374</v>
      </c>
      <c r="O695" s="221">
        <v>-265412.00609745289</v>
      </c>
      <c r="Q695" s="204">
        <f t="shared" si="10"/>
        <v>0</v>
      </c>
      <c r="R695" s="204">
        <f>IF(MAX(K696:L696)=K696,1,0)</f>
        <v>1</v>
      </c>
    </row>
    <row r="696" spans="1:18" x14ac:dyDescent="0.3">
      <c r="A696" s="110">
        <v>691</v>
      </c>
      <c r="C696" s="191">
        <v>1.290771172880145</v>
      </c>
      <c r="D696" s="192">
        <v>141712.74924393749</v>
      </c>
      <c r="E696" s="192">
        <v>1.1894346587514917</v>
      </c>
      <c r="F696" s="192">
        <v>102419.08349331838</v>
      </c>
      <c r="G696" s="192">
        <v>-0.1013365141286533</v>
      </c>
      <c r="H696" s="203">
        <v>0.1013365141286533</v>
      </c>
      <c r="I696" s="192">
        <v>-39293.665750619111</v>
      </c>
      <c r="K696" s="202">
        <v>-148212.31785525082</v>
      </c>
      <c r="L696" s="202">
        <v>-191407.43939982308</v>
      </c>
      <c r="M696" s="221">
        <v>43195.121544572263</v>
      </c>
      <c r="N696" s="221">
        <v>43195.121544572263</v>
      </c>
      <c r="O696" s="221">
        <v>-387754.26694402815</v>
      </c>
      <c r="Q696" s="204">
        <f t="shared" si="10"/>
        <v>0</v>
      </c>
      <c r="R696" s="204">
        <f>IF(MAX(K697:L697)=K697,1,0)</f>
        <v>1</v>
      </c>
    </row>
    <row r="697" spans="1:18" x14ac:dyDescent="0.3">
      <c r="A697" s="110">
        <v>692</v>
      </c>
      <c r="C697" s="191">
        <v>1.3863723389354701</v>
      </c>
      <c r="D697" s="192">
        <v>146650.09366712192</v>
      </c>
      <c r="E697" s="192">
        <v>1.2280116152984164</v>
      </c>
      <c r="F697" s="192">
        <v>113621.96032863417</v>
      </c>
      <c r="G697" s="192">
        <v>-0.15836072363705367</v>
      </c>
      <c r="H697" s="203">
        <v>0.15836072363705367</v>
      </c>
      <c r="I697" s="192">
        <v>-33028.133338487751</v>
      </c>
      <c r="K697" s="202">
        <v>-160900.40751762321</v>
      </c>
      <c r="L697" s="202">
        <v>-200025.42871613754</v>
      </c>
      <c r="M697" s="221">
        <v>39125.021198514325</v>
      </c>
      <c r="N697" s="221">
        <v>39125.021198514318</v>
      </c>
      <c r="O697" s="221">
        <v>-208562.65733026582</v>
      </c>
      <c r="Q697" s="204">
        <f t="shared" si="10"/>
        <v>0</v>
      </c>
      <c r="R697" s="204">
        <f>IF(MAX(K698:L698)=K698,1,0)</f>
        <v>1</v>
      </c>
    </row>
    <row r="698" spans="1:18" x14ac:dyDescent="0.3">
      <c r="A698" s="110">
        <v>693</v>
      </c>
      <c r="C698" s="191">
        <v>1.2846720898987165</v>
      </c>
      <c r="D698" s="192">
        <v>149358.30778632453</v>
      </c>
      <c r="E698" s="192">
        <v>1.0664150596976749</v>
      </c>
      <c r="F698" s="192">
        <v>108918.80169843356</v>
      </c>
      <c r="G698" s="192">
        <v>-0.21825703020104159</v>
      </c>
      <c r="H698" s="203">
        <v>0.21825703020104159</v>
      </c>
      <c r="I698" s="192">
        <v>-40439.506087890972</v>
      </c>
      <c r="K698" s="202">
        <v>-149975.78149679405</v>
      </c>
      <c r="L698" s="202">
        <v>-198818.18324742513</v>
      </c>
      <c r="M698" s="221">
        <v>48842.401750631077</v>
      </c>
      <c r="N698" s="221">
        <v>48842.401750631077</v>
      </c>
      <c r="O698" s="221">
        <v>-185283.86485714209</v>
      </c>
      <c r="Q698" s="204">
        <f t="shared" si="10"/>
        <v>0</v>
      </c>
      <c r="R698" s="204">
        <f>IF(MAX(K699:L699)=K699,1,0)</f>
        <v>1</v>
      </c>
    </row>
    <row r="699" spans="1:18" x14ac:dyDescent="0.3">
      <c r="A699" s="110">
        <v>694</v>
      </c>
      <c r="C699" s="191">
        <v>1.1742658701266406</v>
      </c>
      <c r="D699" s="192">
        <v>108227.17786726792</v>
      </c>
      <c r="E699" s="192">
        <v>1.0428474491769135</v>
      </c>
      <c r="F699" s="192">
        <v>84060.914072811589</v>
      </c>
      <c r="G699" s="192">
        <v>-0.13141842094972711</v>
      </c>
      <c r="H699" s="203">
        <v>0.13141842094972711</v>
      </c>
      <c r="I699" s="192">
        <v>-24166.263794456332</v>
      </c>
      <c r="K699" s="202">
        <v>-124210.54086612276</v>
      </c>
      <c r="L699" s="202">
        <v>-153436.41386714359</v>
      </c>
      <c r="M699" s="221">
        <v>29225.873001020838</v>
      </c>
      <c r="N699" s="221">
        <v>29225.873001020824</v>
      </c>
      <c r="O699" s="221">
        <v>-183887.94827858196</v>
      </c>
      <c r="Q699" s="204">
        <f t="shared" si="10"/>
        <v>0</v>
      </c>
      <c r="R699" s="204">
        <f>IF(MAX(K700:L700)=K700,1,0)</f>
        <v>1</v>
      </c>
    </row>
    <row r="700" spans="1:18" x14ac:dyDescent="0.3">
      <c r="A700" s="110">
        <v>695</v>
      </c>
      <c r="C700" s="191">
        <v>1.2695045397043898</v>
      </c>
      <c r="D700" s="192">
        <v>132581.45663862384</v>
      </c>
      <c r="E700" s="192">
        <v>1.0372954858038119</v>
      </c>
      <c r="F700" s="192">
        <v>90938.427211010989</v>
      </c>
      <c r="G700" s="192">
        <v>-0.23220905390057789</v>
      </c>
      <c r="H700" s="203">
        <v>0.23220905390057789</v>
      </c>
      <c r="I700" s="192">
        <v>-41643.029427612855</v>
      </c>
      <c r="K700" s="202">
        <v>-130874.30341445774</v>
      </c>
      <c r="L700" s="202">
        <v>-181457.38141724287</v>
      </c>
      <c r="M700" s="221">
        <v>50583.078002785129</v>
      </c>
      <c r="N700" s="221">
        <v>50583.0780027851</v>
      </c>
      <c r="O700" s="221">
        <v>-179334.21943763935</v>
      </c>
      <c r="Q700" s="204">
        <f t="shared" si="10"/>
        <v>0</v>
      </c>
      <c r="R700" s="204">
        <f>IF(MAX(K701:L701)=K701,1,0)</f>
        <v>1</v>
      </c>
    </row>
    <row r="701" spans="1:18" x14ac:dyDescent="0.3">
      <c r="A701" s="110">
        <v>696</v>
      </c>
      <c r="C701" s="191">
        <v>1.3790996248829068</v>
      </c>
      <c r="D701" s="192">
        <v>187072.2931610356</v>
      </c>
      <c r="E701" s="192">
        <v>1.1356255672819908</v>
      </c>
      <c r="F701" s="192">
        <v>109491.41132552765</v>
      </c>
      <c r="G701" s="192">
        <v>-0.24347405760091601</v>
      </c>
      <c r="H701" s="203">
        <v>0.24347405760091601</v>
      </c>
      <c r="I701" s="192">
        <v>-77580.881835507957</v>
      </c>
      <c r="K701" s="202">
        <v>-153212.99566588429</v>
      </c>
      <c r="L701" s="202">
        <v>-240167.6287190275</v>
      </c>
      <c r="M701" s="221">
        <v>86954.633053143218</v>
      </c>
      <c r="N701" s="221">
        <v>86954.633053143218</v>
      </c>
      <c r="O701" s="221">
        <v>-318641.26552107901</v>
      </c>
      <c r="Q701" s="204">
        <f t="shared" si="10"/>
        <v>0</v>
      </c>
      <c r="R701" s="204">
        <f>IF(MAX(K702:L702)=K702,1,0)</f>
        <v>1</v>
      </c>
    </row>
    <row r="702" spans="1:18" x14ac:dyDescent="0.3">
      <c r="A702" s="110">
        <v>697</v>
      </c>
      <c r="C702" s="191">
        <v>1.1081899714833208</v>
      </c>
      <c r="D702" s="192">
        <v>115765.71386393282</v>
      </c>
      <c r="E702" s="192">
        <v>1.0066264241305187</v>
      </c>
      <c r="F702" s="192">
        <v>93426.505663408461</v>
      </c>
      <c r="G702" s="192">
        <v>-0.10156354735280204</v>
      </c>
      <c r="H702" s="203">
        <v>0.10156354735280204</v>
      </c>
      <c r="I702" s="192">
        <v>-22339.208200524357</v>
      </c>
      <c r="K702" s="202">
        <v>-132181.62299243343</v>
      </c>
      <c r="L702" s="202">
        <v>-158431.02776604067</v>
      </c>
      <c r="M702" s="221">
        <v>26249.404773607239</v>
      </c>
      <c r="N702" s="221">
        <v>26249.404773607235</v>
      </c>
      <c r="O702" s="221">
        <v>-219953.01250087775</v>
      </c>
      <c r="Q702" s="204">
        <f t="shared" si="10"/>
        <v>0</v>
      </c>
      <c r="R702" s="204">
        <f>IF(MAX(K703:L703)=K703,1,0)</f>
        <v>1</v>
      </c>
    </row>
    <row r="703" spans="1:18" x14ac:dyDescent="0.3">
      <c r="A703" s="110">
        <v>698</v>
      </c>
      <c r="C703" s="191">
        <v>1.4351426890379926</v>
      </c>
      <c r="D703" s="192">
        <v>81781.835292967065</v>
      </c>
      <c r="E703" s="192">
        <v>1.3869699562332487</v>
      </c>
      <c r="F703" s="192">
        <v>64632.287274238115</v>
      </c>
      <c r="G703" s="192">
        <v>-4.8172732804743879E-2</v>
      </c>
      <c r="H703" s="203">
        <v>4.8172732804743879E-2</v>
      </c>
      <c r="I703" s="192">
        <v>-17149.54801872895</v>
      </c>
      <c r="K703" s="202">
        <v>-118030.6305892182</v>
      </c>
      <c r="L703" s="202">
        <v>-137034.82882092978</v>
      </c>
      <c r="M703" s="221">
        <v>19004.198231711576</v>
      </c>
      <c r="N703" s="221">
        <v>19004.198231711591</v>
      </c>
      <c r="O703" s="221">
        <v>-356001.14463591576</v>
      </c>
      <c r="Q703" s="204">
        <f t="shared" si="10"/>
        <v>0</v>
      </c>
      <c r="R703" s="204">
        <f>IF(MAX(K704:L704)=K704,1,0)</f>
        <v>1</v>
      </c>
    </row>
    <row r="704" spans="1:18" x14ac:dyDescent="0.3">
      <c r="A704" s="110">
        <v>699</v>
      </c>
      <c r="C704" s="191">
        <v>1.32269509104994</v>
      </c>
      <c r="D704" s="192">
        <v>122594.72414611727</v>
      </c>
      <c r="E704" s="192">
        <v>1.2758933109545176</v>
      </c>
      <c r="F704" s="192">
        <v>98122.148061520027</v>
      </c>
      <c r="G704" s="192">
        <v>-4.6801780095422352E-2</v>
      </c>
      <c r="H704" s="203">
        <v>4.6801780095422352E-2</v>
      </c>
      <c r="I704" s="192">
        <v>-24472.57608459724</v>
      </c>
      <c r="K704" s="202">
        <v>-147244.04053326894</v>
      </c>
      <c r="L704" s="202">
        <v>-173518.48515153996</v>
      </c>
      <c r="M704" s="221">
        <v>26274.444618271024</v>
      </c>
      <c r="N704" s="221">
        <v>26274.444618271002</v>
      </c>
      <c r="O704" s="221">
        <v>-522898.40332357114</v>
      </c>
      <c r="Q704" s="204">
        <f t="shared" si="10"/>
        <v>0</v>
      </c>
      <c r="R704" s="204">
        <f>IF(MAX(K705:L705)=K705,1,0)</f>
        <v>1</v>
      </c>
    </row>
    <row r="705" spans="1:18" x14ac:dyDescent="0.3">
      <c r="A705" s="110">
        <v>700</v>
      </c>
      <c r="C705" s="191">
        <v>1.0859536979961035</v>
      </c>
      <c r="D705" s="192">
        <v>119030.69678401179</v>
      </c>
      <c r="E705" s="192">
        <v>1.0222595047692022</v>
      </c>
      <c r="F705" s="192">
        <v>98531.906120172498</v>
      </c>
      <c r="G705" s="192">
        <v>-6.3694193226901286E-2</v>
      </c>
      <c r="H705" s="203">
        <v>6.3694193226901286E-2</v>
      </c>
      <c r="I705" s="192">
        <v>-20498.790663839289</v>
      </c>
      <c r="K705" s="202">
        <v>-137888.89705378679</v>
      </c>
      <c r="L705" s="202">
        <v>-160839.91415686178</v>
      </c>
      <c r="M705" s="221">
        <v>22951.017103074992</v>
      </c>
      <c r="N705" s="221">
        <v>22951.017103074988</v>
      </c>
      <c r="O705" s="221">
        <v>-321831.38878634246</v>
      </c>
      <c r="Q705" s="204">
        <f t="shared" si="10"/>
        <v>0</v>
      </c>
      <c r="R705" s="204">
        <f>IF(MAX(K706:L706)=K706,1,0)</f>
        <v>1</v>
      </c>
    </row>
    <row r="706" spans="1:18" x14ac:dyDescent="0.3">
      <c r="A706" s="110">
        <v>701</v>
      </c>
      <c r="C706" s="191">
        <v>1.1471521117642292</v>
      </c>
      <c r="D706" s="192">
        <v>113711.94355069163</v>
      </c>
      <c r="E706" s="192">
        <v>1.018938618733543</v>
      </c>
      <c r="F706" s="192">
        <v>84879.283844189762</v>
      </c>
      <c r="G706" s="192">
        <v>-0.12821349303068619</v>
      </c>
      <c r="H706" s="203">
        <v>0.12821349303068619</v>
      </c>
      <c r="I706" s="192">
        <v>-28832.659706501872</v>
      </c>
      <c r="K706" s="202">
        <v>-124108.42066543116</v>
      </c>
      <c r="L706" s="202">
        <v>-157877.29985361447</v>
      </c>
      <c r="M706" s="221">
        <v>33768.879188183317</v>
      </c>
      <c r="N706" s="221">
        <v>33768.879188183288</v>
      </c>
      <c r="O706" s="221">
        <v>-224880.07326655675</v>
      </c>
      <c r="Q706" s="204">
        <f t="shared" si="10"/>
        <v>0</v>
      </c>
      <c r="R706" s="204">
        <f>IF(MAX(K707:L707)=K707,1,0)</f>
        <v>1</v>
      </c>
    </row>
    <row r="707" spans="1:18" x14ac:dyDescent="0.3">
      <c r="A707" s="110">
        <v>702</v>
      </c>
      <c r="C707" s="191">
        <v>1.5023814354511404</v>
      </c>
      <c r="D707" s="192">
        <v>151971.60645962958</v>
      </c>
      <c r="E707" s="192">
        <v>1.2923147188603927</v>
      </c>
      <c r="F707" s="192">
        <v>105410.39860633326</v>
      </c>
      <c r="G707" s="192">
        <v>-0.21006671659074772</v>
      </c>
      <c r="H707" s="203">
        <v>0.21006671659074772</v>
      </c>
      <c r="I707" s="192">
        <v>-46561.207853296321</v>
      </c>
      <c r="K707" s="202">
        <v>-155164.51528245839</v>
      </c>
      <c r="L707" s="202">
        <v>-209813.2917244985</v>
      </c>
      <c r="M707" s="221">
        <v>54648.776442040107</v>
      </c>
      <c r="N707" s="221">
        <v>54648.776442040107</v>
      </c>
      <c r="O707" s="221">
        <v>-221649.61974441164</v>
      </c>
      <c r="Q707" s="204">
        <f t="shared" si="10"/>
        <v>0</v>
      </c>
      <c r="R707" s="204">
        <f>IF(MAX(K708:L708)=K708,1,0)</f>
        <v>1</v>
      </c>
    </row>
    <row r="708" spans="1:18" x14ac:dyDescent="0.3">
      <c r="A708" s="110">
        <v>703</v>
      </c>
      <c r="C708" s="191">
        <v>1.4081369634989764</v>
      </c>
      <c r="D708" s="192">
        <v>121253.42471227409</v>
      </c>
      <c r="E708" s="192">
        <v>1.2750158414086266</v>
      </c>
      <c r="F708" s="192">
        <v>93314.694440989653</v>
      </c>
      <c r="G708" s="192">
        <v>-0.13312112209034987</v>
      </c>
      <c r="H708" s="203">
        <v>0.13312112209034987</v>
      </c>
      <c r="I708" s="192">
        <v>-27938.730271284439</v>
      </c>
      <c r="K708" s="202">
        <v>-142402.80433522176</v>
      </c>
      <c r="L708" s="202">
        <v>-175466.69780698468</v>
      </c>
      <c r="M708" s="221">
        <v>33063.893471762916</v>
      </c>
      <c r="N708" s="221">
        <v>33063.893471762909</v>
      </c>
      <c r="O708" s="221">
        <v>-209874.51001443859</v>
      </c>
      <c r="Q708" s="204">
        <f t="shared" si="10"/>
        <v>0</v>
      </c>
      <c r="R708" s="204">
        <f>IF(MAX(K709:L709)=K709,1,0)</f>
        <v>1</v>
      </c>
    </row>
    <row r="709" spans="1:18" x14ac:dyDescent="0.3">
      <c r="A709" s="110">
        <v>704</v>
      </c>
      <c r="C709" s="191">
        <v>1.1491321779700576</v>
      </c>
      <c r="D709" s="192">
        <v>154879.20576874659</v>
      </c>
      <c r="E709" s="192">
        <v>0.94936824308994561</v>
      </c>
      <c r="F709" s="192">
        <v>115594.67771932721</v>
      </c>
      <c r="G709" s="192">
        <v>-0.19976393488011202</v>
      </c>
      <c r="H709" s="203">
        <v>0.19976393488011202</v>
      </c>
      <c r="I709" s="192">
        <v>-39284.528049419372</v>
      </c>
      <c r="K709" s="202">
        <v>-152145.35507829013</v>
      </c>
      <c r="L709" s="202">
        <v>-199120.79462059381</v>
      </c>
      <c r="M709" s="221">
        <v>46975.439542303677</v>
      </c>
      <c r="N709" s="221">
        <v>46975.439542303684</v>
      </c>
      <c r="O709" s="221">
        <v>-196654.75689090684</v>
      </c>
      <c r="Q709" s="204">
        <f t="shared" si="10"/>
        <v>0</v>
      </c>
      <c r="R709" s="204">
        <f>IF(MAX(K710:L710)=K710,1,0)</f>
        <v>1</v>
      </c>
    </row>
    <row r="710" spans="1:18" x14ac:dyDescent="0.3">
      <c r="A710" s="110">
        <v>705</v>
      </c>
      <c r="C710" s="191">
        <v>1.2379801011267968</v>
      </c>
      <c r="D710" s="192">
        <v>109939.50990354424</v>
      </c>
      <c r="E710" s="192">
        <v>1.1391615238384387</v>
      </c>
      <c r="F710" s="192">
        <v>78285.911156638787</v>
      </c>
      <c r="G710" s="192">
        <v>-9.8818577288358078E-2</v>
      </c>
      <c r="H710" s="203">
        <v>9.8818577288358078E-2</v>
      </c>
      <c r="I710" s="192">
        <v>-31653.598746905453</v>
      </c>
      <c r="K710" s="202">
        <v>-122143.62982441868</v>
      </c>
      <c r="L710" s="202">
        <v>-157601.74379692593</v>
      </c>
      <c r="M710" s="221">
        <v>35458.113972507257</v>
      </c>
      <c r="N710" s="221">
        <v>35458.113972507235</v>
      </c>
      <c r="O710" s="221">
        <v>-320320.3245330936</v>
      </c>
      <c r="Q710" s="204">
        <f t="shared" si="10"/>
        <v>0</v>
      </c>
      <c r="R710" s="204">
        <f>IF(MAX(K711:L711)=K711,1,0)</f>
        <v>1</v>
      </c>
    </row>
    <row r="711" spans="1:18" x14ac:dyDescent="0.3">
      <c r="A711" s="110">
        <v>706</v>
      </c>
      <c r="C711" s="191">
        <v>1.2750232769990819</v>
      </c>
      <c r="D711" s="192">
        <v>116696.01149344553</v>
      </c>
      <c r="E711" s="192">
        <v>1.1853001697778862</v>
      </c>
      <c r="F711" s="192">
        <v>87359.064889202578</v>
      </c>
      <c r="G711" s="192">
        <v>-8.9723107221195697E-2</v>
      </c>
      <c r="H711" s="203">
        <v>8.9723107221195697E-2</v>
      </c>
      <c r="I711" s="192">
        <v>-29336.946604242956</v>
      </c>
      <c r="K711" s="202">
        <v>-132993.12142565119</v>
      </c>
      <c r="L711" s="202">
        <v>-165784.4076579102</v>
      </c>
      <c r="M711" s="221">
        <v>32791.286232259008</v>
      </c>
      <c r="N711" s="221">
        <v>32791.286232258994</v>
      </c>
      <c r="O711" s="221">
        <v>-326972.03109471174</v>
      </c>
      <c r="Q711" s="204">
        <f t="shared" ref="Q711:Q774" si="11">IF(MAX(K711:L711)=L711,1,0)</f>
        <v>0</v>
      </c>
      <c r="R711" s="204">
        <f>IF(MAX(K712:L712)=K712,1,0)</f>
        <v>1</v>
      </c>
    </row>
    <row r="712" spans="1:18" x14ac:dyDescent="0.3">
      <c r="A712" s="110">
        <v>707</v>
      </c>
      <c r="C712" s="191">
        <v>1.3459013708134231</v>
      </c>
      <c r="D712" s="192">
        <v>136654.2274189282</v>
      </c>
      <c r="E712" s="192">
        <v>1.1313958269549442</v>
      </c>
      <c r="F712" s="192">
        <v>94700.269704515988</v>
      </c>
      <c r="G712" s="192">
        <v>-0.21450554385847886</v>
      </c>
      <c r="H712" s="203">
        <v>0.21450554385847886</v>
      </c>
      <c r="I712" s="192">
        <v>-41953.957714412216</v>
      </c>
      <c r="K712" s="202">
        <v>-138259.00904228134</v>
      </c>
      <c r="L712" s="202">
        <v>-188471.43019524499</v>
      </c>
      <c r="M712" s="221">
        <v>50212.421152963652</v>
      </c>
      <c r="N712" s="221">
        <v>50212.421152963652</v>
      </c>
      <c r="O712" s="221">
        <v>-195584.49147632081</v>
      </c>
      <c r="Q712" s="204">
        <f t="shared" si="11"/>
        <v>0</v>
      </c>
      <c r="R712" s="204">
        <f>IF(MAX(K713:L713)=K713,1,0)</f>
        <v>1</v>
      </c>
    </row>
    <row r="713" spans="1:18" x14ac:dyDescent="0.3">
      <c r="A713" s="110">
        <v>708</v>
      </c>
      <c r="C713" s="191">
        <v>1.1001966371240703</v>
      </c>
      <c r="D713" s="192">
        <v>103682.11951553474</v>
      </c>
      <c r="E713" s="192">
        <v>0.92200461755110896</v>
      </c>
      <c r="F713" s="192">
        <v>73468.177205993517</v>
      </c>
      <c r="G713" s="192">
        <v>-0.17819201957296138</v>
      </c>
      <c r="H713" s="203">
        <v>0.17819201957296138</v>
      </c>
      <c r="I713" s="192">
        <v>-30213.94230954122</v>
      </c>
      <c r="K713" s="202">
        <v>-108965.35498171122</v>
      </c>
      <c r="L713" s="202">
        <v>-146039.69004481146</v>
      </c>
      <c r="M713" s="221">
        <v>37074.335063100239</v>
      </c>
      <c r="N713" s="221">
        <v>37074.335063100232</v>
      </c>
      <c r="O713" s="221">
        <v>-169558.33590050315</v>
      </c>
      <c r="Q713" s="204">
        <f t="shared" si="11"/>
        <v>0</v>
      </c>
      <c r="R713" s="204">
        <f>IF(MAX(K714:L714)=K714,1,0)</f>
        <v>1</v>
      </c>
    </row>
    <row r="714" spans="1:18" x14ac:dyDescent="0.3">
      <c r="A714" s="110">
        <v>709</v>
      </c>
      <c r="C714" s="191">
        <v>1.2204316922386846</v>
      </c>
      <c r="D714" s="192">
        <v>143506.99780271633</v>
      </c>
      <c r="E714" s="192">
        <v>1.0686374350072327</v>
      </c>
      <c r="F714" s="192">
        <v>105906.85014287464</v>
      </c>
      <c r="G714" s="192">
        <v>-0.1517942572314519</v>
      </c>
      <c r="H714" s="203">
        <v>0.1517942572314519</v>
      </c>
      <c r="I714" s="192">
        <v>-37600.147659841692</v>
      </c>
      <c r="K714" s="202">
        <v>-147049.39139065309</v>
      </c>
      <c r="L714" s="202">
        <v>-190493.61795390569</v>
      </c>
      <c r="M714" s="221">
        <v>43444.226563252596</v>
      </c>
      <c r="N714" s="221">
        <v>43444.226563252589</v>
      </c>
      <c r="O714" s="221">
        <v>-247704.67832989211</v>
      </c>
      <c r="Q714" s="204">
        <f t="shared" si="11"/>
        <v>0</v>
      </c>
      <c r="R714" s="204">
        <f>IF(MAX(K715:L715)=K715,1,0)</f>
        <v>1</v>
      </c>
    </row>
    <row r="715" spans="1:18" x14ac:dyDescent="0.3">
      <c r="A715" s="110">
        <v>710</v>
      </c>
      <c r="C715" s="191">
        <v>1.1174029358183604</v>
      </c>
      <c r="D715" s="192">
        <v>98423.216112314476</v>
      </c>
      <c r="E715" s="192">
        <v>1.0192634214117604</v>
      </c>
      <c r="F715" s="192">
        <v>77845.407559870437</v>
      </c>
      <c r="G715" s="192">
        <v>-9.8139514406599959E-2</v>
      </c>
      <c r="H715" s="203">
        <v>9.8139514406599959E-2</v>
      </c>
      <c r="I715" s="192">
        <v>-20577.808552444039</v>
      </c>
      <c r="K715" s="202">
        <v>-117087.04928422321</v>
      </c>
      <c r="L715" s="202">
        <v>-141443.22914132135</v>
      </c>
      <c r="M715" s="221">
        <v>24356.179857098148</v>
      </c>
      <c r="N715" s="221">
        <v>24356.179857098137</v>
      </c>
      <c r="O715" s="221">
        <v>-209679.13563530089</v>
      </c>
      <c r="Q715" s="204">
        <f t="shared" si="11"/>
        <v>0</v>
      </c>
      <c r="R715" s="204">
        <f>IF(MAX(K716:L716)=K716,1,0)</f>
        <v>1</v>
      </c>
    </row>
    <row r="716" spans="1:18" x14ac:dyDescent="0.3">
      <c r="A716" s="110">
        <v>711</v>
      </c>
      <c r="C716" s="191">
        <v>1.5220430467261505</v>
      </c>
      <c r="D716" s="192">
        <v>130426.01961584057</v>
      </c>
      <c r="E716" s="192">
        <v>1.3655385551852635</v>
      </c>
      <c r="F716" s="192">
        <v>91775.212890645009</v>
      </c>
      <c r="G716" s="192">
        <v>-0.15650449154088708</v>
      </c>
      <c r="H716" s="203">
        <v>0.15650449154088708</v>
      </c>
      <c r="I716" s="192">
        <v>-38650.806725195565</v>
      </c>
      <c r="K716" s="202">
        <v>-144348.44726527765</v>
      </c>
      <c r="L716" s="202">
        <v>-189024.67691479737</v>
      </c>
      <c r="M716" s="221">
        <v>44676.229649519722</v>
      </c>
      <c r="N716" s="221">
        <v>44676.229649519715</v>
      </c>
      <c r="O716" s="221">
        <v>-246962.92320209846</v>
      </c>
      <c r="Q716" s="204">
        <f t="shared" si="11"/>
        <v>0</v>
      </c>
      <c r="R716" s="204">
        <f>IF(MAX(K717:L717)=K717,1,0)</f>
        <v>1</v>
      </c>
    </row>
    <row r="717" spans="1:18" x14ac:dyDescent="0.3">
      <c r="A717" s="110">
        <v>712</v>
      </c>
      <c r="C717" s="191">
        <v>1.5549537882373392</v>
      </c>
      <c r="D717" s="192">
        <v>126077.24164753211</v>
      </c>
      <c r="E717" s="192">
        <v>1.3803137509006804</v>
      </c>
      <c r="F717" s="192">
        <v>87413.261544490219</v>
      </c>
      <c r="G717" s="192">
        <v>-0.17464003733665878</v>
      </c>
      <c r="H717" s="203">
        <v>0.17464003733665878</v>
      </c>
      <c r="I717" s="192">
        <v>-38663.980103041889</v>
      </c>
      <c r="K717" s="202">
        <v>-140555.34095416643</v>
      </c>
      <c r="L717" s="202">
        <v>-185942.96249466966</v>
      </c>
      <c r="M717" s="221">
        <v>45387.621540503227</v>
      </c>
      <c r="N717" s="221">
        <v>45387.621540503256</v>
      </c>
      <c r="O717" s="221">
        <v>-221392.4177564632</v>
      </c>
      <c r="Q717" s="204">
        <f t="shared" si="11"/>
        <v>0</v>
      </c>
      <c r="R717" s="204">
        <f>IF(MAX(K718:L718)=K718,1,0)</f>
        <v>1</v>
      </c>
    </row>
    <row r="718" spans="1:18" x14ac:dyDescent="0.3">
      <c r="A718" s="110">
        <v>713</v>
      </c>
      <c r="C718" s="191">
        <v>1.1526695219682743</v>
      </c>
      <c r="D718" s="192">
        <v>109947.69426647427</v>
      </c>
      <c r="E718" s="192">
        <v>0.97898313460962061</v>
      </c>
      <c r="F718" s="192">
        <v>82687.230711413198</v>
      </c>
      <c r="G718" s="192">
        <v>-0.17368638735865372</v>
      </c>
      <c r="H718" s="203">
        <v>0.17368638735865372</v>
      </c>
      <c r="I718" s="192">
        <v>-27260.463555061069</v>
      </c>
      <c r="K718" s="202">
        <v>-120378.08139388359</v>
      </c>
      <c r="L718" s="202">
        <v>-154325.47086225281</v>
      </c>
      <c r="M718" s="221">
        <v>33947.38946836922</v>
      </c>
      <c r="N718" s="221">
        <v>33947.389468369234</v>
      </c>
      <c r="O718" s="221">
        <v>-156952.21697927066</v>
      </c>
      <c r="Q718" s="204">
        <f t="shared" si="11"/>
        <v>0</v>
      </c>
      <c r="R718" s="204">
        <f>IF(MAX(K719:L719)=K719,1,0)</f>
        <v>1</v>
      </c>
    </row>
    <row r="719" spans="1:18" x14ac:dyDescent="0.3">
      <c r="A719" s="110">
        <v>714</v>
      </c>
      <c r="C719" s="191">
        <v>1.3123325181320495</v>
      </c>
      <c r="D719" s="192">
        <v>140581.65859808086</v>
      </c>
      <c r="E719" s="192">
        <v>1.2416100553366476</v>
      </c>
      <c r="F719" s="192">
        <v>106762.6226190865</v>
      </c>
      <c r="G719" s="192">
        <v>-7.0722462795401952E-2</v>
      </c>
      <c r="H719" s="203">
        <v>7.0722462795401952E-2</v>
      </c>
      <c r="I719" s="192">
        <v>-33819.035978994361</v>
      </c>
      <c r="K719" s="202">
        <v>-154564.60974954744</v>
      </c>
      <c r="L719" s="202">
        <v>-191106.46054616477</v>
      </c>
      <c r="M719" s="221">
        <v>36541.850796617335</v>
      </c>
      <c r="N719" s="221">
        <v>36541.850796617335</v>
      </c>
      <c r="O719" s="221">
        <v>-478193.69747956685</v>
      </c>
      <c r="Q719" s="204">
        <f t="shared" si="11"/>
        <v>0</v>
      </c>
      <c r="R719" s="204">
        <f>IF(MAX(K720:L720)=K720,1,0)</f>
        <v>1</v>
      </c>
    </row>
    <row r="720" spans="1:18" x14ac:dyDescent="0.3">
      <c r="A720" s="110">
        <v>715</v>
      </c>
      <c r="C720" s="191">
        <v>1.3152157584114499</v>
      </c>
      <c r="D720" s="192">
        <v>129470.68494327301</v>
      </c>
      <c r="E720" s="192">
        <v>1.1174797284857501</v>
      </c>
      <c r="F720" s="192">
        <v>79410.93569977158</v>
      </c>
      <c r="G720" s="192">
        <v>-0.19773602992569983</v>
      </c>
      <c r="H720" s="203">
        <v>0.19773602992569983</v>
      </c>
      <c r="I720" s="192">
        <v>-50059.749243501428</v>
      </c>
      <c r="K720" s="202">
        <v>-122433.90524647296</v>
      </c>
      <c r="L720" s="202">
        <v>-180106.49164211383</v>
      </c>
      <c r="M720" s="221">
        <v>57672.586395640872</v>
      </c>
      <c r="N720" s="221">
        <v>57672.586395640872</v>
      </c>
      <c r="O720" s="221">
        <v>-253164.53082582672</v>
      </c>
      <c r="Q720" s="204">
        <f t="shared" si="11"/>
        <v>0</v>
      </c>
      <c r="R720" s="204">
        <f>IF(MAX(K721:L721)=K721,1,0)</f>
        <v>1</v>
      </c>
    </row>
    <row r="721" spans="1:18" x14ac:dyDescent="0.3">
      <c r="A721" s="110">
        <v>716</v>
      </c>
      <c r="C721" s="191">
        <v>1.2384117066460014</v>
      </c>
      <c r="D721" s="192">
        <v>112347.92313326076</v>
      </c>
      <c r="E721" s="192">
        <v>1.2345637315013782</v>
      </c>
      <c r="F721" s="192">
        <v>89034.170613759561</v>
      </c>
      <c r="G721" s="192">
        <v>-3.8479751446232058E-3</v>
      </c>
      <c r="H721" s="203">
        <v>3.8479751446232058E-3</v>
      </c>
      <c r="I721" s="192">
        <v>-23313.752519501199</v>
      </c>
      <c r="K721" s="202">
        <v>-136564.87427656262</v>
      </c>
      <c r="L721" s="202">
        <v>-160026.77383913181</v>
      </c>
      <c r="M721" s="221">
        <v>23461.89956256919</v>
      </c>
      <c r="N721" s="221">
        <v>23461.899562569193</v>
      </c>
      <c r="O721" s="221">
        <v>-6058706.6296614772</v>
      </c>
      <c r="Q721" s="204">
        <f t="shared" si="11"/>
        <v>0</v>
      </c>
      <c r="R721" s="204">
        <f>IF(MAX(K722:L722)=K722,1,0)</f>
        <v>1</v>
      </c>
    </row>
    <row r="722" spans="1:18" x14ac:dyDescent="0.3">
      <c r="A722" s="110">
        <v>717</v>
      </c>
      <c r="C722" s="191">
        <v>1.1399321335176271</v>
      </c>
      <c r="D722" s="192">
        <v>107836.08972077037</v>
      </c>
      <c r="E722" s="192">
        <v>1.0180648479926357</v>
      </c>
      <c r="F722" s="192">
        <v>81141.248492580431</v>
      </c>
      <c r="G722" s="192">
        <v>-0.12186728552499138</v>
      </c>
      <c r="H722" s="203">
        <v>0.12186728552499138</v>
      </c>
      <c r="I722" s="192">
        <v>-26694.841228189936</v>
      </c>
      <c r="K722" s="202">
        <v>-120336.7451402969</v>
      </c>
      <c r="L722" s="202">
        <v>-151723.47686119901</v>
      </c>
      <c r="M722" s="221">
        <v>31386.731720902113</v>
      </c>
      <c r="N722" s="221">
        <v>31386.731720902106</v>
      </c>
      <c r="O722" s="221">
        <v>-219048.46007844832</v>
      </c>
      <c r="Q722" s="204">
        <f t="shared" si="11"/>
        <v>0</v>
      </c>
      <c r="R722" s="204">
        <f>IF(MAX(K723:L723)=K723,1,0)</f>
        <v>1</v>
      </c>
    </row>
    <row r="723" spans="1:18" x14ac:dyDescent="0.3">
      <c r="A723" s="110">
        <v>718</v>
      </c>
      <c r="C723" s="191">
        <v>1.5076611663146813</v>
      </c>
      <c r="D723" s="192">
        <v>148670.03579280432</v>
      </c>
      <c r="E723" s="192">
        <v>1.2997699109707084</v>
      </c>
      <c r="F723" s="192">
        <v>104334.08546666687</v>
      </c>
      <c r="G723" s="192">
        <v>-0.2078912553439729</v>
      </c>
      <c r="H723" s="203">
        <v>0.2078912553439729</v>
      </c>
      <c r="I723" s="192">
        <v>-44335.950326137448</v>
      </c>
      <c r="K723" s="202">
        <v>-154375.22703903913</v>
      </c>
      <c r="L723" s="202">
        <v>-206714.99069591955</v>
      </c>
      <c r="M723" s="221">
        <v>52339.763656880416</v>
      </c>
      <c r="N723" s="221">
        <v>52339.763656880408</v>
      </c>
      <c r="O723" s="221">
        <v>-213265.10464704267</v>
      </c>
      <c r="Q723" s="204">
        <f t="shared" si="11"/>
        <v>0</v>
      </c>
      <c r="R723" s="204">
        <f>IF(MAX(K724:L724)=K724,1,0)</f>
        <v>1</v>
      </c>
    </row>
    <row r="724" spans="1:18" x14ac:dyDescent="0.3">
      <c r="A724" s="110">
        <v>719</v>
      </c>
      <c r="C724" s="191">
        <v>1.245068375210463</v>
      </c>
      <c r="D724" s="192">
        <v>112548.83649912378</v>
      </c>
      <c r="E724" s="192">
        <v>1.1451380267274207</v>
      </c>
      <c r="F724" s="192">
        <v>84191.252616082376</v>
      </c>
      <c r="G724" s="192">
        <v>-9.9930348483042275E-2</v>
      </c>
      <c r="H724" s="203">
        <v>9.9930348483042275E-2</v>
      </c>
      <c r="I724" s="192">
        <v>-28357.5838830414</v>
      </c>
      <c r="K724" s="202">
        <v>-128279.06664508808</v>
      </c>
      <c r="L724" s="202">
        <v>-160483.9689447266</v>
      </c>
      <c r="M724" s="221">
        <v>32204.902299638517</v>
      </c>
      <c r="N724" s="221">
        <v>32204.902299638528</v>
      </c>
      <c r="O724" s="221">
        <v>-283773.49137187842</v>
      </c>
      <c r="Q724" s="204">
        <f t="shared" si="11"/>
        <v>0</v>
      </c>
      <c r="R724" s="204">
        <f>IF(MAX(K725:L725)=K725,1,0)</f>
        <v>1</v>
      </c>
    </row>
    <row r="725" spans="1:18" x14ac:dyDescent="0.3">
      <c r="A725" s="110">
        <v>720</v>
      </c>
      <c r="C725" s="191">
        <v>1.1138119744098669</v>
      </c>
      <c r="D725" s="192">
        <v>113534.88012069603</v>
      </c>
      <c r="E725" s="192">
        <v>0.92826799045383634</v>
      </c>
      <c r="F725" s="192">
        <v>79939.801425900194</v>
      </c>
      <c r="G725" s="192">
        <v>-0.18554398395603056</v>
      </c>
      <c r="H725" s="203">
        <v>0.18554398395603056</v>
      </c>
      <c r="I725" s="192">
        <v>-33595.07869479584</v>
      </c>
      <c r="K725" s="202">
        <v>-115678.11905837289</v>
      </c>
      <c r="L725" s="202">
        <v>-156416.64113547592</v>
      </c>
      <c r="M725" s="221">
        <v>40738.522077103029</v>
      </c>
      <c r="N725" s="221">
        <v>40738.522077103014</v>
      </c>
      <c r="O725" s="221">
        <v>-181062.61371835729</v>
      </c>
      <c r="Q725" s="204">
        <f t="shared" si="11"/>
        <v>0</v>
      </c>
      <c r="R725" s="204">
        <f>IF(MAX(K726:L726)=K726,1,0)</f>
        <v>1</v>
      </c>
    </row>
    <row r="726" spans="1:18" x14ac:dyDescent="0.3">
      <c r="A726" s="110">
        <v>721</v>
      </c>
      <c r="C726" s="191">
        <v>1.1923272632188258</v>
      </c>
      <c r="D726" s="192">
        <v>116438.82577058292</v>
      </c>
      <c r="E726" s="192">
        <v>1.0621247199240458</v>
      </c>
      <c r="F726" s="192">
        <v>80861.059190189524</v>
      </c>
      <c r="G726" s="192">
        <v>-0.13020254329477998</v>
      </c>
      <c r="H726" s="203">
        <v>0.13020254329477998</v>
      </c>
      <c r="I726" s="192">
        <v>-35577.766580393392</v>
      </c>
      <c r="K726" s="202">
        <v>-121752.86090726528</v>
      </c>
      <c r="L726" s="202">
        <v>-162343.42540450773</v>
      </c>
      <c r="M726" s="221">
        <v>40590.564497242449</v>
      </c>
      <c r="N726" s="221">
        <v>40590.56449724242</v>
      </c>
      <c r="O726" s="221">
        <v>-273249.39805396076</v>
      </c>
      <c r="Q726" s="204">
        <f t="shared" si="11"/>
        <v>0</v>
      </c>
      <c r="R726" s="204">
        <f>IF(MAX(K727:L727)=K727,1,0)</f>
        <v>1</v>
      </c>
    </row>
    <row r="727" spans="1:18" x14ac:dyDescent="0.3">
      <c r="A727" s="110">
        <v>722</v>
      </c>
      <c r="C727" s="191">
        <v>1.3317153414391003</v>
      </c>
      <c r="D727" s="192">
        <v>118085.04756121649</v>
      </c>
      <c r="E727" s="192">
        <v>1.2081928729028948</v>
      </c>
      <c r="F727" s="192">
        <v>85779.613661900905</v>
      </c>
      <c r="G727" s="192">
        <v>-0.12352246853620552</v>
      </c>
      <c r="H727" s="203">
        <v>0.12352246853620552</v>
      </c>
      <c r="I727" s="192">
        <v>-32305.433899315583</v>
      </c>
      <c r="K727" s="202">
        <v>-132295.03926866234</v>
      </c>
      <c r="L727" s="202">
        <v>-169356.08820662185</v>
      </c>
      <c r="M727" s="221">
        <v>37061.048937959509</v>
      </c>
      <c r="N727" s="221">
        <v>37061.048937959495</v>
      </c>
      <c r="O727" s="221">
        <v>-261534.8792988749</v>
      </c>
      <c r="Q727" s="204">
        <f t="shared" si="11"/>
        <v>0</v>
      </c>
      <c r="R727" s="204">
        <f>IF(MAX(K728:L728)=K728,1,0)</f>
        <v>1</v>
      </c>
    </row>
    <row r="728" spans="1:18" x14ac:dyDescent="0.3">
      <c r="A728" s="110">
        <v>723</v>
      </c>
      <c r="C728" s="191">
        <v>1.3562200374513529</v>
      </c>
      <c r="D728" s="192">
        <v>149531.30057641063</v>
      </c>
      <c r="E728" s="192">
        <v>1.2366648209633546</v>
      </c>
      <c r="F728" s="192">
        <v>101275.81242260644</v>
      </c>
      <c r="G728" s="192">
        <v>-0.11955521648799827</v>
      </c>
      <c r="H728" s="203">
        <v>0.11955521648799827</v>
      </c>
      <c r="I728" s="192">
        <v>-48255.488153804195</v>
      </c>
      <c r="K728" s="202">
        <v>-148887.40802969559</v>
      </c>
      <c r="L728" s="202">
        <v>-201745.77201828774</v>
      </c>
      <c r="M728" s="221">
        <v>52858.363988592144</v>
      </c>
      <c r="N728" s="221">
        <v>52858.363988592129</v>
      </c>
      <c r="O728" s="221">
        <v>-403625.11625453329</v>
      </c>
      <c r="Q728" s="204">
        <f t="shared" si="11"/>
        <v>0</v>
      </c>
      <c r="R728" s="204">
        <f>IF(MAX(K729:L729)=K729,1,0)</f>
        <v>1</v>
      </c>
    </row>
    <row r="729" spans="1:18" x14ac:dyDescent="0.3">
      <c r="A729" s="110">
        <v>724</v>
      </c>
      <c r="C729" s="191">
        <v>1.2975759465255581</v>
      </c>
      <c r="D729" s="192">
        <v>122648.38179622975</v>
      </c>
      <c r="E729" s="192">
        <v>1.1543463899409536</v>
      </c>
      <c r="F729" s="192">
        <v>94143.037007203078</v>
      </c>
      <c r="G729" s="192">
        <v>-0.14322955658460446</v>
      </c>
      <c r="H729" s="203">
        <v>0.14322955658460446</v>
      </c>
      <c r="I729" s="192">
        <v>-28505.344789026669</v>
      </c>
      <c r="K729" s="202">
        <v>-138585.3730199298</v>
      </c>
      <c r="L729" s="202">
        <v>-172605.05573746373</v>
      </c>
      <c r="M729" s="221">
        <v>34019.682717533928</v>
      </c>
      <c r="N729" s="221">
        <v>34019.682717533942</v>
      </c>
      <c r="O729" s="221">
        <v>-199018.59273151355</v>
      </c>
      <c r="Q729" s="204">
        <f t="shared" si="11"/>
        <v>0</v>
      </c>
      <c r="R729" s="204">
        <f>IF(MAX(K730:L730)=K730,1,0)</f>
        <v>1</v>
      </c>
    </row>
    <row r="730" spans="1:18" x14ac:dyDescent="0.3">
      <c r="A730" s="110">
        <v>725</v>
      </c>
      <c r="C730" s="191">
        <v>1.6338491671353781</v>
      </c>
      <c r="D730" s="192">
        <v>138228.4028438495</v>
      </c>
      <c r="E730" s="192">
        <v>1.3975121037783933</v>
      </c>
      <c r="F730" s="192">
        <v>98013.459396107704</v>
      </c>
      <c r="G730" s="192">
        <v>-0.23633706335698479</v>
      </c>
      <c r="H730" s="203">
        <v>0.23633706335698479</v>
      </c>
      <c r="I730" s="192">
        <v>-40214.943447741796</v>
      </c>
      <c r="K730" s="202">
        <v>-151817.67539157585</v>
      </c>
      <c r="L730" s="202">
        <v>-201131.59577856155</v>
      </c>
      <c r="M730" s="221">
        <v>49313.920386985701</v>
      </c>
      <c r="N730" s="221">
        <v>49313.920386985708</v>
      </c>
      <c r="O730" s="221">
        <v>-170159.27538626271</v>
      </c>
      <c r="Q730" s="204">
        <f t="shared" si="11"/>
        <v>0</v>
      </c>
      <c r="R730" s="204">
        <f>IF(MAX(K731:L731)=K731,1,0)</f>
        <v>1</v>
      </c>
    </row>
    <row r="731" spans="1:18" x14ac:dyDescent="0.3">
      <c r="A731" s="110">
        <v>726</v>
      </c>
      <c r="C731" s="191">
        <v>1.0560621224671336</v>
      </c>
      <c r="D731" s="192">
        <v>96274.486185357717</v>
      </c>
      <c r="E731" s="192">
        <v>1.0480005250732749</v>
      </c>
      <c r="F731" s="192">
        <v>84936.933908580759</v>
      </c>
      <c r="G731" s="192">
        <v>-8.0615973938586993E-3</v>
      </c>
      <c r="H731" s="203">
        <v>8.0615973938586993E-3</v>
      </c>
      <c r="I731" s="192">
        <v>-11337.552276776958</v>
      </c>
      <c r="K731" s="202">
        <v>-125284.95412390184</v>
      </c>
      <c r="L731" s="202">
        <v>-136932.87790034237</v>
      </c>
      <c r="M731" s="221">
        <v>11647.923776440526</v>
      </c>
      <c r="N731" s="221">
        <v>11647.923776440519</v>
      </c>
      <c r="O731" s="221">
        <v>-1406365.4785605979</v>
      </c>
      <c r="Q731" s="204">
        <f t="shared" si="11"/>
        <v>0</v>
      </c>
      <c r="R731" s="204">
        <f>IF(MAX(K732:L732)=K732,1,0)</f>
        <v>1</v>
      </c>
    </row>
    <row r="732" spans="1:18" x14ac:dyDescent="0.3">
      <c r="A732" s="110">
        <v>727</v>
      </c>
      <c r="C732" s="191">
        <v>1.095979331977964</v>
      </c>
      <c r="D732" s="192">
        <v>108665.04248282284</v>
      </c>
      <c r="E732" s="192">
        <v>1.0818661272852352</v>
      </c>
      <c r="F732" s="192">
        <v>91824.4939941505</v>
      </c>
      <c r="G732" s="192">
        <v>-1.4113204692728809E-2</v>
      </c>
      <c r="H732" s="203">
        <v>1.4113204692728809E-2</v>
      </c>
      <c r="I732" s="192">
        <v>-16840.548488672343</v>
      </c>
      <c r="K732" s="202">
        <v>-133476.33989463205</v>
      </c>
      <c r="L732" s="202">
        <v>-150860.24676397446</v>
      </c>
      <c r="M732" s="221">
        <v>17383.906869342405</v>
      </c>
      <c r="N732" s="221">
        <v>17383.906869342401</v>
      </c>
      <c r="O732" s="221">
        <v>-1193247.6609900424</v>
      </c>
      <c r="Q732" s="204">
        <f t="shared" si="11"/>
        <v>0</v>
      </c>
      <c r="R732" s="204">
        <f>IF(MAX(K733:L733)=K733,1,0)</f>
        <v>1</v>
      </c>
    </row>
    <row r="733" spans="1:18" x14ac:dyDescent="0.3">
      <c r="A733" s="110">
        <v>728</v>
      </c>
      <c r="C733" s="191">
        <v>1.0499934196004952</v>
      </c>
      <c r="D733" s="192">
        <v>157499.57752403247</v>
      </c>
      <c r="E733" s="192">
        <v>0.91732356629023148</v>
      </c>
      <c r="F733" s="192">
        <v>112789.54102189427</v>
      </c>
      <c r="G733" s="192">
        <v>-0.13266985331026371</v>
      </c>
      <c r="H733" s="203">
        <v>0.13266985331026371</v>
      </c>
      <c r="I733" s="192">
        <v>-44710.036502138202</v>
      </c>
      <c r="K733" s="202">
        <v>-148106.49832406818</v>
      </c>
      <c r="L733" s="202">
        <v>-197924.32417865153</v>
      </c>
      <c r="M733" s="221">
        <v>49817.825854583352</v>
      </c>
      <c r="N733" s="221">
        <v>49817.825854583352</v>
      </c>
      <c r="O733" s="221">
        <v>-337002.23062415421</v>
      </c>
      <c r="Q733" s="204">
        <f t="shared" si="11"/>
        <v>0</v>
      </c>
      <c r="R733" s="204">
        <f>IF(MAX(K734:L734)=K734,1,0)</f>
        <v>1</v>
      </c>
    </row>
    <row r="734" spans="1:18" x14ac:dyDescent="0.3">
      <c r="A734" s="110">
        <v>729</v>
      </c>
      <c r="C734" s="191">
        <v>1.0860319179418616</v>
      </c>
      <c r="D734" s="192">
        <v>100030.47699126229</v>
      </c>
      <c r="E734" s="192">
        <v>0.97814729064761152</v>
      </c>
      <c r="F734" s="192">
        <v>71161.122542928744</v>
      </c>
      <c r="G734" s="192">
        <v>-0.10788462729425008</v>
      </c>
      <c r="H734" s="203">
        <v>0.10788462729425008</v>
      </c>
      <c r="I734" s="192">
        <v>-28869.354448333543</v>
      </c>
      <c r="K734" s="202">
        <v>-108819.79323286179</v>
      </c>
      <c r="L734" s="202">
        <v>-141842.70583202396</v>
      </c>
      <c r="M734" s="221">
        <v>33022.912599162169</v>
      </c>
      <c r="N734" s="221">
        <v>33022.912599162169</v>
      </c>
      <c r="O734" s="221">
        <v>-267594.69974896219</v>
      </c>
      <c r="Q734" s="204">
        <f t="shared" si="11"/>
        <v>0</v>
      </c>
      <c r="R734" s="204">
        <f>IF(MAX(K735:L735)=K735,1,0)</f>
        <v>1</v>
      </c>
    </row>
    <row r="735" spans="1:18" x14ac:dyDescent="0.3">
      <c r="A735" s="110">
        <v>730</v>
      </c>
      <c r="C735" s="191">
        <v>1.2901020827090321</v>
      </c>
      <c r="D735" s="192">
        <v>120708.81815128375</v>
      </c>
      <c r="E735" s="192">
        <v>1.0660457151573608</v>
      </c>
      <c r="F735" s="192">
        <v>90422.875324703185</v>
      </c>
      <c r="G735" s="192">
        <v>-0.22405636755167135</v>
      </c>
      <c r="H735" s="203">
        <v>0.22405636755167135</v>
      </c>
      <c r="I735" s="192">
        <v>-30285.942826580562</v>
      </c>
      <c r="K735" s="202">
        <v>-131465.63535826158</v>
      </c>
      <c r="L735" s="202">
        <v>-170377.74833558148</v>
      </c>
      <c r="M735" s="221">
        <v>38912.112977319892</v>
      </c>
      <c r="N735" s="221">
        <v>38912.112977319906</v>
      </c>
      <c r="O735" s="221">
        <v>-135171.08733629758</v>
      </c>
      <c r="Q735" s="204">
        <f t="shared" si="11"/>
        <v>0</v>
      </c>
      <c r="R735" s="204">
        <f>IF(MAX(K736:L736)=K736,1,0)</f>
        <v>1</v>
      </c>
    </row>
    <row r="736" spans="1:18" x14ac:dyDescent="0.3">
      <c r="A736" s="110">
        <v>731</v>
      </c>
      <c r="C736" s="191">
        <v>1.2395339543890023</v>
      </c>
      <c r="D736" s="192">
        <v>126054.80988253398</v>
      </c>
      <c r="E736" s="192">
        <v>1.1454779748477748</v>
      </c>
      <c r="F736" s="192">
        <v>103162.60826641429</v>
      </c>
      <c r="G736" s="192">
        <v>-9.4055979541227464E-2</v>
      </c>
      <c r="H736" s="203">
        <v>9.4055979541227464E-2</v>
      </c>
      <c r="I736" s="192">
        <v>-22892.201616119695</v>
      </c>
      <c r="K736" s="202">
        <v>-147263.51029805362</v>
      </c>
      <c r="L736" s="202">
        <v>-173776.86712651057</v>
      </c>
      <c r="M736" s="221">
        <v>26513.356828456948</v>
      </c>
      <c r="N736" s="221">
        <v>26513.356828456952</v>
      </c>
      <c r="O736" s="221">
        <v>-243389.11494813979</v>
      </c>
      <c r="Q736" s="204">
        <f t="shared" si="11"/>
        <v>0</v>
      </c>
      <c r="R736" s="204">
        <f>IF(MAX(K737:L737)=K737,1,0)</f>
        <v>1</v>
      </c>
    </row>
    <row r="737" spans="1:18" x14ac:dyDescent="0.3">
      <c r="A737" s="110">
        <v>732</v>
      </c>
      <c r="C737" s="191">
        <v>1.3282600780501592</v>
      </c>
      <c r="D737" s="192">
        <v>146561.08111430096</v>
      </c>
      <c r="E737" s="192">
        <v>1.1889669852442506</v>
      </c>
      <c r="F737" s="192">
        <v>108577.67616299744</v>
      </c>
      <c r="G737" s="192">
        <v>-0.13929309280590862</v>
      </c>
      <c r="H737" s="203">
        <v>0.13929309280590862</v>
      </c>
      <c r="I737" s="192">
        <v>-37983.404951303528</v>
      </c>
      <c r="K737" s="202">
        <v>-154352.9050949011</v>
      </c>
      <c r="L737" s="202">
        <v>-197699.09411923209</v>
      </c>
      <c r="M737" s="221">
        <v>43346.18902433099</v>
      </c>
      <c r="N737" s="221">
        <v>43346.189024331012</v>
      </c>
      <c r="O737" s="221">
        <v>-272686.92356648087</v>
      </c>
      <c r="Q737" s="204">
        <f t="shared" si="11"/>
        <v>0</v>
      </c>
      <c r="R737" s="204">
        <f>IF(MAX(K738:L738)=K738,1,0)</f>
        <v>1</v>
      </c>
    </row>
    <row r="738" spans="1:18" x14ac:dyDescent="0.3">
      <c r="A738" s="110">
        <v>733</v>
      </c>
      <c r="C738" s="191">
        <v>1.2112010124770209</v>
      </c>
      <c r="D738" s="192">
        <v>121713.45437268054</v>
      </c>
      <c r="E738" s="192">
        <v>1.1192805842236104</v>
      </c>
      <c r="F738" s="192">
        <v>90569.791445717216</v>
      </c>
      <c r="G738" s="192">
        <v>-9.1920428253410513E-2</v>
      </c>
      <c r="H738" s="203">
        <v>9.1920428253410513E-2</v>
      </c>
      <c r="I738" s="192">
        <v>-31143.662926963327</v>
      </c>
      <c r="K738" s="202">
        <v>-133662.09393832623</v>
      </c>
      <c r="L738" s="202">
        <v>-168344.69335304585</v>
      </c>
      <c r="M738" s="221">
        <v>34682.599414719618</v>
      </c>
      <c r="N738" s="221">
        <v>34682.599414719632</v>
      </c>
      <c r="O738" s="221">
        <v>-338811.11651378544</v>
      </c>
      <c r="Q738" s="204">
        <f t="shared" si="11"/>
        <v>0</v>
      </c>
      <c r="R738" s="204">
        <f>IF(MAX(K739:L739)=K739,1,0)</f>
        <v>1</v>
      </c>
    </row>
    <row r="739" spans="1:18" x14ac:dyDescent="0.3">
      <c r="A739" s="110">
        <v>734</v>
      </c>
      <c r="C739" s="191">
        <v>1.2371827568704017</v>
      </c>
      <c r="D739" s="192">
        <v>116629.45251520803</v>
      </c>
      <c r="E739" s="192">
        <v>1.0799623839723653</v>
      </c>
      <c r="F739" s="192">
        <v>83723.145763909386</v>
      </c>
      <c r="G739" s="192">
        <v>-0.15722037289803636</v>
      </c>
      <c r="H739" s="203">
        <v>0.15722037289803636</v>
      </c>
      <c r="I739" s="192">
        <v>-32906.306751298645</v>
      </c>
      <c r="K739" s="202">
        <v>-125301.69754684545</v>
      </c>
      <c r="L739" s="202">
        <v>-164260.9886547185</v>
      </c>
      <c r="M739" s="221">
        <v>38959.291107873054</v>
      </c>
      <c r="N739" s="221">
        <v>38959.291107873047</v>
      </c>
      <c r="O739" s="221">
        <v>-209300.52603704031</v>
      </c>
      <c r="Q739" s="204">
        <f t="shared" si="11"/>
        <v>0</v>
      </c>
      <c r="R739" s="204">
        <f>IF(MAX(K740:L740)=K740,1,0)</f>
        <v>1</v>
      </c>
    </row>
    <row r="740" spans="1:18" x14ac:dyDescent="0.3">
      <c r="A740" s="110">
        <v>735</v>
      </c>
      <c r="C740" s="191">
        <v>1.0590506385595384</v>
      </c>
      <c r="D740" s="192">
        <v>96811.003318000439</v>
      </c>
      <c r="E740" s="192">
        <v>0.98879711585833552</v>
      </c>
      <c r="F740" s="192">
        <v>90622.829811742457</v>
      </c>
      <c r="G740" s="192">
        <v>-7.0253522701202886E-2</v>
      </c>
      <c r="H740" s="203">
        <v>7.0253522701202886E-2</v>
      </c>
      <c r="I740" s="192">
        <v>-6188.1735062579828</v>
      </c>
      <c r="K740" s="202">
        <v>-128691.51877228837</v>
      </c>
      <c r="L740" s="202">
        <v>-137584.45290254266</v>
      </c>
      <c r="M740" s="221">
        <v>8892.9341302542889</v>
      </c>
      <c r="N740" s="221">
        <v>8892.9341302542944</v>
      </c>
      <c r="O740" s="221">
        <v>-88083.462128683095</v>
      </c>
      <c r="Q740" s="204">
        <f t="shared" si="11"/>
        <v>0</v>
      </c>
      <c r="R740" s="204">
        <f>IF(MAX(K741:L741)=K741,1,0)</f>
        <v>1</v>
      </c>
    </row>
    <row r="741" spans="1:18" x14ac:dyDescent="0.3">
      <c r="A741" s="110">
        <v>736</v>
      </c>
      <c r="C741" s="191">
        <v>1.4274211266803201</v>
      </c>
      <c r="D741" s="192">
        <v>160929.94812114935</v>
      </c>
      <c r="E741" s="192">
        <v>1.1258007391766376</v>
      </c>
      <c r="F741" s="192">
        <v>113196.01822495878</v>
      </c>
      <c r="G741" s="192">
        <v>-0.30162038750368247</v>
      </c>
      <c r="H741" s="203">
        <v>0.30162038750368247</v>
      </c>
      <c r="I741" s="192">
        <v>-47733.929896190573</v>
      </c>
      <c r="K741" s="202">
        <v>-156539.34668325933</v>
      </c>
      <c r="L741" s="202">
        <v>-215885.66149834168</v>
      </c>
      <c r="M741" s="221">
        <v>59346.314815082354</v>
      </c>
      <c r="N741" s="221">
        <v>59346.314815082347</v>
      </c>
      <c r="O741" s="221">
        <v>-158258.30041282534</v>
      </c>
      <c r="Q741" s="204">
        <f t="shared" si="11"/>
        <v>0</v>
      </c>
      <c r="R741" s="204">
        <f>IF(MAX(K742:L742)=K742,1,0)</f>
        <v>1</v>
      </c>
    </row>
    <row r="742" spans="1:18" x14ac:dyDescent="0.3">
      <c r="A742" s="110">
        <v>737</v>
      </c>
      <c r="C742" s="191">
        <v>1.0586307684516638</v>
      </c>
      <c r="D742" s="192">
        <v>105810.54979160619</v>
      </c>
      <c r="E742" s="192">
        <v>1.0063679963164223</v>
      </c>
      <c r="F742" s="192">
        <v>86546.093278725908</v>
      </c>
      <c r="G742" s="192">
        <v>-5.2262772135241553E-2</v>
      </c>
      <c r="H742" s="203">
        <v>5.2262772135241553E-2</v>
      </c>
      <c r="I742" s="192">
        <v>-19264.456512880279</v>
      </c>
      <c r="K742" s="202">
        <v>-125291.26113690817</v>
      </c>
      <c r="L742" s="202">
        <v>-146567.83437699525</v>
      </c>
      <c r="M742" s="221">
        <v>21276.573240087077</v>
      </c>
      <c r="N742" s="221">
        <v>21276.57324008708</v>
      </c>
      <c r="O742" s="221">
        <v>-368607.62883050309</v>
      </c>
      <c r="Q742" s="204">
        <f t="shared" si="11"/>
        <v>0</v>
      </c>
      <c r="R742" s="204">
        <f>IF(MAX(K743:L743)=K743,1,0)</f>
        <v>1</v>
      </c>
    </row>
    <row r="743" spans="1:18" x14ac:dyDescent="0.3">
      <c r="A743" s="110">
        <v>738</v>
      </c>
      <c r="C743" s="191">
        <v>1.1904901912723556</v>
      </c>
      <c r="D743" s="192">
        <v>106663.60735787584</v>
      </c>
      <c r="E743" s="192">
        <v>1.0468957461633903</v>
      </c>
      <c r="F743" s="192">
        <v>73686.147077600253</v>
      </c>
      <c r="G743" s="192">
        <v>-0.14359444510896524</v>
      </c>
      <c r="H743" s="203">
        <v>0.14359444510896524</v>
      </c>
      <c r="I743" s="192">
        <v>-32977.460280275584</v>
      </c>
      <c r="K743" s="202">
        <v>-113991.63330489078</v>
      </c>
      <c r="L743" s="202">
        <v>-152497.47972186154</v>
      </c>
      <c r="M743" s="221">
        <v>38505.846416970759</v>
      </c>
      <c r="N743" s="221">
        <v>38505.846416970744</v>
      </c>
      <c r="O743" s="221">
        <v>-229656.93592987501</v>
      </c>
      <c r="Q743" s="204">
        <f t="shared" si="11"/>
        <v>0</v>
      </c>
      <c r="R743" s="204">
        <f>IF(MAX(K744:L744)=K744,1,0)</f>
        <v>1</v>
      </c>
    </row>
    <row r="744" spans="1:18" x14ac:dyDescent="0.3">
      <c r="A744" s="110">
        <v>739</v>
      </c>
      <c r="C744" s="191">
        <v>0.99974288589840954</v>
      </c>
      <c r="D744" s="192">
        <v>107940.98640911392</v>
      </c>
      <c r="E744" s="192">
        <v>0.88277971221944718</v>
      </c>
      <c r="F744" s="192">
        <v>81914.162015599257</v>
      </c>
      <c r="G744" s="192">
        <v>-0.11696317367896236</v>
      </c>
      <c r="H744" s="203">
        <v>0.11696317367896236</v>
      </c>
      <c r="I744" s="192">
        <v>-26026.82439351466</v>
      </c>
      <c r="K744" s="202">
        <v>-115901.18093604798</v>
      </c>
      <c r="L744" s="202">
        <v>-146431.08751620268</v>
      </c>
      <c r="M744" s="221">
        <v>30529.906580154697</v>
      </c>
      <c r="N744" s="221">
        <v>30529.906580154711</v>
      </c>
      <c r="O744" s="221">
        <v>-222521.53028056887</v>
      </c>
      <c r="Q744" s="204">
        <f t="shared" si="11"/>
        <v>0</v>
      </c>
      <c r="R744" s="204">
        <f>IF(MAX(K745:L745)=K745,1,0)</f>
        <v>1</v>
      </c>
    </row>
    <row r="745" spans="1:18" x14ac:dyDescent="0.3">
      <c r="A745" s="110">
        <v>740</v>
      </c>
      <c r="C745" s="191">
        <v>1.6023378064727765</v>
      </c>
      <c r="D745" s="192">
        <v>185682.4598265909</v>
      </c>
      <c r="E745" s="192">
        <v>1.3583368658260369</v>
      </c>
      <c r="F745" s="192">
        <v>118197.44881316324</v>
      </c>
      <c r="G745" s="192">
        <v>-0.24400094064673961</v>
      </c>
      <c r="H745" s="203">
        <v>0.24400094064673961</v>
      </c>
      <c r="I745" s="192">
        <v>-67485.011013427662</v>
      </c>
      <c r="K745" s="202">
        <v>-170493.41814746565</v>
      </c>
      <c r="L745" s="202">
        <v>-247372.46537579279</v>
      </c>
      <c r="M745" s="221">
        <v>76879.047228327137</v>
      </c>
      <c r="N745" s="221">
        <v>76879.047228327137</v>
      </c>
      <c r="O745" s="221">
        <v>-276576.84775539988</v>
      </c>
      <c r="Q745" s="204">
        <f t="shared" si="11"/>
        <v>0</v>
      </c>
      <c r="R745" s="204">
        <f>IF(MAX(K746:L746)=K746,1,0)</f>
        <v>1</v>
      </c>
    </row>
    <row r="746" spans="1:18" x14ac:dyDescent="0.3">
      <c r="A746" s="110">
        <v>741</v>
      </c>
      <c r="C746" s="191">
        <v>1.0837410606330076</v>
      </c>
      <c r="D746" s="192">
        <v>136645.69123622272</v>
      </c>
      <c r="E746" s="192">
        <v>0.90811876255267265</v>
      </c>
      <c r="F746" s="192">
        <v>93711.82167172202</v>
      </c>
      <c r="G746" s="192">
        <v>-0.17562229808033492</v>
      </c>
      <c r="H746" s="203">
        <v>0.17562229808033492</v>
      </c>
      <c r="I746" s="192">
        <v>-42933.869564500696</v>
      </c>
      <c r="K746" s="202">
        <v>-128674.39402999991</v>
      </c>
      <c r="L746" s="202">
        <v>-178369.7220705935</v>
      </c>
      <c r="M746" s="221">
        <v>49695.328040593595</v>
      </c>
      <c r="N746" s="221">
        <v>49695.328040593588</v>
      </c>
      <c r="O746" s="221">
        <v>-244467.07527344537</v>
      </c>
      <c r="Q746" s="204">
        <f t="shared" si="11"/>
        <v>0</v>
      </c>
      <c r="R746" s="204">
        <f>IF(MAX(K747:L747)=K747,1,0)</f>
        <v>1</v>
      </c>
    </row>
    <row r="747" spans="1:18" x14ac:dyDescent="0.3">
      <c r="A747" s="110">
        <v>742</v>
      </c>
      <c r="C747" s="191">
        <v>1.2506887905055044</v>
      </c>
      <c r="D747" s="192">
        <v>129696.62879934079</v>
      </c>
      <c r="E747" s="192">
        <v>1.0717623940970611</v>
      </c>
      <c r="F747" s="192">
        <v>93965.555892167657</v>
      </c>
      <c r="G747" s="192">
        <v>-0.17892639640844332</v>
      </c>
      <c r="H747" s="203">
        <v>0.17892639640844332</v>
      </c>
      <c r="I747" s="192">
        <v>-35731.072907173133</v>
      </c>
      <c r="K747" s="202">
        <v>-135228.40806490451</v>
      </c>
      <c r="L747" s="202">
        <v>-177848.14723380271</v>
      </c>
      <c r="M747" s="221">
        <v>42619.739168898202</v>
      </c>
      <c r="N747" s="221">
        <v>42619.739168898202</v>
      </c>
      <c r="O747" s="221">
        <v>-199697.04651966615</v>
      </c>
      <c r="Q747" s="204">
        <f t="shared" si="11"/>
        <v>0</v>
      </c>
      <c r="R747" s="204">
        <f>IF(MAX(K748:L748)=K748,1,0)</f>
        <v>1</v>
      </c>
    </row>
    <row r="748" spans="1:18" x14ac:dyDescent="0.3">
      <c r="A748" s="110">
        <v>743</v>
      </c>
      <c r="C748" s="191">
        <v>1.4671111634769438</v>
      </c>
      <c r="D748" s="192">
        <v>94881.123896917357</v>
      </c>
      <c r="E748" s="192">
        <v>1.3222789226969121</v>
      </c>
      <c r="F748" s="192">
        <v>68312.973822265791</v>
      </c>
      <c r="G748" s="192">
        <v>-0.14483224078003176</v>
      </c>
      <c r="H748" s="203">
        <v>0.14483224078003176</v>
      </c>
      <c r="I748" s="192">
        <v>-26568.150074651567</v>
      </c>
      <c r="K748" s="202">
        <v>-119220.7123460969</v>
      </c>
      <c r="L748" s="202">
        <v>-151364.9036907797</v>
      </c>
      <c r="M748" s="221">
        <v>32144.191344682797</v>
      </c>
      <c r="N748" s="221">
        <v>32144.191344682789</v>
      </c>
      <c r="O748" s="221">
        <v>-183440.85496131162</v>
      </c>
      <c r="Q748" s="204">
        <f t="shared" si="11"/>
        <v>0</v>
      </c>
      <c r="R748" s="204">
        <f>IF(MAX(K749:L749)=K749,1,0)</f>
        <v>1</v>
      </c>
    </row>
    <row r="749" spans="1:18" x14ac:dyDescent="0.3">
      <c r="A749" s="110">
        <v>744</v>
      </c>
      <c r="C749" s="191">
        <v>1.4849819301217491</v>
      </c>
      <c r="D749" s="192">
        <v>99251.026270346963</v>
      </c>
      <c r="E749" s="192">
        <v>1.3772759475779675</v>
      </c>
      <c r="F749" s="192">
        <v>75110.662443635796</v>
      </c>
      <c r="G749" s="192">
        <v>-0.10770598254378161</v>
      </c>
      <c r="H749" s="203">
        <v>0.10770598254378161</v>
      </c>
      <c r="I749" s="192">
        <v>-24140.363826711167</v>
      </c>
      <c r="K749" s="202">
        <v>-128135.78642538755</v>
      </c>
      <c r="L749" s="202">
        <v>-156422.83058003429</v>
      </c>
      <c r="M749" s="221">
        <v>28287.044154646748</v>
      </c>
      <c r="N749" s="221">
        <v>28287.044154646759</v>
      </c>
      <c r="O749" s="221">
        <v>-224132.06078778685</v>
      </c>
      <c r="Q749" s="204">
        <f t="shared" si="11"/>
        <v>0</v>
      </c>
      <c r="R749" s="204">
        <f>IF(MAX(K750:L750)=K750,1,0)</f>
        <v>1</v>
      </c>
    </row>
    <row r="750" spans="1:18" x14ac:dyDescent="0.3">
      <c r="A750" s="110">
        <v>745</v>
      </c>
      <c r="C750" s="191">
        <v>1.2447425541001778</v>
      </c>
      <c r="D750" s="192">
        <v>105634.30883045698</v>
      </c>
      <c r="E750" s="192">
        <v>1.0658096048383143</v>
      </c>
      <c r="F750" s="192">
        <v>81994.172086067716</v>
      </c>
      <c r="G750" s="192">
        <v>-0.17893294926186343</v>
      </c>
      <c r="H750" s="203">
        <v>0.17893294926186343</v>
      </c>
      <c r="I750" s="192">
        <v>-23640.136744389267</v>
      </c>
      <c r="K750" s="202">
        <v>-123027.84187234282</v>
      </c>
      <c r="L750" s="202">
        <v>-153556.89716331381</v>
      </c>
      <c r="M750" s="221">
        <v>30529.055290970995</v>
      </c>
      <c r="N750" s="221">
        <v>30529.05529097101</v>
      </c>
      <c r="O750" s="221">
        <v>-132117.29221426166</v>
      </c>
      <c r="Q750" s="204">
        <f t="shared" si="11"/>
        <v>0</v>
      </c>
      <c r="R750" s="204">
        <f>IF(MAX(K751:L751)=K751,1,0)</f>
        <v>1</v>
      </c>
    </row>
    <row r="751" spans="1:18" x14ac:dyDescent="0.3">
      <c r="A751" s="110">
        <v>746</v>
      </c>
      <c r="C751" s="191">
        <v>1.2273027094491911</v>
      </c>
      <c r="D751" s="192">
        <v>159702.37915868327</v>
      </c>
      <c r="E751" s="192">
        <v>1.0994180626923744</v>
      </c>
      <c r="F751" s="192">
        <v>126413.43982559632</v>
      </c>
      <c r="G751" s="192">
        <v>-0.12788464675681666</v>
      </c>
      <c r="H751" s="203">
        <v>0.12788464675681666</v>
      </c>
      <c r="I751" s="192">
        <v>-33288.93933308695</v>
      </c>
      <c r="K751" s="202">
        <v>-168741.03523925273</v>
      </c>
      <c r="L751" s="202">
        <v>-206953.53347247711</v>
      </c>
      <c r="M751" s="221">
        <v>38212.498233224382</v>
      </c>
      <c r="N751" s="221">
        <v>38212.498233224389</v>
      </c>
      <c r="O751" s="221">
        <v>-260304.42416116339</v>
      </c>
      <c r="Q751" s="204">
        <f t="shared" si="11"/>
        <v>0</v>
      </c>
      <c r="R751" s="204">
        <f>IF(MAX(K752:L752)=K752,1,0)</f>
        <v>1</v>
      </c>
    </row>
    <row r="752" spans="1:18" x14ac:dyDescent="0.3">
      <c r="A752" s="110">
        <v>747</v>
      </c>
      <c r="C752" s="191">
        <v>1.3745379821306265</v>
      </c>
      <c r="D752" s="192">
        <v>124060.61420892261</v>
      </c>
      <c r="E752" s="192">
        <v>1.2843431949890138</v>
      </c>
      <c r="F752" s="192">
        <v>92150.444134611535</v>
      </c>
      <c r="G752" s="192">
        <v>-9.0194787141612665E-2</v>
      </c>
      <c r="H752" s="203">
        <v>9.0194787141612665E-2</v>
      </c>
      <c r="I752" s="192">
        <v>-31910.17007431107</v>
      </c>
      <c r="K752" s="202">
        <v>-141597.65714168857</v>
      </c>
      <c r="L752" s="202">
        <v>-176980.32652095173</v>
      </c>
      <c r="M752" s="221">
        <v>35382.669379263156</v>
      </c>
      <c r="N752" s="221">
        <v>35382.669379263156</v>
      </c>
      <c r="O752" s="221">
        <v>-353791.73326513515</v>
      </c>
      <c r="Q752" s="204">
        <f t="shared" si="11"/>
        <v>0</v>
      </c>
      <c r="R752" s="204">
        <f>IF(MAX(K753:L753)=K753,1,0)</f>
        <v>1</v>
      </c>
    </row>
    <row r="753" spans="1:18" x14ac:dyDescent="0.3">
      <c r="A753" s="110">
        <v>748</v>
      </c>
      <c r="C753" s="191">
        <v>1.5241124935721382</v>
      </c>
      <c r="D753" s="192">
        <v>170262.94985142833</v>
      </c>
      <c r="E753" s="192">
        <v>1.2928378177985944</v>
      </c>
      <c r="F753" s="192">
        <v>106199.51648571862</v>
      </c>
      <c r="G753" s="192">
        <v>-0.23127467577354377</v>
      </c>
      <c r="H753" s="203">
        <v>0.23127467577354377</v>
      </c>
      <c r="I753" s="192">
        <v>-64063.433365709716</v>
      </c>
      <c r="K753" s="202">
        <v>-155973.7724709645</v>
      </c>
      <c r="L753" s="202">
        <v>-228941.28085395566</v>
      </c>
      <c r="M753" s="221">
        <v>72967.50838299116</v>
      </c>
      <c r="N753" s="221">
        <v>72967.508382991145</v>
      </c>
      <c r="O753" s="221">
        <v>-277001.50546719792</v>
      </c>
      <c r="Q753" s="204">
        <f t="shared" si="11"/>
        <v>0</v>
      </c>
      <c r="R753" s="204">
        <f>IF(MAX(K754:L754)=K754,1,0)</f>
        <v>1</v>
      </c>
    </row>
    <row r="754" spans="1:18" x14ac:dyDescent="0.3">
      <c r="A754" s="110">
        <v>749</v>
      </c>
      <c r="C754" s="191">
        <v>1.4030801055028324</v>
      </c>
      <c r="D754" s="192">
        <v>131487.69758159452</v>
      </c>
      <c r="E754" s="192">
        <v>1.2584450603852011</v>
      </c>
      <c r="F754" s="192">
        <v>88455.055118686621</v>
      </c>
      <c r="G754" s="192">
        <v>-0.14463504511763126</v>
      </c>
      <c r="H754" s="203">
        <v>0.14463504511763126</v>
      </c>
      <c r="I754" s="192">
        <v>-43032.642462907897</v>
      </c>
      <c r="K754" s="202">
        <v>-136905.18994351686</v>
      </c>
      <c r="L754" s="202">
        <v>-185506.28164345358</v>
      </c>
      <c r="M754" s="221">
        <v>48601.091699936718</v>
      </c>
      <c r="N754" s="221">
        <v>48601.091699936704</v>
      </c>
      <c r="O754" s="221">
        <v>-297525.69598819967</v>
      </c>
      <c r="Q754" s="204">
        <f t="shared" si="11"/>
        <v>0</v>
      </c>
      <c r="R754" s="204">
        <f>IF(MAX(K755:L755)=K755,1,0)</f>
        <v>1</v>
      </c>
    </row>
    <row r="755" spans="1:18" x14ac:dyDescent="0.3">
      <c r="A755" s="110">
        <v>750</v>
      </c>
      <c r="C755" s="191">
        <v>1.2585980578728015</v>
      </c>
      <c r="D755" s="192">
        <v>121857.50026953765</v>
      </c>
      <c r="E755" s="192">
        <v>1.2116820271957789</v>
      </c>
      <c r="F755" s="192">
        <v>104230.63856642041</v>
      </c>
      <c r="G755" s="192">
        <v>-4.6916030677022658E-2</v>
      </c>
      <c r="H755" s="203">
        <v>4.6916030677022658E-2</v>
      </c>
      <c r="I755" s="192">
        <v>-17626.861703117233</v>
      </c>
      <c r="K755" s="202">
        <v>-150880.39661345791</v>
      </c>
      <c r="L755" s="202">
        <v>-170313.52549764051</v>
      </c>
      <c r="M755" s="221">
        <v>19433.128884182603</v>
      </c>
      <c r="N755" s="221">
        <v>19433.128884182606</v>
      </c>
      <c r="O755" s="221">
        <v>-375710.84869611677</v>
      </c>
      <c r="Q755" s="204">
        <f t="shared" si="11"/>
        <v>0</v>
      </c>
      <c r="R755" s="204">
        <f>IF(MAX(K756:L756)=K756,1,0)</f>
        <v>1</v>
      </c>
    </row>
    <row r="756" spans="1:18" x14ac:dyDescent="0.3">
      <c r="A756" s="110">
        <v>751</v>
      </c>
      <c r="C756" s="191">
        <v>1.4306558544780774</v>
      </c>
      <c r="D756" s="192">
        <v>152007.43465529045</v>
      </c>
      <c r="E756" s="192">
        <v>1.2730703850154061</v>
      </c>
      <c r="F756" s="192">
        <v>106413.8607778969</v>
      </c>
      <c r="G756" s="192">
        <v>-0.15758546946267127</v>
      </c>
      <c r="H756" s="203">
        <v>0.15758546946267127</v>
      </c>
      <c r="I756" s="192">
        <v>-45593.573877393545</v>
      </c>
      <c r="K756" s="202">
        <v>-155427.07060099003</v>
      </c>
      <c r="L756" s="202">
        <v>-207087.68505269644</v>
      </c>
      <c r="M756" s="221">
        <v>51660.614451706409</v>
      </c>
      <c r="N756" s="221">
        <v>51660.614451706388</v>
      </c>
      <c r="O756" s="221">
        <v>-289326.00215525401</v>
      </c>
      <c r="Q756" s="204">
        <f t="shared" si="11"/>
        <v>0</v>
      </c>
      <c r="R756" s="204">
        <f>IF(MAX(K757:L757)=K757,1,0)</f>
        <v>1</v>
      </c>
    </row>
    <row r="757" spans="1:18" x14ac:dyDescent="0.3">
      <c r="A757" s="110">
        <v>752</v>
      </c>
      <c r="C757" s="191">
        <v>1.2183397619101508</v>
      </c>
      <c r="D757" s="192">
        <v>137313.8819621166</v>
      </c>
      <c r="E757" s="192">
        <v>1.0234816845000287</v>
      </c>
      <c r="F757" s="192">
        <v>100890.79543775586</v>
      </c>
      <c r="G757" s="192">
        <v>-0.19485807741012207</v>
      </c>
      <c r="H757" s="203">
        <v>0.19485807741012207</v>
      </c>
      <c r="I757" s="192">
        <v>-36423.08652436074</v>
      </c>
      <c r="K757" s="202">
        <v>-140294.84029100696</v>
      </c>
      <c r="L757" s="202">
        <v>-184219.9627956574</v>
      </c>
      <c r="M757" s="221">
        <v>43925.122504650441</v>
      </c>
      <c r="N757" s="221">
        <v>43925.122504650441</v>
      </c>
      <c r="O757" s="221">
        <v>-186921.10180118564</v>
      </c>
      <c r="Q757" s="204">
        <f t="shared" si="11"/>
        <v>0</v>
      </c>
      <c r="R757" s="204">
        <f>IF(MAX(K758:L758)=K758,1,0)</f>
        <v>1</v>
      </c>
    </row>
    <row r="758" spans="1:18" x14ac:dyDescent="0.3">
      <c r="A758" s="110">
        <v>753</v>
      </c>
      <c r="C758" s="191">
        <v>1.082430361846852</v>
      </c>
      <c r="D758" s="192">
        <v>115483.68384093279</v>
      </c>
      <c r="E758" s="192">
        <v>1.0090889470231241</v>
      </c>
      <c r="F758" s="192">
        <v>92425.721313884598</v>
      </c>
      <c r="G758" s="192">
        <v>-7.3341414823727913E-2</v>
      </c>
      <c r="H758" s="203">
        <v>7.3341414823727913E-2</v>
      </c>
      <c r="I758" s="192">
        <v>-23057.962527048192</v>
      </c>
      <c r="K758" s="202">
        <v>-131275.64577427489</v>
      </c>
      <c r="L758" s="202">
        <v>-157157.25277203659</v>
      </c>
      <c r="M758" s="221">
        <v>25881.606997761701</v>
      </c>
      <c r="N758" s="221">
        <v>25881.606997761715</v>
      </c>
      <c r="O758" s="221">
        <v>-314392.11504804954</v>
      </c>
      <c r="Q758" s="204">
        <f t="shared" si="11"/>
        <v>0</v>
      </c>
      <c r="R758" s="204">
        <f>IF(MAX(K759:L759)=K759,1,0)</f>
        <v>1</v>
      </c>
    </row>
    <row r="759" spans="1:18" x14ac:dyDescent="0.3">
      <c r="A759" s="110">
        <v>754</v>
      </c>
      <c r="C759" s="191">
        <v>1.2303646124250565</v>
      </c>
      <c r="D759" s="192">
        <v>83149.557611082884</v>
      </c>
      <c r="E759" s="192">
        <v>1.2269457155458992</v>
      </c>
      <c r="F759" s="192">
        <v>79033.837355382027</v>
      </c>
      <c r="G759" s="192">
        <v>-3.4188968791573071E-3</v>
      </c>
      <c r="H759" s="203">
        <v>3.4188968791573071E-3</v>
      </c>
      <c r="I759" s="192">
        <v>-4115.7202557008568</v>
      </c>
      <c r="K759" s="202">
        <v>-126271.24740389915</v>
      </c>
      <c r="L759" s="202">
        <v>-130518.59518944756</v>
      </c>
      <c r="M759" s="221">
        <v>4247.3477855484089</v>
      </c>
      <c r="N759" s="221">
        <v>4247.3477855484134</v>
      </c>
      <c r="O759" s="221">
        <v>-1203815.2659097759</v>
      </c>
      <c r="Q759" s="204">
        <f t="shared" si="11"/>
        <v>0</v>
      </c>
      <c r="R759" s="204">
        <f>IF(MAX(K760:L760)=K760,1,0)</f>
        <v>1</v>
      </c>
    </row>
    <row r="760" spans="1:18" x14ac:dyDescent="0.3">
      <c r="A760" s="110">
        <v>755</v>
      </c>
      <c r="C760" s="191">
        <v>1.1427401644277808</v>
      </c>
      <c r="D760" s="192">
        <v>149053.73378688388</v>
      </c>
      <c r="E760" s="192">
        <v>1.0819257453062117</v>
      </c>
      <c r="F760" s="192">
        <v>112998.80579303169</v>
      </c>
      <c r="G760" s="192">
        <v>-6.0814419121569152E-2</v>
      </c>
      <c r="H760" s="203">
        <v>6.0814419121569152E-2</v>
      </c>
      <c r="I760" s="192">
        <v>-36054.927993852194</v>
      </c>
      <c r="K760" s="202">
        <v>-154652.94698732084</v>
      </c>
      <c r="L760" s="202">
        <v>-193049.23011735344</v>
      </c>
      <c r="M760" s="221">
        <v>38396.283130032592</v>
      </c>
      <c r="N760" s="221">
        <v>38396.283130032607</v>
      </c>
      <c r="O760" s="221">
        <v>-592868.08152812778</v>
      </c>
      <c r="Q760" s="204">
        <f t="shared" si="11"/>
        <v>0</v>
      </c>
      <c r="R760" s="204">
        <f>IF(MAX(K761:L761)=K761,1,0)</f>
        <v>1</v>
      </c>
    </row>
    <row r="761" spans="1:18" x14ac:dyDescent="0.3">
      <c r="A761" s="110">
        <v>756</v>
      </c>
      <c r="C761" s="191">
        <v>1.3733880166060664</v>
      </c>
      <c r="D761" s="192">
        <v>109664.22784004733</v>
      </c>
      <c r="E761" s="192">
        <v>1.3750348306410358</v>
      </c>
      <c r="F761" s="192">
        <v>103900.00157399314</v>
      </c>
      <c r="G761" s="192">
        <v>1.6468140349694682E-3</v>
      </c>
      <c r="H761" s="203">
        <v>-1.6468140349694682E-3</v>
      </c>
      <c r="I761" s="192">
        <v>-5764.2262660541892</v>
      </c>
      <c r="K761" s="202">
        <v>-156838.84255367302</v>
      </c>
      <c r="L761" s="202">
        <v>-162539.66647938089</v>
      </c>
      <c r="M761" s="221">
        <v>5700.8239257078676</v>
      </c>
      <c r="N761" s="221">
        <v>5700.8239257078649</v>
      </c>
      <c r="O761" s="221">
        <v>3500229.0141163738</v>
      </c>
      <c r="Q761" s="204">
        <f t="shared" si="11"/>
        <v>0</v>
      </c>
      <c r="R761" s="204">
        <f>IF(MAX(K762:L762)=K762,1,0)</f>
        <v>1</v>
      </c>
    </row>
    <row r="762" spans="1:18" x14ac:dyDescent="0.3">
      <c r="A762" s="110">
        <v>757</v>
      </c>
      <c r="C762" s="191">
        <v>1.3086589557299801</v>
      </c>
      <c r="D762" s="192">
        <v>159393.20134363504</v>
      </c>
      <c r="E762" s="192">
        <v>1.1685022086309644</v>
      </c>
      <c r="F762" s="192">
        <v>123080.53636113049</v>
      </c>
      <c r="G762" s="192">
        <v>-0.14015674709901571</v>
      </c>
      <c r="H762" s="203">
        <v>0.14015674709901571</v>
      </c>
      <c r="I762" s="192">
        <v>-36312.664982504546</v>
      </c>
      <c r="K762" s="202">
        <v>-168067.87139342263</v>
      </c>
      <c r="L762" s="202">
        <v>-209776.57113923927</v>
      </c>
      <c r="M762" s="221">
        <v>41708.699745816644</v>
      </c>
      <c r="N762" s="221">
        <v>41708.699745816652</v>
      </c>
      <c r="O762" s="221">
        <v>-259086.09991391248</v>
      </c>
      <c r="Q762" s="204">
        <f t="shared" si="11"/>
        <v>0</v>
      </c>
      <c r="R762" s="204">
        <f>IF(MAX(K763:L763)=K763,1,0)</f>
        <v>1</v>
      </c>
    </row>
    <row r="763" spans="1:18" x14ac:dyDescent="0.3">
      <c r="A763" s="110">
        <v>758</v>
      </c>
      <c r="C763" s="191">
        <v>1.0429005880533677</v>
      </c>
      <c r="D763" s="192">
        <v>150741.07720239411</v>
      </c>
      <c r="E763" s="192">
        <v>0.81375704202364652</v>
      </c>
      <c r="F763" s="192">
        <v>97215.248386335108</v>
      </c>
      <c r="G763" s="192">
        <v>-0.2291435460297212</v>
      </c>
      <c r="H763" s="203">
        <v>0.2291435460297212</v>
      </c>
      <c r="I763" s="192">
        <v>-53525.828816059002</v>
      </c>
      <c r="K763" s="202">
        <v>-128544.8945042455</v>
      </c>
      <c r="L763" s="202">
        <v>-190892.74984244877</v>
      </c>
      <c r="M763" s="221">
        <v>62347.85533820327</v>
      </c>
      <c r="N763" s="221">
        <v>62347.85533820327</v>
      </c>
      <c r="O763" s="221">
        <v>-233590.82000553663</v>
      </c>
      <c r="Q763" s="204">
        <f t="shared" si="11"/>
        <v>0</v>
      </c>
      <c r="R763" s="204">
        <f>IF(MAX(K764:L764)=K764,1,0)</f>
        <v>1</v>
      </c>
    </row>
    <row r="764" spans="1:18" x14ac:dyDescent="0.3">
      <c r="A764" s="110">
        <v>759</v>
      </c>
      <c r="C764" s="191">
        <v>1.5756817138641219</v>
      </c>
      <c r="D764" s="192">
        <v>84797.39913948359</v>
      </c>
      <c r="E764" s="192">
        <v>1.5473268283377097</v>
      </c>
      <c r="F764" s="192">
        <v>67517.835559020226</v>
      </c>
      <c r="G764" s="192">
        <v>-2.8354885526412188E-2</v>
      </c>
      <c r="H764" s="203">
        <v>2.8354885526412188E-2</v>
      </c>
      <c r="I764" s="192">
        <v>-17279.563580463364</v>
      </c>
      <c r="K764" s="202">
        <v>-127089.91845002206</v>
      </c>
      <c r="L764" s="202">
        <v>-145461.1451232523</v>
      </c>
      <c r="M764" s="221">
        <v>18371.226673230238</v>
      </c>
      <c r="N764" s="221">
        <v>18371.226673230234</v>
      </c>
      <c r="O764" s="221">
        <v>-609403.39767436858</v>
      </c>
      <c r="Q764" s="204">
        <f t="shared" si="11"/>
        <v>0</v>
      </c>
      <c r="R764" s="204">
        <f>IF(MAX(K765:L765)=K765,1,0)</f>
        <v>1</v>
      </c>
    </row>
    <row r="765" spans="1:18" x14ac:dyDescent="0.3">
      <c r="A765" s="110">
        <v>760</v>
      </c>
      <c r="C765" s="191">
        <v>1.3863188233971691</v>
      </c>
      <c r="D765" s="192">
        <v>120062.79811927647</v>
      </c>
      <c r="E765" s="192">
        <v>1.2801403963484772</v>
      </c>
      <c r="F765" s="192">
        <v>97692.429937360648</v>
      </c>
      <c r="G765" s="192">
        <v>-0.10617842704869185</v>
      </c>
      <c r="H765" s="203">
        <v>0.10617842704869185</v>
      </c>
      <c r="I765" s="192">
        <v>-22370.368181915823</v>
      </c>
      <c r="K765" s="202">
        <v>-146977.83519677701</v>
      </c>
      <c r="L765" s="202">
        <v>-173436.07282006746</v>
      </c>
      <c r="M765" s="221">
        <v>26458.23762329045</v>
      </c>
      <c r="N765" s="221">
        <v>26458.237623290457</v>
      </c>
      <c r="O765" s="221">
        <v>-210686.56603527479</v>
      </c>
      <c r="Q765" s="204">
        <f t="shared" si="11"/>
        <v>0</v>
      </c>
      <c r="R765" s="204">
        <f>IF(MAX(K766:L766)=K766,1,0)</f>
        <v>1</v>
      </c>
    </row>
    <row r="766" spans="1:18" x14ac:dyDescent="0.3">
      <c r="A766" s="110">
        <v>761</v>
      </c>
      <c r="C766" s="191">
        <v>1.2654187434401114</v>
      </c>
      <c r="D766" s="192">
        <v>81569.907983157493</v>
      </c>
      <c r="E766" s="192">
        <v>1.1454856812572405</v>
      </c>
      <c r="F766" s="192">
        <v>60295.737948803704</v>
      </c>
      <c r="G766" s="192">
        <v>-0.11993306218287092</v>
      </c>
      <c r="H766" s="203">
        <v>0.11993306218287092</v>
      </c>
      <c r="I766" s="192">
        <v>-21274.170034353789</v>
      </c>
      <c r="K766" s="202">
        <v>-104396.93667720747</v>
      </c>
      <c r="L766" s="202">
        <v>-130288.52960560178</v>
      </c>
      <c r="M766" s="221">
        <v>25891.592928394311</v>
      </c>
      <c r="N766" s="221">
        <v>25891.592928394319</v>
      </c>
      <c r="O766" s="221">
        <v>-177383.69759887786</v>
      </c>
      <c r="Q766" s="204">
        <f t="shared" si="11"/>
        <v>0</v>
      </c>
      <c r="R766" s="204">
        <f>IF(MAX(K767:L767)=K767,1,0)</f>
        <v>1</v>
      </c>
    </row>
    <row r="767" spans="1:18" x14ac:dyDescent="0.3">
      <c r="A767" s="110">
        <v>762</v>
      </c>
      <c r="C767" s="191">
        <v>1.0903330095723347</v>
      </c>
      <c r="D767" s="192">
        <v>93087.978735435827</v>
      </c>
      <c r="E767" s="192">
        <v>0.98207387894006282</v>
      </c>
      <c r="F767" s="192">
        <v>78257.2004482263</v>
      </c>
      <c r="G767" s="192">
        <v>-0.10825913063227188</v>
      </c>
      <c r="H767" s="203">
        <v>0.10825913063227188</v>
      </c>
      <c r="I767" s="192">
        <v>-14830.778287209527</v>
      </c>
      <c r="K767" s="202">
        <v>-116067.04478741871</v>
      </c>
      <c r="L767" s="202">
        <v>-135065.79960397072</v>
      </c>
      <c r="M767" s="221">
        <v>18998.754816552013</v>
      </c>
      <c r="N767" s="221">
        <v>18998.754816551995</v>
      </c>
      <c r="O767" s="221">
        <v>-136993.32518737679</v>
      </c>
      <c r="Q767" s="204">
        <f t="shared" si="11"/>
        <v>0</v>
      </c>
      <c r="R767" s="204">
        <f>IF(MAX(K768:L768)=K768,1,0)</f>
        <v>1</v>
      </c>
    </row>
    <row r="768" spans="1:18" x14ac:dyDescent="0.3">
      <c r="A768" s="110">
        <v>763</v>
      </c>
      <c r="C768" s="191">
        <v>1.8311273092563114</v>
      </c>
      <c r="D768" s="192">
        <v>102652.14526952209</v>
      </c>
      <c r="E768" s="192">
        <v>1.6337075131473315</v>
      </c>
      <c r="F768" s="192">
        <v>68238.559202137592</v>
      </c>
      <c r="G768" s="192">
        <v>-0.19741979610897986</v>
      </c>
      <c r="H768" s="203">
        <v>0.19741979610897986</v>
      </c>
      <c r="I768" s="192">
        <v>-34413.586067384502</v>
      </c>
      <c r="K768" s="202">
        <v>-131136.29845830984</v>
      </c>
      <c r="L768" s="202">
        <v>-173150.5466758901</v>
      </c>
      <c r="M768" s="221">
        <v>42014.248217580258</v>
      </c>
      <c r="N768" s="221">
        <v>42014.248217580229</v>
      </c>
      <c r="O768" s="221">
        <v>-174316.79469665483</v>
      </c>
      <c r="Q768" s="204">
        <f t="shared" si="11"/>
        <v>0</v>
      </c>
      <c r="R768" s="204">
        <f>IF(MAX(K769:L769)=K769,1,0)</f>
        <v>1</v>
      </c>
    </row>
    <row r="769" spans="1:18" x14ac:dyDescent="0.3">
      <c r="A769" s="110">
        <v>764</v>
      </c>
      <c r="C769" s="191">
        <v>1.0703157517233215</v>
      </c>
      <c r="D769" s="192">
        <v>118083.43343861309</v>
      </c>
      <c r="E769" s="192">
        <v>0.88098935641058929</v>
      </c>
      <c r="F769" s="192">
        <v>82386.139746490357</v>
      </c>
      <c r="G769" s="192">
        <v>-0.18932639531273221</v>
      </c>
      <c r="H769" s="203">
        <v>0.18932639531273221</v>
      </c>
      <c r="I769" s="192">
        <v>-35697.293692122737</v>
      </c>
      <c r="K769" s="202">
        <v>-116304.22996829805</v>
      </c>
      <c r="L769" s="202">
        <v>-159290.58987996099</v>
      </c>
      <c r="M769" s="221">
        <v>42986.359911662934</v>
      </c>
      <c r="N769" s="221">
        <v>42986.359911662927</v>
      </c>
      <c r="O769" s="221">
        <v>-188548.95342594679</v>
      </c>
      <c r="Q769" s="204">
        <f t="shared" si="11"/>
        <v>0</v>
      </c>
      <c r="R769" s="204">
        <f>IF(MAX(K770:L770)=K770,1,0)</f>
        <v>1</v>
      </c>
    </row>
    <row r="770" spans="1:18" x14ac:dyDescent="0.3">
      <c r="A770" s="110">
        <v>765</v>
      </c>
      <c r="C770" s="191">
        <v>1.6844674661270895</v>
      </c>
      <c r="D770" s="192">
        <v>149346.73334503607</v>
      </c>
      <c r="E770" s="192">
        <v>1.5357635513237817</v>
      </c>
      <c r="F770" s="192">
        <v>102726.60906060057</v>
      </c>
      <c r="G770" s="192">
        <v>-0.1487039148033078</v>
      </c>
      <c r="H770" s="203">
        <v>0.1487039148033078</v>
      </c>
      <c r="I770" s="192">
        <v>-46620.1242844355</v>
      </c>
      <c r="K770" s="202">
        <v>-161853.50578656618</v>
      </c>
      <c r="L770" s="202">
        <v>-214198.73079092902</v>
      </c>
      <c r="M770" s="221">
        <v>52345.225004362845</v>
      </c>
      <c r="N770" s="221">
        <v>52345.225004362852</v>
      </c>
      <c r="O770" s="221">
        <v>-313509.73070278898</v>
      </c>
      <c r="Q770" s="204">
        <f t="shared" si="11"/>
        <v>0</v>
      </c>
      <c r="R770" s="204">
        <f>IF(MAX(K771:L771)=K771,1,0)</f>
        <v>1</v>
      </c>
    </row>
    <row r="771" spans="1:18" x14ac:dyDescent="0.3">
      <c r="A771" s="110">
        <v>766</v>
      </c>
      <c r="C771" s="191">
        <v>1.3694430664300394</v>
      </c>
      <c r="D771" s="192">
        <v>141853.5852668747</v>
      </c>
      <c r="E771" s="192">
        <v>1.2419935868856586</v>
      </c>
      <c r="F771" s="192">
        <v>108920.84137157486</v>
      </c>
      <c r="G771" s="192">
        <v>-0.12744947954438079</v>
      </c>
      <c r="H771" s="203">
        <v>0.12744947954438079</v>
      </c>
      <c r="I771" s="192">
        <v>-32932.743895299835</v>
      </c>
      <c r="K771" s="202">
        <v>-156737.59446667272</v>
      </c>
      <c r="L771" s="202">
        <v>-194577.14332443121</v>
      </c>
      <c r="M771" s="221">
        <v>37839.548857758491</v>
      </c>
      <c r="N771" s="221">
        <v>37839.548857758491</v>
      </c>
      <c r="O771" s="221">
        <v>-258398.4180479286</v>
      </c>
      <c r="Q771" s="204">
        <f t="shared" si="11"/>
        <v>0</v>
      </c>
      <c r="R771" s="204">
        <f>IF(MAX(K772:L772)=K772,1,0)</f>
        <v>1</v>
      </c>
    </row>
    <row r="772" spans="1:18" x14ac:dyDescent="0.3">
      <c r="A772" s="110">
        <v>767</v>
      </c>
      <c r="C772" s="191">
        <v>1.2940017543171913</v>
      </c>
      <c r="D772" s="192">
        <v>95073.898245175136</v>
      </c>
      <c r="E772" s="192">
        <v>1.3163986570330368</v>
      </c>
      <c r="F772" s="192">
        <v>79060.826875389277</v>
      </c>
      <c r="G772" s="192">
        <v>2.239690271584549E-2</v>
      </c>
      <c r="H772" s="203">
        <v>-2.239690271584549E-2</v>
      </c>
      <c r="I772" s="192">
        <v>-16013.071369785859</v>
      </c>
      <c r="K772" s="202">
        <v>-129742.17517116119</v>
      </c>
      <c r="L772" s="202">
        <v>-144892.96578638701</v>
      </c>
      <c r="M772" s="221">
        <v>15150.790615225822</v>
      </c>
      <c r="N772" s="221">
        <v>15150.790615225807</v>
      </c>
      <c r="O772" s="221">
        <v>714968.11737530294</v>
      </c>
      <c r="Q772" s="204">
        <f t="shared" si="11"/>
        <v>0</v>
      </c>
      <c r="R772" s="204">
        <f>IF(MAX(K773:L773)=K773,1,0)</f>
        <v>1</v>
      </c>
    </row>
    <row r="773" spans="1:18" x14ac:dyDescent="0.3">
      <c r="A773" s="110">
        <v>768</v>
      </c>
      <c r="C773" s="191">
        <v>1.346889769500502</v>
      </c>
      <c r="D773" s="192">
        <v>122737.63614551692</v>
      </c>
      <c r="E773" s="192">
        <v>1.1764392577099938</v>
      </c>
      <c r="F773" s="192">
        <v>85282.122724378176</v>
      </c>
      <c r="G773" s="192">
        <v>-0.17045051179050819</v>
      </c>
      <c r="H773" s="203">
        <v>0.17045051179050819</v>
      </c>
      <c r="I773" s="192">
        <v>-37455.513421138749</v>
      </c>
      <c r="K773" s="202">
        <v>-130575.03414621294</v>
      </c>
      <c r="L773" s="202">
        <v>-174592.89227128625</v>
      </c>
      <c r="M773" s="221">
        <v>44017.858125073311</v>
      </c>
      <c r="N773" s="221">
        <v>44017.858125073311</v>
      </c>
      <c r="O773" s="221">
        <v>-219744.21213339249</v>
      </c>
      <c r="Q773" s="204">
        <f t="shared" si="11"/>
        <v>0</v>
      </c>
      <c r="R773" s="204">
        <f>IF(MAX(K774:L774)=K774,1,0)</f>
        <v>1</v>
      </c>
    </row>
    <row r="774" spans="1:18" x14ac:dyDescent="0.3">
      <c r="A774" s="110">
        <v>769</v>
      </c>
      <c r="C774" s="191">
        <v>1.3501293877250591</v>
      </c>
      <c r="D774" s="192">
        <v>116824.25583981605</v>
      </c>
      <c r="E774" s="192">
        <v>1.1977442431536576</v>
      </c>
      <c r="F774" s="192">
        <v>84984.259258918028</v>
      </c>
      <c r="G774" s="192">
        <v>-0.15238514457140151</v>
      </c>
      <c r="H774" s="203">
        <v>0.15238514457140151</v>
      </c>
      <c r="I774" s="192">
        <v>-31839.99658089802</v>
      </c>
      <c r="K774" s="202">
        <v>-131097.41262033384</v>
      </c>
      <c r="L774" s="202">
        <v>-168804.23726723081</v>
      </c>
      <c r="M774" s="221">
        <v>37706.824646896974</v>
      </c>
      <c r="N774" s="221">
        <v>37706.824646896974</v>
      </c>
      <c r="O774" s="221">
        <v>-208944.22924525355</v>
      </c>
      <c r="Q774" s="204">
        <f t="shared" si="11"/>
        <v>0</v>
      </c>
      <c r="R774" s="204">
        <f>IF(MAX(K775:L775)=K775,1,0)</f>
        <v>1</v>
      </c>
    </row>
    <row r="775" spans="1:18" x14ac:dyDescent="0.3">
      <c r="A775" s="110">
        <v>770</v>
      </c>
      <c r="C775" s="191">
        <v>1.7060740988330969</v>
      </c>
      <c r="D775" s="192">
        <v>97673.801133429079</v>
      </c>
      <c r="E775" s="192">
        <v>1.7295873112357887</v>
      </c>
      <c r="F775" s="192">
        <v>69806.007788776828</v>
      </c>
      <c r="G775" s="192">
        <v>2.3513212402691774E-2</v>
      </c>
      <c r="H775" s="203">
        <v>-2.3513212402691774E-2</v>
      </c>
      <c r="I775" s="192">
        <v>-27867.793344652251</v>
      </c>
      <c r="K775" s="202">
        <v>-136395.11927135469</v>
      </c>
      <c r="L775" s="202">
        <v>-163357.6539385033</v>
      </c>
      <c r="M775" s="221">
        <v>26962.534667148604</v>
      </c>
      <c r="N775" s="221">
        <v>26962.534667148619</v>
      </c>
      <c r="O775" s="221">
        <v>1185197.1932793823</v>
      </c>
      <c r="Q775" s="204">
        <f t="shared" ref="Q775:Q838" si="12">IF(MAX(K775:L775)=L775,1,0)</f>
        <v>0</v>
      </c>
      <c r="R775" s="204">
        <f>IF(MAX(K776:L776)=K776,1,0)</f>
        <v>1</v>
      </c>
    </row>
    <row r="776" spans="1:18" x14ac:dyDescent="0.3">
      <c r="A776" s="110">
        <v>771</v>
      </c>
      <c r="C776" s="191">
        <v>1.2726518437356313</v>
      </c>
      <c r="D776" s="192">
        <v>129530.29853569543</v>
      </c>
      <c r="E776" s="192">
        <v>1.1542143420184618</v>
      </c>
      <c r="F776" s="192">
        <v>102171.72220558095</v>
      </c>
      <c r="G776" s="192">
        <v>-0.11843750171716949</v>
      </c>
      <c r="H776" s="203">
        <v>0.11843750171716949</v>
      </c>
      <c r="I776" s="192">
        <v>-27358.576330114476</v>
      </c>
      <c r="K776" s="202">
        <v>-146608.97437329174</v>
      </c>
      <c r="L776" s="202">
        <v>-178527.39451951723</v>
      </c>
      <c r="M776" s="221">
        <v>31918.420146225486</v>
      </c>
      <c r="N776" s="221">
        <v>31918.420146225501</v>
      </c>
      <c r="O776" s="221">
        <v>-230995.89178643064</v>
      </c>
      <c r="Q776" s="204">
        <f t="shared" si="12"/>
        <v>0</v>
      </c>
      <c r="R776" s="204">
        <f>IF(MAX(K777:L777)=K777,1,0)</f>
        <v>1</v>
      </c>
    </row>
    <row r="777" spans="1:18" x14ac:dyDescent="0.3">
      <c r="A777" s="110">
        <v>772</v>
      </c>
      <c r="C777" s="191">
        <v>1.4354966319773368</v>
      </c>
      <c r="D777" s="192">
        <v>152113.68621577113</v>
      </c>
      <c r="E777" s="192">
        <v>1.3851306902778175</v>
      </c>
      <c r="F777" s="192">
        <v>130197.88283546251</v>
      </c>
      <c r="G777" s="192">
        <v>-5.0365941699519245E-2</v>
      </c>
      <c r="H777" s="203">
        <v>5.0365941699519245E-2</v>
      </c>
      <c r="I777" s="192">
        <v>-21915.803380308615</v>
      </c>
      <c r="K777" s="202">
        <v>-183525.41441115848</v>
      </c>
      <c r="L777" s="202">
        <v>-207380.30654689859</v>
      </c>
      <c r="M777" s="221">
        <v>23854.892135740112</v>
      </c>
      <c r="N777" s="221">
        <v>23854.892135740105</v>
      </c>
      <c r="O777" s="221">
        <v>-435131.41303020262</v>
      </c>
      <c r="Q777" s="204">
        <f t="shared" si="12"/>
        <v>0</v>
      </c>
      <c r="R777" s="204">
        <f>IF(MAX(K778:L778)=K778,1,0)</f>
        <v>1</v>
      </c>
    </row>
    <row r="778" spans="1:18" x14ac:dyDescent="0.3">
      <c r="A778" s="110">
        <v>773</v>
      </c>
      <c r="C778" s="191">
        <v>1.2309224635393656</v>
      </c>
      <c r="D778" s="192">
        <v>163684.55303336435</v>
      </c>
      <c r="E778" s="192">
        <v>1.0211089896662666</v>
      </c>
      <c r="F778" s="192">
        <v>107646.18991263695</v>
      </c>
      <c r="G778" s="192">
        <v>-0.20981347387309901</v>
      </c>
      <c r="H778" s="203">
        <v>0.20981347387309901</v>
      </c>
      <c r="I778" s="192">
        <v>-56038.363120727401</v>
      </c>
      <c r="K778" s="202">
        <v>-146958.88601478821</v>
      </c>
      <c r="L778" s="202">
        <v>-211075.06787962993</v>
      </c>
      <c r="M778" s="221">
        <v>64116.181864841725</v>
      </c>
      <c r="N778" s="221">
        <v>64116.18186484171</v>
      </c>
      <c r="O778" s="221">
        <v>-267086.57974282885</v>
      </c>
      <c r="Q778" s="204">
        <f t="shared" si="12"/>
        <v>0</v>
      </c>
      <c r="R778" s="204">
        <f>IF(MAX(K779:L779)=K779,1,0)</f>
        <v>1</v>
      </c>
    </row>
    <row r="779" spans="1:18" x14ac:dyDescent="0.3">
      <c r="A779" s="110">
        <v>774</v>
      </c>
      <c r="C779" s="191">
        <v>0.92903920936654949</v>
      </c>
      <c r="D779" s="192">
        <v>87239.081729405443</v>
      </c>
      <c r="E779" s="192">
        <v>0.90347472759965919</v>
      </c>
      <c r="F779" s="192">
        <v>71577.94003813072</v>
      </c>
      <c r="G779" s="192">
        <v>-2.5564481766890301E-2</v>
      </c>
      <c r="H779" s="203">
        <v>2.5564481766890301E-2</v>
      </c>
      <c r="I779" s="192">
        <v>-15661.141691274723</v>
      </c>
      <c r="K779" s="202">
        <v>-106361.71705071759</v>
      </c>
      <c r="L779" s="202">
        <v>-123007.09129001759</v>
      </c>
      <c r="M779" s="221">
        <v>16645.374239299999</v>
      </c>
      <c r="N779" s="221">
        <v>16645.374239299999</v>
      </c>
      <c r="O779" s="221">
        <v>-612613.30599543639</v>
      </c>
      <c r="Q779" s="204">
        <f t="shared" si="12"/>
        <v>0</v>
      </c>
      <c r="R779" s="204">
        <f>IF(MAX(K780:L780)=K780,1,0)</f>
        <v>1</v>
      </c>
    </row>
    <row r="780" spans="1:18" x14ac:dyDescent="0.3">
      <c r="A780" s="110">
        <v>775</v>
      </c>
      <c r="C780" s="191">
        <v>1.3623212813601673</v>
      </c>
      <c r="D780" s="192">
        <v>129335.92469023667</v>
      </c>
      <c r="E780" s="192">
        <v>1.2865171387244723</v>
      </c>
      <c r="F780" s="192">
        <v>103593.79751061996</v>
      </c>
      <c r="G780" s="192">
        <v>-7.5804142635695015E-2</v>
      </c>
      <c r="H780" s="203">
        <v>7.5804142635695015E-2</v>
      </c>
      <c r="I780" s="192">
        <v>-25742.127179616713</v>
      </c>
      <c r="K780" s="202">
        <v>-153124.70735151216</v>
      </c>
      <c r="L780" s="202">
        <v>-181785.29402260311</v>
      </c>
      <c r="M780" s="221">
        <v>28660.586671090947</v>
      </c>
      <c r="N780" s="221">
        <v>28660.586671090972</v>
      </c>
      <c r="O780" s="221">
        <v>-339587.34027677187</v>
      </c>
      <c r="Q780" s="204">
        <f t="shared" si="12"/>
        <v>0</v>
      </c>
      <c r="R780" s="204">
        <f>IF(MAX(K781:L781)=K781,1,0)</f>
        <v>1</v>
      </c>
    </row>
    <row r="781" spans="1:18" x14ac:dyDescent="0.3">
      <c r="A781" s="110">
        <v>776</v>
      </c>
      <c r="C781" s="191">
        <v>1.2881876257107092</v>
      </c>
      <c r="D781" s="192">
        <v>133920.37830096026</v>
      </c>
      <c r="E781" s="192">
        <v>1.2484603765935194</v>
      </c>
      <c r="F781" s="192">
        <v>112727.87011611873</v>
      </c>
      <c r="G781" s="192">
        <v>-3.9727249117189833E-2</v>
      </c>
      <c r="H781" s="203">
        <v>3.9727249117189833E-2</v>
      </c>
      <c r="I781" s="192">
        <v>-21192.508184841528</v>
      </c>
      <c r="K781" s="202">
        <v>-160793.59461496922</v>
      </c>
      <c r="L781" s="202">
        <v>-183515.60189082258</v>
      </c>
      <c r="M781" s="221">
        <v>22722.007275853364</v>
      </c>
      <c r="N781" s="221">
        <v>22722.007275853335</v>
      </c>
      <c r="O781" s="221">
        <v>-533450.17980798497</v>
      </c>
      <c r="Q781" s="204">
        <f t="shared" si="12"/>
        <v>0</v>
      </c>
      <c r="R781" s="204">
        <f>IF(MAX(K782:L782)=K782,1,0)</f>
        <v>1</v>
      </c>
    </row>
    <row r="782" spans="1:18" x14ac:dyDescent="0.3">
      <c r="A782" s="110">
        <v>777</v>
      </c>
      <c r="C782" s="191">
        <v>1.2375508415349941</v>
      </c>
      <c r="D782" s="192">
        <v>126076.12336474791</v>
      </c>
      <c r="E782" s="192">
        <v>1.1288620737146282</v>
      </c>
      <c r="F782" s="192">
        <v>94756.909450290681</v>
      </c>
      <c r="G782" s="192">
        <v>-0.10868876782036585</v>
      </c>
      <c r="H782" s="203">
        <v>0.10868876782036585</v>
      </c>
      <c r="I782" s="192">
        <v>-31319.213914457228</v>
      </c>
      <c r="K782" s="202">
        <v>-138218.09928830387</v>
      </c>
      <c r="L782" s="202">
        <v>-173721.83076384518</v>
      </c>
      <c r="M782" s="221">
        <v>35503.73147554131</v>
      </c>
      <c r="N782" s="221">
        <v>35503.73147554131</v>
      </c>
      <c r="O782" s="221">
        <v>-288155.01861443225</v>
      </c>
      <c r="Q782" s="204">
        <f t="shared" si="12"/>
        <v>0</v>
      </c>
      <c r="R782" s="204">
        <f>IF(MAX(K783:L783)=K783,1,0)</f>
        <v>1</v>
      </c>
    </row>
    <row r="783" spans="1:18" x14ac:dyDescent="0.3">
      <c r="A783" s="110">
        <v>778</v>
      </c>
      <c r="C783" s="191">
        <v>1.6490636508475314</v>
      </c>
      <c r="D783" s="192">
        <v>122293.97202550646</v>
      </c>
      <c r="E783" s="192">
        <v>1.5308881234531557</v>
      </c>
      <c r="F783" s="192">
        <v>85999.619347300759</v>
      </c>
      <c r="G783" s="192">
        <v>-0.11817552739437565</v>
      </c>
      <c r="H783" s="203">
        <v>0.11817552739437565</v>
      </c>
      <c r="I783" s="192">
        <v>-36294.352678205702</v>
      </c>
      <c r="K783" s="202">
        <v>-144938.81210024725</v>
      </c>
      <c r="L783" s="202">
        <v>-185782.92258313642</v>
      </c>
      <c r="M783" s="221">
        <v>40844.110482889169</v>
      </c>
      <c r="N783" s="221">
        <v>40844.110482889162</v>
      </c>
      <c r="O783" s="221">
        <v>-307122.40916923608</v>
      </c>
      <c r="Q783" s="204">
        <f t="shared" si="12"/>
        <v>0</v>
      </c>
      <c r="R783" s="204">
        <f>IF(MAX(K784:L784)=K784,1,0)</f>
        <v>1</v>
      </c>
    </row>
    <row r="784" spans="1:18" x14ac:dyDescent="0.3">
      <c r="A784" s="110">
        <v>779</v>
      </c>
      <c r="C784" s="191">
        <v>1.231309373287534</v>
      </c>
      <c r="D784" s="192">
        <v>106829.25851082313</v>
      </c>
      <c r="E784" s="192">
        <v>1.2376980100839099</v>
      </c>
      <c r="F784" s="192">
        <v>98046.537985912189</v>
      </c>
      <c r="G784" s="192">
        <v>6.3886367963759128E-3</v>
      </c>
      <c r="H784" s="203">
        <v>-6.3886367963759128E-3</v>
      </c>
      <c r="I784" s="192">
        <v>-8782.7205249109393</v>
      </c>
      <c r="K784" s="202">
        <v>-145697.91137414271</v>
      </c>
      <c r="L784" s="202">
        <v>-154234.66938239319</v>
      </c>
      <c r="M784" s="221">
        <v>8536.7580082504719</v>
      </c>
      <c r="N784" s="221">
        <v>8536.7580082504664</v>
      </c>
      <c r="O784" s="221">
        <v>1374740.9353264722</v>
      </c>
      <c r="Q784" s="204">
        <f t="shared" si="12"/>
        <v>0</v>
      </c>
      <c r="R784" s="204">
        <f>IF(MAX(K785:L785)=K785,1,0)</f>
        <v>1</v>
      </c>
    </row>
    <row r="785" spans="1:18" x14ac:dyDescent="0.3">
      <c r="A785" s="110">
        <v>780</v>
      </c>
      <c r="C785" s="191">
        <v>1.015060046650583</v>
      </c>
      <c r="D785" s="192">
        <v>130809.54808971444</v>
      </c>
      <c r="E785" s="192">
        <v>0.91376465099257076</v>
      </c>
      <c r="F785" s="192">
        <v>104485.8444063451</v>
      </c>
      <c r="G785" s="192">
        <v>-0.10129539565801227</v>
      </c>
      <c r="H785" s="203">
        <v>0.10129539565801227</v>
      </c>
      <c r="I785" s="192">
        <v>-26323.703683369342</v>
      </c>
      <c r="K785" s="202">
        <v>-139665.78346955907</v>
      </c>
      <c r="L785" s="202">
        <v>-169889.35988576189</v>
      </c>
      <c r="M785" s="221">
        <v>30223.576416202821</v>
      </c>
      <c r="N785" s="221">
        <v>30223.576416202814</v>
      </c>
      <c r="O785" s="221">
        <v>-259870.68328596029</v>
      </c>
      <c r="Q785" s="204">
        <f t="shared" si="12"/>
        <v>0</v>
      </c>
      <c r="R785" s="204">
        <f>IF(MAX(K786:L786)=K786,1,0)</f>
        <v>1</v>
      </c>
    </row>
    <row r="786" spans="1:18" x14ac:dyDescent="0.3">
      <c r="A786" s="110">
        <v>781</v>
      </c>
      <c r="C786" s="191">
        <v>1.1678310693468639</v>
      </c>
      <c r="D786" s="192">
        <v>100733.93137304207</v>
      </c>
      <c r="E786" s="192">
        <v>1.0797225679752711</v>
      </c>
      <c r="F786" s="192">
        <v>80401.708712740801</v>
      </c>
      <c r="G786" s="192">
        <v>-8.8108501371592762E-2</v>
      </c>
      <c r="H786" s="203">
        <v>8.8108501371592762E-2</v>
      </c>
      <c r="I786" s="192">
        <v>-20332.222660301268</v>
      </c>
      <c r="K786" s="202">
        <v>-121971.02757978873</v>
      </c>
      <c r="L786" s="202">
        <v>-145695.42754289633</v>
      </c>
      <c r="M786" s="221">
        <v>23724.3999631076</v>
      </c>
      <c r="N786" s="221">
        <v>23724.399963107589</v>
      </c>
      <c r="O786" s="221">
        <v>-230763.46032207762</v>
      </c>
      <c r="Q786" s="204">
        <f t="shared" si="12"/>
        <v>0</v>
      </c>
      <c r="R786" s="204">
        <f>IF(MAX(K787:L787)=K787,1,0)</f>
        <v>1</v>
      </c>
    </row>
    <row r="787" spans="1:18" x14ac:dyDescent="0.3">
      <c r="A787" s="110">
        <v>782</v>
      </c>
      <c r="C787" s="191">
        <v>0.89314000912375124</v>
      </c>
      <c r="D787" s="192">
        <v>152355.87637613076</v>
      </c>
      <c r="E787" s="192">
        <v>0.68561971488966511</v>
      </c>
      <c r="F787" s="192">
        <v>109960.52126065509</v>
      </c>
      <c r="G787" s="192">
        <v>-0.20752029423408613</v>
      </c>
      <c r="H787" s="203">
        <v>0.20752029423408613</v>
      </c>
      <c r="I787" s="192">
        <v>-42395.355115475671</v>
      </c>
      <c r="K787" s="202">
        <v>-136356.8802839072</v>
      </c>
      <c r="L787" s="202">
        <v>-186741.76672739518</v>
      </c>
      <c r="M787" s="221">
        <v>50384.88644348798</v>
      </c>
      <c r="N787" s="221">
        <v>50384.886443487987</v>
      </c>
      <c r="O787" s="221">
        <v>-204294.98363978343</v>
      </c>
      <c r="Q787" s="204">
        <f t="shared" si="12"/>
        <v>0</v>
      </c>
      <c r="R787" s="204">
        <f>IF(MAX(K788:L788)=K788,1,0)</f>
        <v>1</v>
      </c>
    </row>
    <row r="788" spans="1:18" x14ac:dyDescent="0.3">
      <c r="A788" s="110">
        <v>783</v>
      </c>
      <c r="C788" s="191">
        <v>1.0667675342434078</v>
      </c>
      <c r="D788" s="192">
        <v>113811.8527384296</v>
      </c>
      <c r="E788" s="192">
        <v>1.1034725102561667</v>
      </c>
      <c r="F788" s="192">
        <v>103532.95152417055</v>
      </c>
      <c r="G788" s="192">
        <v>3.6704976012758905E-2</v>
      </c>
      <c r="H788" s="203">
        <v>-3.6704976012758905E-2</v>
      </c>
      <c r="I788" s="192">
        <v>-10278.901214259051</v>
      </c>
      <c r="K788" s="202">
        <v>-146016.64316903296</v>
      </c>
      <c r="L788" s="202">
        <v>-154882.40280680079</v>
      </c>
      <c r="M788" s="221">
        <v>8865.7596377678274</v>
      </c>
      <c r="N788" s="221">
        <v>8865.7596377678328</v>
      </c>
      <c r="O788" s="221">
        <v>280041.08245939278</v>
      </c>
      <c r="Q788" s="204">
        <f t="shared" si="12"/>
        <v>0</v>
      </c>
      <c r="R788" s="204">
        <f>IF(MAX(K789:L789)=K789,1,0)</f>
        <v>1</v>
      </c>
    </row>
    <row r="789" spans="1:18" x14ac:dyDescent="0.3">
      <c r="A789" s="110">
        <v>784</v>
      </c>
      <c r="C789" s="191">
        <v>1.3135115168068177</v>
      </c>
      <c r="D789" s="192">
        <v>121023.90411387947</v>
      </c>
      <c r="E789" s="192">
        <v>1.1257908463244577</v>
      </c>
      <c r="F789" s="192">
        <v>77790.925398968902</v>
      </c>
      <c r="G789" s="192">
        <v>-0.18772067048235996</v>
      </c>
      <c r="H789" s="203">
        <v>0.18772067048235996</v>
      </c>
      <c r="I789" s="192">
        <v>-43232.978714910569</v>
      </c>
      <c r="K789" s="202">
        <v>-121133.87298246053</v>
      </c>
      <c r="L789" s="202">
        <v>-171594.09751094197</v>
      </c>
      <c r="M789" s="221">
        <v>50460.224528481442</v>
      </c>
      <c r="N789" s="221">
        <v>50460.224528481427</v>
      </c>
      <c r="O789" s="221">
        <v>-230304.83858714512</v>
      </c>
      <c r="Q789" s="204">
        <f t="shared" si="12"/>
        <v>0</v>
      </c>
      <c r="R789" s="204">
        <f>IF(MAX(K790:L790)=K790,1,0)</f>
        <v>1</v>
      </c>
    </row>
    <row r="790" spans="1:18" x14ac:dyDescent="0.3">
      <c r="A790" s="110">
        <v>785</v>
      </c>
      <c r="C790" s="191">
        <v>1.4459911253165072</v>
      </c>
      <c r="D790" s="192">
        <v>120872.44555167375</v>
      </c>
      <c r="E790" s="192">
        <v>1.3909289084776899</v>
      </c>
      <c r="F790" s="192">
        <v>103574.63608339608</v>
      </c>
      <c r="G790" s="192">
        <v>-5.5062216838817291E-2</v>
      </c>
      <c r="H790" s="203">
        <v>5.5062216838817291E-2</v>
      </c>
      <c r="I790" s="192">
        <v>-17297.809468277672</v>
      </c>
      <c r="K790" s="202">
        <v>-157125.39905978713</v>
      </c>
      <c r="L790" s="202">
        <v>-176543.1038763593</v>
      </c>
      <c r="M790" s="221">
        <v>19417.704816572164</v>
      </c>
      <c r="N790" s="221">
        <v>19417.704816572139</v>
      </c>
      <c r="O790" s="221">
        <v>-314150.25513617188</v>
      </c>
      <c r="Q790" s="204">
        <f t="shared" si="12"/>
        <v>0</v>
      </c>
      <c r="R790" s="204">
        <f>IF(MAX(K791:L791)=K791,1,0)</f>
        <v>1</v>
      </c>
    </row>
    <row r="791" spans="1:18" x14ac:dyDescent="0.3">
      <c r="A791" s="110">
        <v>786</v>
      </c>
      <c r="C791" s="191">
        <v>1.4065824862308109</v>
      </c>
      <c r="D791" s="192">
        <v>140466.79609071449</v>
      </c>
      <c r="E791" s="192">
        <v>1.2466789558238156</v>
      </c>
      <c r="F791" s="192">
        <v>99872.631444601051</v>
      </c>
      <c r="G791" s="192">
        <v>-0.15990353040699534</v>
      </c>
      <c r="H791" s="203">
        <v>0.15990353040699534</v>
      </c>
      <c r="I791" s="192">
        <v>-40594.164646113437</v>
      </c>
      <c r="K791" s="202">
        <v>-147869.77124381796</v>
      </c>
      <c r="L791" s="202">
        <v>-194620.22181060072</v>
      </c>
      <c r="M791" s="221">
        <v>46750.450566782762</v>
      </c>
      <c r="N791" s="221">
        <v>46750.450566782762</v>
      </c>
      <c r="O791" s="221">
        <v>-253866.59408201254</v>
      </c>
      <c r="Q791" s="204">
        <f t="shared" si="12"/>
        <v>0</v>
      </c>
      <c r="R791" s="204">
        <f>IF(MAX(K792:L792)=K792,1,0)</f>
        <v>1</v>
      </c>
    </row>
    <row r="792" spans="1:18" x14ac:dyDescent="0.3">
      <c r="A792" s="110">
        <v>787</v>
      </c>
      <c r="C792" s="191">
        <v>1.3286500468190399</v>
      </c>
      <c r="D792" s="192">
        <v>95062.739751172878</v>
      </c>
      <c r="E792" s="192">
        <v>1.2151119613666685</v>
      </c>
      <c r="F792" s="192">
        <v>71257.729377130789</v>
      </c>
      <c r="G792" s="192">
        <v>-0.11353808545237132</v>
      </c>
      <c r="H792" s="203">
        <v>0.11353808545237132</v>
      </c>
      <c r="I792" s="192">
        <v>-23805.010374042089</v>
      </c>
      <c r="K792" s="202">
        <v>-118039.53988974752</v>
      </c>
      <c r="L792" s="202">
        <v>-146215.76655370591</v>
      </c>
      <c r="M792" s="221">
        <v>28176.226663958383</v>
      </c>
      <c r="N792" s="221">
        <v>28176.226663958383</v>
      </c>
      <c r="O792" s="221">
        <v>-209665.42001475071</v>
      </c>
      <c r="Q792" s="204">
        <f t="shared" si="12"/>
        <v>0</v>
      </c>
      <c r="R792" s="204">
        <f>IF(MAX(K793:L793)=K793,1,0)</f>
        <v>1</v>
      </c>
    </row>
    <row r="793" spans="1:18" x14ac:dyDescent="0.3">
      <c r="A793" s="110">
        <v>788</v>
      </c>
      <c r="C793" s="191">
        <v>1.2419607573601905</v>
      </c>
      <c r="D793" s="192">
        <v>147193.69417577627</v>
      </c>
      <c r="E793" s="192">
        <v>1.0128275954725472</v>
      </c>
      <c r="F793" s="192">
        <v>101834.35403545902</v>
      </c>
      <c r="G793" s="192">
        <v>-0.22913316188764332</v>
      </c>
      <c r="H793" s="203">
        <v>0.22913316188764332</v>
      </c>
      <c r="I793" s="192">
        <v>-45359.340140317247</v>
      </c>
      <c r="K793" s="202">
        <v>-140828.21646115207</v>
      </c>
      <c r="L793" s="202">
        <v>-195009.1833341436</v>
      </c>
      <c r="M793" s="221">
        <v>54180.966872991528</v>
      </c>
      <c r="N793" s="221">
        <v>54180.966872991514</v>
      </c>
      <c r="O793" s="221">
        <v>-197960.60843676326</v>
      </c>
      <c r="Q793" s="204">
        <f t="shared" si="12"/>
        <v>0</v>
      </c>
      <c r="R793" s="204">
        <f>IF(MAX(K794:L794)=K794,1,0)</f>
        <v>1</v>
      </c>
    </row>
    <row r="794" spans="1:18" x14ac:dyDescent="0.3">
      <c r="A794" s="110">
        <v>789</v>
      </c>
      <c r="C794" s="191">
        <v>0.9940945138966174</v>
      </c>
      <c r="D794" s="192">
        <v>113659.55941879835</v>
      </c>
      <c r="E794" s="192">
        <v>0.96928096053344381</v>
      </c>
      <c r="F794" s="192">
        <v>110211.48061977269</v>
      </c>
      <c r="G794" s="192">
        <v>-2.4813553363173591E-2</v>
      </c>
      <c r="H794" s="203">
        <v>2.4813553363173591E-2</v>
      </c>
      <c r="I794" s="192">
        <v>-3448.0787990256649</v>
      </c>
      <c r="K794" s="202">
        <v>-147528.79760031027</v>
      </c>
      <c r="L794" s="202">
        <v>-151932.19820381812</v>
      </c>
      <c r="M794" s="221">
        <v>4403.4006035078492</v>
      </c>
      <c r="N794" s="221">
        <v>4403.4006035078482</v>
      </c>
      <c r="O794" s="221">
        <v>-138959.49316727222</v>
      </c>
      <c r="Q794" s="204">
        <f t="shared" si="12"/>
        <v>0</v>
      </c>
      <c r="R794" s="204">
        <f>IF(MAX(K795:L795)=K795,1,0)</f>
        <v>1</v>
      </c>
    </row>
    <row r="795" spans="1:18" x14ac:dyDescent="0.3">
      <c r="A795" s="110">
        <v>790</v>
      </c>
      <c r="C795" s="191">
        <v>1.3637023505585895</v>
      </c>
      <c r="D795" s="192">
        <v>114827.03927501642</v>
      </c>
      <c r="E795" s="192">
        <v>1.2275513585986604</v>
      </c>
      <c r="F795" s="192">
        <v>89701.190684879257</v>
      </c>
      <c r="G795" s="192">
        <v>-0.13615099195992908</v>
      </c>
      <c r="H795" s="203">
        <v>0.13615099195992908</v>
      </c>
      <c r="I795" s="192">
        <v>-25125.84859013716</v>
      </c>
      <c r="K795" s="202">
        <v>-136961.91799092767</v>
      </c>
      <c r="L795" s="202">
        <v>-167329.57977152211</v>
      </c>
      <c r="M795" s="221">
        <v>30367.661780594441</v>
      </c>
      <c r="N795" s="221">
        <v>30367.66178059443</v>
      </c>
      <c r="O795" s="221">
        <v>-184543.99948501299</v>
      </c>
      <c r="Q795" s="204">
        <f t="shared" si="12"/>
        <v>0</v>
      </c>
      <c r="R795" s="204">
        <f>IF(MAX(K796:L796)=K796,1,0)</f>
        <v>1</v>
      </c>
    </row>
    <row r="796" spans="1:18" x14ac:dyDescent="0.3">
      <c r="A796" s="110">
        <v>791</v>
      </c>
      <c r="C796" s="191">
        <v>1.4844490393208385</v>
      </c>
      <c r="D796" s="192">
        <v>119261.65349328946</v>
      </c>
      <c r="E796" s="192">
        <v>1.2581657041893552</v>
      </c>
      <c r="F796" s="192">
        <v>75115.731594471639</v>
      </c>
      <c r="G796" s="192">
        <v>-0.22628333513148324</v>
      </c>
      <c r="H796" s="203">
        <v>0.22628333513148324</v>
      </c>
      <c r="I796" s="192">
        <v>-44145.921898817818</v>
      </c>
      <c r="K796" s="202">
        <v>-123555.11120576182</v>
      </c>
      <c r="L796" s="202">
        <v>-176412.94150714175</v>
      </c>
      <c r="M796" s="221">
        <v>52857.83030137993</v>
      </c>
      <c r="N796" s="221">
        <v>52857.830301379923</v>
      </c>
      <c r="O796" s="221">
        <v>-195091.35249914261</v>
      </c>
      <c r="Q796" s="204">
        <f t="shared" si="12"/>
        <v>0</v>
      </c>
      <c r="R796" s="204">
        <f>IF(MAX(K797:L797)=K797,1,0)</f>
        <v>1</v>
      </c>
    </row>
    <row r="797" spans="1:18" x14ac:dyDescent="0.3">
      <c r="A797" s="110">
        <v>792</v>
      </c>
      <c r="C797" s="191">
        <v>1.5214446989239216</v>
      </c>
      <c r="D797" s="192">
        <v>120485.46235382224</v>
      </c>
      <c r="E797" s="192">
        <v>1.5424683610195769</v>
      </c>
      <c r="F797" s="192">
        <v>102382.46635972073</v>
      </c>
      <c r="G797" s="192">
        <v>2.1023662095655204E-2</v>
      </c>
      <c r="H797" s="203">
        <v>-2.1023662095655204E-2</v>
      </c>
      <c r="I797" s="192">
        <v>-18102.995994101511</v>
      </c>
      <c r="K797" s="202">
        <v>-161767.49825897443</v>
      </c>
      <c r="L797" s="202">
        <v>-179061.08326239322</v>
      </c>
      <c r="M797" s="221">
        <v>17293.58500341879</v>
      </c>
      <c r="N797" s="221">
        <v>17293.585003418786</v>
      </c>
      <c r="O797" s="221">
        <v>861077.19538751128</v>
      </c>
      <c r="Q797" s="204">
        <f t="shared" si="12"/>
        <v>0</v>
      </c>
      <c r="R797" s="204">
        <f>IF(MAX(K798:L798)=K798,1,0)</f>
        <v>1</v>
      </c>
    </row>
    <row r="798" spans="1:18" x14ac:dyDescent="0.3">
      <c r="A798" s="110">
        <v>793</v>
      </c>
      <c r="C798" s="191">
        <v>1.1959200740218099</v>
      </c>
      <c r="D798" s="192">
        <v>106463.74720604872</v>
      </c>
      <c r="E798" s="192">
        <v>1.175235499019823</v>
      </c>
      <c r="F798" s="192">
        <v>92376.466990368805</v>
      </c>
      <c r="G798" s="192">
        <v>-2.0684575001986838E-2</v>
      </c>
      <c r="H798" s="203">
        <v>2.0684575001986838E-2</v>
      </c>
      <c r="I798" s="192">
        <v>-14087.280215679915</v>
      </c>
      <c r="K798" s="202">
        <v>-137623.033702632</v>
      </c>
      <c r="L798" s="202">
        <v>-152506.67005588842</v>
      </c>
      <c r="M798" s="221">
        <v>14883.636353256414</v>
      </c>
      <c r="N798" s="221">
        <v>14883.636353256408</v>
      </c>
      <c r="O798" s="221">
        <v>-681052.43710962276</v>
      </c>
      <c r="Q798" s="204">
        <f t="shared" si="12"/>
        <v>0</v>
      </c>
      <c r="R798" s="204">
        <f>IF(MAX(K799:L799)=K799,1,0)</f>
        <v>1</v>
      </c>
    </row>
    <row r="799" spans="1:18" x14ac:dyDescent="0.3">
      <c r="A799" s="110">
        <v>794</v>
      </c>
      <c r="C799" s="191">
        <v>1.4072357341339505</v>
      </c>
      <c r="D799" s="192">
        <v>92888.237639910411</v>
      </c>
      <c r="E799" s="192">
        <v>1.2639343177531557</v>
      </c>
      <c r="F799" s="192">
        <v>68230.724154289011</v>
      </c>
      <c r="G799" s="192">
        <v>-0.14330141638079485</v>
      </c>
      <c r="H799" s="203">
        <v>0.14330141638079485</v>
      </c>
      <c r="I799" s="192">
        <v>-24657.513485621399</v>
      </c>
      <c r="K799" s="202">
        <v>-116892.1953877855</v>
      </c>
      <c r="L799" s="202">
        <v>-147066.81340406751</v>
      </c>
      <c r="M799" s="221">
        <v>30174.618016282009</v>
      </c>
      <c r="N799" s="221">
        <v>30174.618016282002</v>
      </c>
      <c r="O799" s="221">
        <v>-172067.47922224988</v>
      </c>
      <c r="Q799" s="204">
        <f t="shared" si="12"/>
        <v>0</v>
      </c>
      <c r="R799" s="204">
        <f>IF(MAX(K800:L800)=K800,1,0)</f>
        <v>1</v>
      </c>
    </row>
    <row r="800" spans="1:18" x14ac:dyDescent="0.3">
      <c r="A800" s="110">
        <v>795</v>
      </c>
      <c r="C800" s="191">
        <v>1.0932518586490563</v>
      </c>
      <c r="D800" s="192">
        <v>110689.65313371114</v>
      </c>
      <c r="E800" s="192">
        <v>0.91846916335586726</v>
      </c>
      <c r="F800" s="192">
        <v>75961.058593548994</v>
      </c>
      <c r="G800" s="192">
        <v>-0.17478269529318902</v>
      </c>
      <c r="H800" s="203">
        <v>0.17478269529318902</v>
      </c>
      <c r="I800" s="192">
        <v>-34728.594540162143</v>
      </c>
      <c r="K800" s="202">
        <v>-111322.12138274989</v>
      </c>
      <c r="L800" s="202">
        <v>-152779.84969169981</v>
      </c>
      <c r="M800" s="221">
        <v>41457.728308949925</v>
      </c>
      <c r="N800" s="221">
        <v>41457.728308949918</v>
      </c>
      <c r="O800" s="221">
        <v>-198695.8404658236</v>
      </c>
      <c r="Q800" s="204">
        <f t="shared" si="12"/>
        <v>0</v>
      </c>
      <c r="R800" s="204">
        <f>IF(MAX(K801:L801)=K801,1,0)</f>
        <v>1</v>
      </c>
    </row>
    <row r="801" spans="1:18" x14ac:dyDescent="0.3">
      <c r="A801" s="110">
        <v>796</v>
      </c>
      <c r="C801" s="191">
        <v>1.0704281483272928</v>
      </c>
      <c r="D801" s="192">
        <v>122375.00228716554</v>
      </c>
      <c r="E801" s="192">
        <v>0.98409779652173623</v>
      </c>
      <c r="F801" s="192">
        <v>100056.70300157095</v>
      </c>
      <c r="G801" s="192">
        <v>-8.6330351805556593E-2</v>
      </c>
      <c r="H801" s="203">
        <v>8.6330351805556593E-2</v>
      </c>
      <c r="I801" s="192">
        <v>-22318.299285594592</v>
      </c>
      <c r="K801" s="202">
        <v>-137944.46816765779</v>
      </c>
      <c r="L801" s="202">
        <v>-163586.48599776631</v>
      </c>
      <c r="M801" s="221">
        <v>25642.017830108525</v>
      </c>
      <c r="N801" s="221">
        <v>25642.017830108522</v>
      </c>
      <c r="O801" s="221">
        <v>-258522.04721535827</v>
      </c>
      <c r="Q801" s="204">
        <f t="shared" si="12"/>
        <v>0</v>
      </c>
      <c r="R801" s="204">
        <f>IF(MAX(K802:L802)=K802,1,0)</f>
        <v>1</v>
      </c>
    </row>
    <row r="802" spans="1:18" x14ac:dyDescent="0.3">
      <c r="A802" s="110">
        <v>797</v>
      </c>
      <c r="C802" s="191">
        <v>1.1045562635904496</v>
      </c>
      <c r="D802" s="192">
        <v>124565.70201851647</v>
      </c>
      <c r="E802" s="192">
        <v>0.93411597812073011</v>
      </c>
      <c r="F802" s="192">
        <v>92752.240922553552</v>
      </c>
      <c r="G802" s="192">
        <v>-0.17044028546971945</v>
      </c>
      <c r="H802" s="203">
        <v>0.17044028546971945</v>
      </c>
      <c r="I802" s="192">
        <v>-31813.461095962921</v>
      </c>
      <c r="K802" s="202">
        <v>-128715.70608020166</v>
      </c>
      <c r="L802" s="202">
        <v>-167091.11816674878</v>
      </c>
      <c r="M802" s="221">
        <v>38375.41208654712</v>
      </c>
      <c r="N802" s="221">
        <v>38375.41208654712</v>
      </c>
      <c r="O802" s="221">
        <v>-186654.58702024366</v>
      </c>
      <c r="Q802" s="204">
        <f t="shared" si="12"/>
        <v>0</v>
      </c>
      <c r="R802" s="204">
        <f>IF(MAX(K803:L803)=K803,1,0)</f>
        <v>1</v>
      </c>
    </row>
    <row r="803" spans="1:18" x14ac:dyDescent="0.3">
      <c r="A803" s="110">
        <v>798</v>
      </c>
      <c r="C803" s="191">
        <v>1.2351515432536266</v>
      </c>
      <c r="D803" s="192">
        <v>143427.39440091493</v>
      </c>
      <c r="E803" s="192">
        <v>1.0727855437871305</v>
      </c>
      <c r="F803" s="192">
        <v>111351.950195889</v>
      </c>
      <c r="G803" s="192">
        <v>-0.1623659994664961</v>
      </c>
      <c r="H803" s="203">
        <v>0.1623659994664961</v>
      </c>
      <c r="I803" s="192">
        <v>-32075.444205025924</v>
      </c>
      <c r="K803" s="202">
        <v>-152654.19363169355</v>
      </c>
      <c r="L803" s="202">
        <v>-190980.72881617956</v>
      </c>
      <c r="M803" s="221">
        <v>38326.535184486012</v>
      </c>
      <c r="N803" s="221">
        <v>38326.535184486027</v>
      </c>
      <c r="O803" s="221">
        <v>-197550.25258009532</v>
      </c>
      <c r="Q803" s="204">
        <f t="shared" si="12"/>
        <v>0</v>
      </c>
      <c r="R803" s="204">
        <f>IF(MAX(K804:L804)=K804,1,0)</f>
        <v>1</v>
      </c>
    </row>
    <row r="804" spans="1:18" x14ac:dyDescent="0.3">
      <c r="A804" s="110">
        <v>799</v>
      </c>
      <c r="C804" s="191">
        <v>0.99207564523240832</v>
      </c>
      <c r="D804" s="192">
        <v>143888.82160208805</v>
      </c>
      <c r="E804" s="192">
        <v>0.82537900978177192</v>
      </c>
      <c r="F804" s="192">
        <v>102512.61657393655</v>
      </c>
      <c r="G804" s="192">
        <v>-0.1666966354506364</v>
      </c>
      <c r="H804" s="203">
        <v>0.1666966354506364</v>
      </c>
      <c r="I804" s="192">
        <v>-41376.205028151497</v>
      </c>
      <c r="K804" s="202">
        <v>-134289.70845053479</v>
      </c>
      <c r="L804" s="202">
        <v>-182083.73394353577</v>
      </c>
      <c r="M804" s="221">
        <v>47794.025493000983</v>
      </c>
      <c r="N804" s="221">
        <v>47794.025493000998</v>
      </c>
      <c r="O804" s="221">
        <v>-248212.59839047061</v>
      </c>
      <c r="Q804" s="204">
        <f t="shared" si="12"/>
        <v>0</v>
      </c>
      <c r="R804" s="204">
        <f>IF(MAX(K805:L805)=K805,1,0)</f>
        <v>1</v>
      </c>
    </row>
    <row r="805" spans="1:18" x14ac:dyDescent="0.3">
      <c r="A805" s="110">
        <v>800</v>
      </c>
      <c r="C805" s="191">
        <v>1.662619893396057</v>
      </c>
      <c r="D805" s="192">
        <v>91495.542966387264</v>
      </c>
      <c r="E805" s="192">
        <v>1.5134235981045121</v>
      </c>
      <c r="F805" s="192">
        <v>69057.924759756104</v>
      </c>
      <c r="G805" s="192">
        <v>-0.14919629529154488</v>
      </c>
      <c r="H805" s="203">
        <v>0.14919629529154488</v>
      </c>
      <c r="I805" s="192">
        <v>-22437.618206631159</v>
      </c>
      <c r="K805" s="202">
        <v>-127324.73328677981</v>
      </c>
      <c r="L805" s="202">
        <v>-155506.40886213546</v>
      </c>
      <c r="M805" s="221">
        <v>28181.67557535565</v>
      </c>
      <c r="N805" s="221">
        <v>28181.675575355635</v>
      </c>
      <c r="O805" s="221">
        <v>-150389.9152642212</v>
      </c>
      <c r="Q805" s="204">
        <f t="shared" si="12"/>
        <v>0</v>
      </c>
      <c r="R805" s="204">
        <f>IF(MAX(K806:L806)=K806,1,0)</f>
        <v>1</v>
      </c>
    </row>
    <row r="806" spans="1:18" x14ac:dyDescent="0.3">
      <c r="A806" s="110">
        <v>801</v>
      </c>
      <c r="C806" s="191">
        <v>1.6189640354935928</v>
      </c>
      <c r="D806" s="192">
        <v>109114.21389860762</v>
      </c>
      <c r="E806" s="192">
        <v>1.6109930490742745</v>
      </c>
      <c r="F806" s="192">
        <v>89854.400976405741</v>
      </c>
      <c r="G806" s="192">
        <v>-7.97098641931826E-3</v>
      </c>
      <c r="H806" s="203">
        <v>7.97098641931826E-3</v>
      </c>
      <c r="I806" s="192">
        <v>-19259.812922201876</v>
      </c>
      <c r="K806" s="202">
        <v>-151877.6333657653</v>
      </c>
      <c r="L806" s="202">
        <v>-171444.32926511095</v>
      </c>
      <c r="M806" s="221">
        <v>19566.69589934565</v>
      </c>
      <c r="N806" s="221">
        <v>19566.695899345628</v>
      </c>
      <c r="O806" s="221">
        <v>-2416239.5855454393</v>
      </c>
      <c r="Q806" s="204">
        <f t="shared" si="12"/>
        <v>0</v>
      </c>
      <c r="R806" s="204">
        <f>IF(MAX(K807:L807)=K807,1,0)</f>
        <v>1</v>
      </c>
    </row>
    <row r="807" spans="1:18" x14ac:dyDescent="0.3">
      <c r="A807" s="110">
        <v>802</v>
      </c>
      <c r="C807" s="191">
        <v>1.5421721396327375</v>
      </c>
      <c r="D807" s="192">
        <v>153034.73199509247</v>
      </c>
      <c r="E807" s="192">
        <v>1.3935504432945134</v>
      </c>
      <c r="F807" s="192">
        <v>104691.8154930148</v>
      </c>
      <c r="G807" s="192">
        <v>-0.14862169633822409</v>
      </c>
      <c r="H807" s="203">
        <v>0.14862169633822409</v>
      </c>
      <c r="I807" s="192">
        <v>-48342.916502077671</v>
      </c>
      <c r="K807" s="202">
        <v>-158343.50755985358</v>
      </c>
      <c r="L807" s="202">
        <v>-212408.35937095288</v>
      </c>
      <c r="M807" s="221">
        <v>54064.851811099303</v>
      </c>
      <c r="N807" s="221">
        <v>54064.851811099295</v>
      </c>
      <c r="O807" s="221">
        <v>-325274.96114740777</v>
      </c>
      <c r="Q807" s="204">
        <f t="shared" si="12"/>
        <v>0</v>
      </c>
      <c r="R807" s="204">
        <f>IF(MAX(K808:L808)=K808,1,0)</f>
        <v>1</v>
      </c>
    </row>
    <row r="808" spans="1:18" x14ac:dyDescent="0.3">
      <c r="A808" s="110">
        <v>803</v>
      </c>
      <c r="C808" s="191">
        <v>1.7717566431639407</v>
      </c>
      <c r="D808" s="192">
        <v>127517.58864062387</v>
      </c>
      <c r="E808" s="192">
        <v>1.5518047634310028</v>
      </c>
      <c r="F808" s="192">
        <v>88387.31126743526</v>
      </c>
      <c r="G808" s="192">
        <v>-0.21995187973293784</v>
      </c>
      <c r="H808" s="203">
        <v>0.21995187973293784</v>
      </c>
      <c r="I808" s="192">
        <v>-39130.277373188612</v>
      </c>
      <c r="K808" s="202">
        <v>-148131.79465952888</v>
      </c>
      <c r="L808" s="202">
        <v>-195730.21940243558</v>
      </c>
      <c r="M808" s="221">
        <v>47598.424742906704</v>
      </c>
      <c r="N808" s="221">
        <v>47598.424742906718</v>
      </c>
      <c r="O808" s="221">
        <v>-177903.80978193952</v>
      </c>
      <c r="Q808" s="204">
        <f t="shared" si="12"/>
        <v>0</v>
      </c>
      <c r="R808" s="204">
        <f>IF(MAX(K809:L809)=K809,1,0)</f>
        <v>1</v>
      </c>
    </row>
    <row r="809" spans="1:18" x14ac:dyDescent="0.3">
      <c r="A809" s="110">
        <v>804</v>
      </c>
      <c r="C809" s="191">
        <v>1.0186315140178013</v>
      </c>
      <c r="D809" s="192">
        <v>105232.61688422192</v>
      </c>
      <c r="E809" s="192">
        <v>0.840654956907814</v>
      </c>
      <c r="F809" s="192">
        <v>72284.761183412586</v>
      </c>
      <c r="G809" s="192">
        <v>-0.17797655710998728</v>
      </c>
      <c r="H809" s="203">
        <v>0.17797655710998728</v>
      </c>
      <c r="I809" s="192">
        <v>-32947.855700809334</v>
      </c>
      <c r="K809" s="202">
        <v>-104649.97702436343</v>
      </c>
      <c r="L809" s="202">
        <v>-144449.93017390725</v>
      </c>
      <c r="M809" s="221">
        <v>39799.953149543828</v>
      </c>
      <c r="N809" s="221">
        <v>39799.953149543842</v>
      </c>
      <c r="O809" s="221">
        <v>-185124.69414973553</v>
      </c>
      <c r="Q809" s="204">
        <f t="shared" si="12"/>
        <v>0</v>
      </c>
      <c r="R809" s="204">
        <f>IF(MAX(K810:L810)=K810,1,0)</f>
        <v>1</v>
      </c>
    </row>
    <row r="810" spans="1:18" x14ac:dyDescent="0.3">
      <c r="A810" s="110">
        <v>805</v>
      </c>
      <c r="C810" s="191">
        <v>1.1997563741260828</v>
      </c>
      <c r="D810" s="192">
        <v>175119.51385071274</v>
      </c>
      <c r="E810" s="192">
        <v>1.0179931949536662</v>
      </c>
      <c r="F810" s="192">
        <v>122274.42905902499</v>
      </c>
      <c r="G810" s="192">
        <v>-0.18176317917241658</v>
      </c>
      <c r="H810" s="203">
        <v>0.18176317917241658</v>
      </c>
      <c r="I810" s="192">
        <v>-52845.084791687754</v>
      </c>
      <c r="K810" s="202">
        <v>-161467.16706474114</v>
      </c>
      <c r="L810" s="202">
        <v>-221310.13425456692</v>
      </c>
      <c r="M810" s="221">
        <v>59842.96718982578</v>
      </c>
      <c r="N810" s="221">
        <v>59842.967189825795</v>
      </c>
      <c r="O810" s="221">
        <v>-290735.91820024262</v>
      </c>
      <c r="Q810" s="204">
        <f t="shared" si="12"/>
        <v>0</v>
      </c>
      <c r="R810" s="204">
        <f>IF(MAX(K811:L811)=K811,1,0)</f>
        <v>1</v>
      </c>
    </row>
    <row r="811" spans="1:18" x14ac:dyDescent="0.3">
      <c r="A811" s="110">
        <v>806</v>
      </c>
      <c r="C811" s="191">
        <v>1.0511653255781472</v>
      </c>
      <c r="D811" s="192">
        <v>141497.62117206579</v>
      </c>
      <c r="E811" s="192">
        <v>0.83564971105950159</v>
      </c>
      <c r="F811" s="192">
        <v>93855.823101312286</v>
      </c>
      <c r="G811" s="192">
        <v>-0.21551561451864565</v>
      </c>
      <c r="H811" s="203">
        <v>0.21551561451864565</v>
      </c>
      <c r="I811" s="192">
        <v>-47641.798070753503</v>
      </c>
      <c r="K811" s="202">
        <v>-126028.3369771031</v>
      </c>
      <c r="L811" s="202">
        <v>-181967.48620682445</v>
      </c>
      <c r="M811" s="221">
        <v>55939.149229721355</v>
      </c>
      <c r="N811" s="221">
        <v>55939.149229721363</v>
      </c>
      <c r="O811" s="221">
        <v>-221059.61174628348</v>
      </c>
      <c r="Q811" s="204">
        <f t="shared" si="12"/>
        <v>0</v>
      </c>
      <c r="R811" s="204">
        <f>IF(MAX(K812:L812)=K812,1,0)</f>
        <v>1</v>
      </c>
    </row>
    <row r="812" spans="1:18" x14ac:dyDescent="0.3">
      <c r="A812" s="110">
        <v>807</v>
      </c>
      <c r="C812" s="191">
        <v>1.6696193380014961</v>
      </c>
      <c r="D812" s="192">
        <v>108597.0214617582</v>
      </c>
      <c r="E812" s="192">
        <v>1.5282480635392843</v>
      </c>
      <c r="F812" s="192">
        <v>79739.899838744968</v>
      </c>
      <c r="G812" s="192">
        <v>-0.14137127446221176</v>
      </c>
      <c r="H812" s="203">
        <v>0.14137127446221176</v>
      </c>
      <c r="I812" s="192">
        <v>-28857.121623013227</v>
      </c>
      <c r="K812" s="202">
        <v>-138577.45028500742</v>
      </c>
      <c r="L812" s="202">
        <v>-172877.3659748158</v>
      </c>
      <c r="M812" s="221">
        <v>34299.915689808375</v>
      </c>
      <c r="N812" s="221">
        <v>34299.915689808382</v>
      </c>
      <c r="O812" s="221">
        <v>-204122.95024422853</v>
      </c>
      <c r="Q812" s="204">
        <f t="shared" si="12"/>
        <v>0</v>
      </c>
      <c r="R812" s="204">
        <f>IF(MAX(K813:L813)=K813,1,0)</f>
        <v>1</v>
      </c>
    </row>
    <row r="813" spans="1:18" x14ac:dyDescent="0.3">
      <c r="A813" s="110">
        <v>808</v>
      </c>
      <c r="C813" s="191">
        <v>1.0698347771987911</v>
      </c>
      <c r="D813" s="192">
        <v>94791.57879878566</v>
      </c>
      <c r="E813" s="192">
        <v>0.97735370071078287</v>
      </c>
      <c r="F813" s="192">
        <v>71942.452975426437</v>
      </c>
      <c r="G813" s="192">
        <v>-9.2481076488008185E-2</v>
      </c>
      <c r="H813" s="203">
        <v>9.2481076488008185E-2</v>
      </c>
      <c r="I813" s="192">
        <v>-22849.125823359223</v>
      </c>
      <c r="K813" s="202">
        <v>-109570.57045279158</v>
      </c>
      <c r="L813" s="202">
        <v>-135980.21772093911</v>
      </c>
      <c r="M813" s="221">
        <v>26409.647268147528</v>
      </c>
      <c r="N813" s="221">
        <v>26409.647268147539</v>
      </c>
      <c r="O813" s="221">
        <v>-247068.12129638239</v>
      </c>
      <c r="Q813" s="204">
        <f t="shared" si="12"/>
        <v>0</v>
      </c>
      <c r="R813" s="204">
        <f>IF(MAX(K814:L814)=K814,1,0)</f>
        <v>1</v>
      </c>
    </row>
    <row r="814" spans="1:18" x14ac:dyDescent="0.3">
      <c r="A814" s="110">
        <v>809</v>
      </c>
      <c r="C814" s="191">
        <v>0.92768957176043421</v>
      </c>
      <c r="D814" s="192">
        <v>131029.02985934333</v>
      </c>
      <c r="E814" s="192">
        <v>0.81292318951552633</v>
      </c>
      <c r="F814" s="192">
        <v>95611.175291056774</v>
      </c>
      <c r="G814" s="192">
        <v>-0.11476638224490787</v>
      </c>
      <c r="H814" s="203">
        <v>0.11476638224490787</v>
      </c>
      <c r="I814" s="192">
        <v>-35417.854568286552</v>
      </c>
      <c r="K814" s="202">
        <v>-126908.71808740453</v>
      </c>
      <c r="L814" s="202">
        <v>-166745.07837212004</v>
      </c>
      <c r="M814" s="221">
        <v>39836.360284715513</v>
      </c>
      <c r="N814" s="221">
        <v>39836.360284715505</v>
      </c>
      <c r="O814" s="221">
        <v>-308608.26903740817</v>
      </c>
      <c r="Q814" s="204">
        <f t="shared" si="12"/>
        <v>0</v>
      </c>
      <c r="R814" s="204">
        <f>IF(MAX(K815:L815)=K815,1,0)</f>
        <v>1</v>
      </c>
    </row>
    <row r="815" spans="1:18" x14ac:dyDescent="0.3">
      <c r="A815" s="110">
        <v>810</v>
      </c>
      <c r="C815" s="191">
        <v>1.4757180930022906</v>
      </c>
      <c r="D815" s="192">
        <v>110981.94256540533</v>
      </c>
      <c r="E815" s="192">
        <v>1.3600288888203234</v>
      </c>
      <c r="F815" s="192">
        <v>81657.637920165231</v>
      </c>
      <c r="G815" s="192">
        <v>-0.11568920418196726</v>
      </c>
      <c r="H815" s="203">
        <v>0.11568920418196726</v>
      </c>
      <c r="I815" s="192">
        <v>-29324.304645240103</v>
      </c>
      <c r="K815" s="202">
        <v>-134018.75013974769</v>
      </c>
      <c r="L815" s="202">
        <v>-167797.08914599352</v>
      </c>
      <c r="M815" s="221">
        <v>33778.339006245835</v>
      </c>
      <c r="N815" s="221">
        <v>33778.339006245842</v>
      </c>
      <c r="O815" s="221">
        <v>-253474.85837240246</v>
      </c>
      <c r="Q815" s="204">
        <f t="shared" si="12"/>
        <v>0</v>
      </c>
      <c r="R815" s="204">
        <f>IF(MAX(K816:L816)=K816,1,0)</f>
        <v>1</v>
      </c>
    </row>
    <row r="816" spans="1:18" x14ac:dyDescent="0.3">
      <c r="A816" s="110">
        <v>811</v>
      </c>
      <c r="C816" s="191">
        <v>1.3577499828014896</v>
      </c>
      <c r="D816" s="192">
        <v>119074.15500496732</v>
      </c>
      <c r="E816" s="192">
        <v>1.1606354776291645</v>
      </c>
      <c r="F816" s="192">
        <v>89416.365672072905</v>
      </c>
      <c r="G816" s="192">
        <v>-0.19711450517232509</v>
      </c>
      <c r="H816" s="203">
        <v>0.19711450517232509</v>
      </c>
      <c r="I816" s="192">
        <v>-29657.789332894419</v>
      </c>
      <c r="K816" s="202">
        <v>-134100.83156079575</v>
      </c>
      <c r="L816" s="202">
        <v>-171347.52934282468</v>
      </c>
      <c r="M816" s="221">
        <v>37246.697782028932</v>
      </c>
      <c r="N816" s="221">
        <v>37246.697782028932</v>
      </c>
      <c r="O816" s="221">
        <v>-150459.70009648168</v>
      </c>
      <c r="Q816" s="204">
        <f t="shared" si="12"/>
        <v>0</v>
      </c>
      <c r="R816" s="204">
        <f>IF(MAX(K817:L817)=K817,1,0)</f>
        <v>1</v>
      </c>
    </row>
    <row r="817" spans="1:18" x14ac:dyDescent="0.3">
      <c r="A817" s="110">
        <v>812</v>
      </c>
      <c r="C817" s="191">
        <v>1.0364185642969037</v>
      </c>
      <c r="D817" s="192">
        <v>130202.59541983018</v>
      </c>
      <c r="E817" s="192">
        <v>0.84997139736403859</v>
      </c>
      <c r="F817" s="192">
        <v>85284.22994777323</v>
      </c>
      <c r="G817" s="192">
        <v>-0.18644716693286512</v>
      </c>
      <c r="H817" s="203">
        <v>0.18644716693286512</v>
      </c>
      <c r="I817" s="192">
        <v>-44918.365472056947</v>
      </c>
      <c r="K817" s="202">
        <v>-118008.12874628871</v>
      </c>
      <c r="L817" s="202">
        <v>-170104.71014526096</v>
      </c>
      <c r="M817" s="221">
        <v>52096.581398972252</v>
      </c>
      <c r="N817" s="221">
        <v>52096.581398972252</v>
      </c>
      <c r="O817" s="221">
        <v>-240917.39344170838</v>
      </c>
      <c r="Q817" s="204">
        <f t="shared" si="12"/>
        <v>0</v>
      </c>
      <c r="R817" s="204">
        <f>IF(MAX(K818:L818)=K818,1,0)</f>
        <v>1</v>
      </c>
    </row>
    <row r="818" spans="1:18" x14ac:dyDescent="0.3">
      <c r="A818" s="110">
        <v>813</v>
      </c>
      <c r="C818" s="191">
        <v>1.3218843234971085</v>
      </c>
      <c r="D818" s="192">
        <v>143912.89900943154</v>
      </c>
      <c r="E818" s="192">
        <v>1.2091587579697216</v>
      </c>
      <c r="F818" s="192">
        <v>108477.31908876219</v>
      </c>
      <c r="G818" s="192">
        <v>-0.11272556552738688</v>
      </c>
      <c r="H818" s="203">
        <v>0.11272556552738688</v>
      </c>
      <c r="I818" s="192">
        <v>-35435.579920669348</v>
      </c>
      <c r="K818" s="202">
        <v>-155029.93127059645</v>
      </c>
      <c r="L818" s="202">
        <v>-194805.44546407022</v>
      </c>
      <c r="M818" s="221">
        <v>39775.514193473762</v>
      </c>
      <c r="N818" s="221">
        <v>39775.51419347374</v>
      </c>
      <c r="O818" s="221">
        <v>-314352.64711145061</v>
      </c>
      <c r="Q818" s="204">
        <f t="shared" si="12"/>
        <v>0</v>
      </c>
      <c r="R818" s="204">
        <f>IF(MAX(K819:L819)=K819,1,0)</f>
        <v>1</v>
      </c>
    </row>
    <row r="819" spans="1:18" x14ac:dyDescent="0.3">
      <c r="A819" s="110">
        <v>814</v>
      </c>
      <c r="C819" s="191">
        <v>1.1257759098782631</v>
      </c>
      <c r="D819" s="192">
        <v>97165.887266201651</v>
      </c>
      <c r="E819" s="192">
        <v>1.0842361121624888</v>
      </c>
      <c r="F819" s="192">
        <v>77780.605298334165</v>
      </c>
      <c r="G819" s="192">
        <v>-4.1539797715774318E-2</v>
      </c>
      <c r="H819" s="203">
        <v>4.1539797715774318E-2</v>
      </c>
      <c r="I819" s="192">
        <v>-19385.281967867486</v>
      </c>
      <c r="K819" s="202">
        <v>-119523.69561658998</v>
      </c>
      <c r="L819" s="202">
        <v>-140508.25979651479</v>
      </c>
      <c r="M819" s="221">
        <v>20984.564179924811</v>
      </c>
      <c r="N819" s="221">
        <v>20984.564179924797</v>
      </c>
      <c r="O819" s="221">
        <v>-466667.70263318159</v>
      </c>
      <c r="Q819" s="204">
        <f t="shared" si="12"/>
        <v>0</v>
      </c>
      <c r="R819" s="204">
        <f>IF(MAX(K820:L820)=K820,1,0)</f>
        <v>1</v>
      </c>
    </row>
    <row r="820" spans="1:18" x14ac:dyDescent="0.3">
      <c r="A820" s="110">
        <v>815</v>
      </c>
      <c r="C820" s="191">
        <v>1.3661686338648658</v>
      </c>
      <c r="D820" s="192">
        <v>117625.3226137069</v>
      </c>
      <c r="E820" s="192">
        <v>1.2060344523492925</v>
      </c>
      <c r="F820" s="192">
        <v>89041.339192063853</v>
      </c>
      <c r="G820" s="192">
        <v>-0.16013418151557324</v>
      </c>
      <c r="H820" s="203">
        <v>0.16013418151557324</v>
      </c>
      <c r="I820" s="192">
        <v>-28583.983421643046</v>
      </c>
      <c r="K820" s="202">
        <v>-135473.66560751162</v>
      </c>
      <c r="L820" s="202">
        <v>-170222.81501750424</v>
      </c>
      <c r="M820" s="221">
        <v>34749.14940999262</v>
      </c>
      <c r="N820" s="221">
        <v>34749.149409992613</v>
      </c>
      <c r="O820" s="221">
        <v>-178500.19996426071</v>
      </c>
      <c r="Q820" s="204">
        <f t="shared" si="12"/>
        <v>0</v>
      </c>
      <c r="R820" s="204">
        <f>IF(MAX(K821:L821)=K821,1,0)</f>
        <v>1</v>
      </c>
    </row>
    <row r="821" spans="1:18" x14ac:dyDescent="0.3">
      <c r="A821" s="110">
        <v>816</v>
      </c>
      <c r="C821" s="191">
        <v>1.2137778751406321</v>
      </c>
      <c r="D821" s="192">
        <v>100500.25540846727</v>
      </c>
      <c r="E821" s="192">
        <v>1.148633265994047</v>
      </c>
      <c r="F821" s="192">
        <v>76893.355183121239</v>
      </c>
      <c r="G821" s="192">
        <v>-6.5144609146585042E-2</v>
      </c>
      <c r="H821" s="203">
        <v>6.5144609146585042E-2</v>
      </c>
      <c r="I821" s="192">
        <v>-23606.900225346035</v>
      </c>
      <c r="K821" s="202">
        <v>-121115.73592389205</v>
      </c>
      <c r="L821" s="202">
        <v>-147230.70360138163</v>
      </c>
      <c r="M821" s="221">
        <v>26114.967677489578</v>
      </c>
      <c r="N821" s="221">
        <v>26114.96767748956</v>
      </c>
      <c r="O821" s="221">
        <v>-362376.88021470822</v>
      </c>
      <c r="Q821" s="204">
        <f t="shared" si="12"/>
        <v>0</v>
      </c>
      <c r="R821" s="204">
        <f>IF(MAX(K822:L822)=K822,1,0)</f>
        <v>1</v>
      </c>
    </row>
    <row r="822" spans="1:18" x14ac:dyDescent="0.3">
      <c r="A822" s="110">
        <v>817</v>
      </c>
      <c r="C822" s="191">
        <v>1.0087412096906139</v>
      </c>
      <c r="D822" s="192">
        <v>142534.30551783423</v>
      </c>
      <c r="E822" s="192">
        <v>0.77794177059744529</v>
      </c>
      <c r="F822" s="192">
        <v>101226.00451109586</v>
      </c>
      <c r="G822" s="192">
        <v>-0.23079943909316858</v>
      </c>
      <c r="H822" s="203">
        <v>0.23079943909316858</v>
      </c>
      <c r="I822" s="192">
        <v>-41308.301006738373</v>
      </c>
      <c r="K822" s="202">
        <v>-131176.7626790975</v>
      </c>
      <c r="L822" s="202">
        <v>-181370.84209092287</v>
      </c>
      <c r="M822" s="221">
        <v>50194.079411825369</v>
      </c>
      <c r="N822" s="221">
        <v>50194.079411825362</v>
      </c>
      <c r="O822" s="221">
        <v>-178979.20882755323</v>
      </c>
      <c r="Q822" s="204">
        <f t="shared" si="12"/>
        <v>0</v>
      </c>
      <c r="R822" s="204">
        <f>IF(MAX(K823:L823)=K823,1,0)</f>
        <v>1</v>
      </c>
    </row>
    <row r="823" spans="1:18" x14ac:dyDescent="0.3">
      <c r="A823" s="110">
        <v>818</v>
      </c>
      <c r="C823" s="191">
        <v>1.4532222456814281</v>
      </c>
      <c r="D823" s="192">
        <v>117041.74519686773</v>
      </c>
      <c r="E823" s="192">
        <v>1.2817163230891002</v>
      </c>
      <c r="F823" s="192">
        <v>89114.601811854445</v>
      </c>
      <c r="G823" s="192">
        <v>-0.17150592259232789</v>
      </c>
      <c r="H823" s="203">
        <v>0.17150592259232789</v>
      </c>
      <c r="I823" s="192">
        <v>-27927.143385013289</v>
      </c>
      <c r="K823" s="202">
        <v>-138460.68025078479</v>
      </c>
      <c r="L823" s="202">
        <v>-172990.8016556027</v>
      </c>
      <c r="M823" s="221">
        <v>34530.12140481791</v>
      </c>
      <c r="N823" s="221">
        <v>34530.12140481791</v>
      </c>
      <c r="O823" s="221">
        <v>-162834.86286008047</v>
      </c>
      <c r="Q823" s="204">
        <f t="shared" si="12"/>
        <v>0</v>
      </c>
      <c r="R823" s="204">
        <f>IF(MAX(K824:L824)=K824,1,0)</f>
        <v>1</v>
      </c>
    </row>
    <row r="824" spans="1:18" x14ac:dyDescent="0.3">
      <c r="A824" s="110">
        <v>819</v>
      </c>
      <c r="C824" s="191">
        <v>1.4785722892140147</v>
      </c>
      <c r="D824" s="192">
        <v>137790.24997852976</v>
      </c>
      <c r="E824" s="192">
        <v>1.285345490292626</v>
      </c>
      <c r="F824" s="192">
        <v>97914.639083252376</v>
      </c>
      <c r="G824" s="192">
        <v>-0.19322679892138872</v>
      </c>
      <c r="H824" s="203">
        <v>0.19322679892138872</v>
      </c>
      <c r="I824" s="192">
        <v>-39875.610895277379</v>
      </c>
      <c r="K824" s="202">
        <v>-147400.44045951846</v>
      </c>
      <c r="L824" s="202">
        <v>-194715.28311326931</v>
      </c>
      <c r="M824" s="221">
        <v>47314.842653750849</v>
      </c>
      <c r="N824" s="221">
        <v>47314.842653750842</v>
      </c>
      <c r="O824" s="221">
        <v>-206366.87621938065</v>
      </c>
      <c r="Q824" s="204">
        <f t="shared" si="12"/>
        <v>0</v>
      </c>
      <c r="R824" s="204">
        <f>IF(MAX(K825:L825)=K825,1,0)</f>
        <v>1</v>
      </c>
    </row>
    <row r="825" spans="1:18" x14ac:dyDescent="0.3">
      <c r="A825" s="110">
        <v>820</v>
      </c>
      <c r="C825" s="191">
        <v>1.4435852171383783</v>
      </c>
      <c r="D825" s="192">
        <v>94909.948995340208</v>
      </c>
      <c r="E825" s="192">
        <v>1.3593669850316294</v>
      </c>
      <c r="F825" s="192">
        <v>78055.84533660952</v>
      </c>
      <c r="G825" s="192">
        <v>-8.4218232106748836E-2</v>
      </c>
      <c r="H825" s="203">
        <v>8.4218232106748836E-2</v>
      </c>
      <c r="I825" s="192">
        <v>-16854.103658730688</v>
      </c>
      <c r="K825" s="202">
        <v>-130391.47426032726</v>
      </c>
      <c r="L825" s="202">
        <v>-150487.97985516777</v>
      </c>
      <c r="M825" s="221">
        <v>20096.505594840506</v>
      </c>
      <c r="N825" s="221">
        <v>20096.505594840517</v>
      </c>
      <c r="O825" s="221">
        <v>-200124.16833171784</v>
      </c>
      <c r="Q825" s="204">
        <f t="shared" si="12"/>
        <v>0</v>
      </c>
      <c r="R825" s="204">
        <f>IF(MAX(K826:L826)=K826,1,0)</f>
        <v>1</v>
      </c>
    </row>
    <row r="826" spans="1:18" x14ac:dyDescent="0.3">
      <c r="A826" s="110">
        <v>821</v>
      </c>
      <c r="C826" s="191">
        <v>1.3849679983053955</v>
      </c>
      <c r="D826" s="192">
        <v>80895.550007998725</v>
      </c>
      <c r="E826" s="192">
        <v>1.3407820594275988</v>
      </c>
      <c r="F826" s="192">
        <v>72259.21566920192</v>
      </c>
      <c r="G826" s="192">
        <v>-4.418593887779676E-2</v>
      </c>
      <c r="H826" s="203">
        <v>4.418593887779676E-2</v>
      </c>
      <c r="I826" s="192">
        <v>-8636.3343387968052</v>
      </c>
      <c r="K826" s="202">
        <v>-123879.32495716447</v>
      </c>
      <c r="L826" s="202">
        <v>-134216.81794275646</v>
      </c>
      <c r="M826" s="221">
        <v>10337.492985591991</v>
      </c>
      <c r="N826" s="221">
        <v>10337.49298559198</v>
      </c>
      <c r="O826" s="221">
        <v>-195454.35851622303</v>
      </c>
      <c r="Q826" s="204">
        <f t="shared" si="12"/>
        <v>0</v>
      </c>
      <c r="R826" s="204">
        <f>IF(MAX(K827:L827)=K827,1,0)</f>
        <v>1</v>
      </c>
    </row>
    <row r="827" spans="1:18" x14ac:dyDescent="0.3">
      <c r="A827" s="110">
        <v>822</v>
      </c>
      <c r="C827" s="191">
        <v>1.2463304396861592</v>
      </c>
      <c r="D827" s="192">
        <v>130166.28049576489</v>
      </c>
      <c r="E827" s="192">
        <v>1.1460632150577119</v>
      </c>
      <c r="F827" s="192">
        <v>98814.970206036523</v>
      </c>
      <c r="G827" s="192">
        <v>-0.10026722462844728</v>
      </c>
      <c r="H827" s="203">
        <v>0.10026722462844728</v>
      </c>
      <c r="I827" s="192">
        <v>-31351.310289728368</v>
      </c>
      <c r="K827" s="202">
        <v>-142938.40398575843</v>
      </c>
      <c r="L827" s="202">
        <v>-178150.00242368202</v>
      </c>
      <c r="M827" s="221">
        <v>35211.598437923589</v>
      </c>
      <c r="N827" s="221">
        <v>35211.598437923589</v>
      </c>
      <c r="O827" s="221">
        <v>-312677.55147212424</v>
      </c>
      <c r="Q827" s="204">
        <f t="shared" si="12"/>
        <v>0</v>
      </c>
      <c r="R827" s="204">
        <f>IF(MAX(K828:L828)=K828,1,0)</f>
        <v>1</v>
      </c>
    </row>
    <row r="828" spans="1:18" x14ac:dyDescent="0.3">
      <c r="A828" s="110">
        <v>823</v>
      </c>
      <c r="C828" s="191">
        <v>1.3437756106150567</v>
      </c>
      <c r="D828" s="192">
        <v>93436.332680422929</v>
      </c>
      <c r="E828" s="192">
        <v>1.2134155801867097</v>
      </c>
      <c r="F828" s="192">
        <v>77413.5929954577</v>
      </c>
      <c r="G828" s="192">
        <v>-0.13036003042834698</v>
      </c>
      <c r="H828" s="203">
        <v>0.13036003042834698</v>
      </c>
      <c r="I828" s="192">
        <v>-16022.739684965229</v>
      </c>
      <c r="K828" s="202">
        <v>-124130.09283264603</v>
      </c>
      <c r="L828" s="202">
        <v>-145171.6936891026</v>
      </c>
      <c r="M828" s="221">
        <v>21041.600856456571</v>
      </c>
      <c r="N828" s="221">
        <v>21041.600856456585</v>
      </c>
      <c r="O828" s="221">
        <v>-122911.44480648311</v>
      </c>
      <c r="Q828" s="204">
        <f t="shared" si="12"/>
        <v>0</v>
      </c>
      <c r="R828" s="204">
        <f>IF(MAX(K829:L829)=K829,1,0)</f>
        <v>1</v>
      </c>
    </row>
    <row r="829" spans="1:18" x14ac:dyDescent="0.3">
      <c r="A829" s="110">
        <v>824</v>
      </c>
      <c r="C829" s="191">
        <v>1.1480612443041194</v>
      </c>
      <c r="D829" s="192">
        <v>159229.92552574363</v>
      </c>
      <c r="E829" s="192">
        <v>0.94450493622914955</v>
      </c>
      <c r="F829" s="192">
        <v>108418.46647782023</v>
      </c>
      <c r="G829" s="192">
        <v>-0.20355630807496983</v>
      </c>
      <c r="H829" s="203">
        <v>0.20355630807496983</v>
      </c>
      <c r="I829" s="192">
        <v>-50811.459047923403</v>
      </c>
      <c r="K829" s="202">
        <v>-144781.90652264247</v>
      </c>
      <c r="L829" s="202">
        <v>-203430.28343145223</v>
      </c>
      <c r="M829" s="221">
        <v>58648.376908809762</v>
      </c>
      <c r="N829" s="221">
        <v>58648.37690880974</v>
      </c>
      <c r="O829" s="221">
        <v>-249618.69041763881</v>
      </c>
      <c r="Q829" s="204">
        <f t="shared" si="12"/>
        <v>0</v>
      </c>
      <c r="R829" s="204">
        <f>IF(MAX(K830:L830)=K830,1,0)</f>
        <v>1</v>
      </c>
    </row>
    <row r="830" spans="1:18" x14ac:dyDescent="0.3">
      <c r="A830" s="110">
        <v>825</v>
      </c>
      <c r="C830" s="191">
        <v>1.0926315545807443</v>
      </c>
      <c r="D830" s="192">
        <v>98977.353705509755</v>
      </c>
      <c r="E830" s="192">
        <v>0.94545001820900421</v>
      </c>
      <c r="F830" s="192">
        <v>73586.457099754523</v>
      </c>
      <c r="G830" s="192">
        <v>-0.14718153637174014</v>
      </c>
      <c r="H830" s="203">
        <v>0.14718153637174014</v>
      </c>
      <c r="I830" s="192">
        <v>-25390.896605755232</v>
      </c>
      <c r="K830" s="202">
        <v>-109986.28280080119</v>
      </c>
      <c r="L830" s="202">
        <v>-141043.66855686842</v>
      </c>
      <c r="M830" s="221">
        <v>31057.385756067233</v>
      </c>
      <c r="N830" s="221">
        <v>31057.385756067226</v>
      </c>
      <c r="O830" s="221">
        <v>-172514.14295353461</v>
      </c>
      <c r="Q830" s="204">
        <f t="shared" si="12"/>
        <v>0</v>
      </c>
      <c r="R830" s="204">
        <f>IF(MAX(K831:L831)=K831,1,0)</f>
        <v>1</v>
      </c>
    </row>
    <row r="831" spans="1:18" x14ac:dyDescent="0.3">
      <c r="A831" s="110">
        <v>826</v>
      </c>
      <c r="C831" s="191">
        <v>1.2785189947323643</v>
      </c>
      <c r="D831" s="192">
        <v>159000.24176038799</v>
      </c>
      <c r="E831" s="192">
        <v>1.2199325621208796</v>
      </c>
      <c r="F831" s="192">
        <v>124999.79054175375</v>
      </c>
      <c r="G831" s="192">
        <v>-5.8586432611484662E-2</v>
      </c>
      <c r="H831" s="203">
        <v>5.8586432611484662E-2</v>
      </c>
      <c r="I831" s="192">
        <v>-34000.451218634233</v>
      </c>
      <c r="K831" s="202">
        <v>-171967.19418340761</v>
      </c>
      <c r="L831" s="202">
        <v>-208223.22305758402</v>
      </c>
      <c r="M831" s="221">
        <v>36256.028874176409</v>
      </c>
      <c r="N831" s="221">
        <v>36256.028874176394</v>
      </c>
      <c r="O831" s="221">
        <v>-580346.84316943958</v>
      </c>
      <c r="Q831" s="204">
        <f t="shared" si="12"/>
        <v>0</v>
      </c>
      <c r="R831" s="204">
        <f>IF(MAX(K832:L832)=K832,1,0)</f>
        <v>1</v>
      </c>
    </row>
    <row r="832" spans="1:18" x14ac:dyDescent="0.3">
      <c r="A832" s="110">
        <v>827</v>
      </c>
      <c r="C832" s="191">
        <v>1.3025995441661729</v>
      </c>
      <c r="D832" s="192">
        <v>81641.02358225685</v>
      </c>
      <c r="E832" s="192">
        <v>1.2356148789089281</v>
      </c>
      <c r="F832" s="192">
        <v>60231.101169493049</v>
      </c>
      <c r="G832" s="192">
        <v>-6.698466525724478E-2</v>
      </c>
      <c r="H832" s="203">
        <v>6.698466525724478E-2</v>
      </c>
      <c r="I832" s="192">
        <v>-21409.922412763801</v>
      </c>
      <c r="K832" s="202">
        <v>-107802.27400748679</v>
      </c>
      <c r="L832" s="202">
        <v>-131791.1060326545</v>
      </c>
      <c r="M832" s="221">
        <v>23988.832025167707</v>
      </c>
      <c r="N832" s="221">
        <v>23988.832025167725</v>
      </c>
      <c r="O832" s="221">
        <v>-319624.23534613685</v>
      </c>
      <c r="Q832" s="204">
        <f t="shared" si="12"/>
        <v>0</v>
      </c>
      <c r="R832" s="204">
        <f>IF(MAX(K833:L833)=K833,1,0)</f>
        <v>0</v>
      </c>
    </row>
    <row r="833" spans="1:18" x14ac:dyDescent="0.3">
      <c r="A833" s="110">
        <v>828</v>
      </c>
      <c r="C833" s="191">
        <v>0.90426969116807798</v>
      </c>
      <c r="D833" s="192">
        <v>69423.356750479768</v>
      </c>
      <c r="E833" s="192">
        <v>0.98102366535244234</v>
      </c>
      <c r="F833" s="192">
        <v>81979.262823088517</v>
      </c>
      <c r="G833" s="192">
        <v>7.675397418436436E-2</v>
      </c>
      <c r="H833" s="203">
        <v>-7.675397418436436E-2</v>
      </c>
      <c r="I833" s="192">
        <v>12555.906072608748</v>
      </c>
      <c r="K833" s="202">
        <v>-119748.67393915754</v>
      </c>
      <c r="L833" s="202">
        <v>-104237.73986045076</v>
      </c>
      <c r="M833" s="221">
        <v>-15510.934078706778</v>
      </c>
      <c r="N833" s="221">
        <v>-15510.934078706776</v>
      </c>
      <c r="O833" s="221">
        <v>-163586.3967440858</v>
      </c>
      <c r="Q833" s="204">
        <f t="shared" si="12"/>
        <v>1</v>
      </c>
      <c r="R833" s="204">
        <f>IF(MAX(K834:L834)=K834,1,0)</f>
        <v>1</v>
      </c>
    </row>
    <row r="834" spans="1:18" x14ac:dyDescent="0.3">
      <c r="A834" s="110">
        <v>829</v>
      </c>
      <c r="C834" s="191">
        <v>1.4527193412688</v>
      </c>
      <c r="D834" s="192">
        <v>137125.96632439323</v>
      </c>
      <c r="E834" s="192">
        <v>1.4042961139423076</v>
      </c>
      <c r="F834" s="192">
        <v>117863.11726633291</v>
      </c>
      <c r="G834" s="192">
        <v>-4.8423227326492402E-2</v>
      </c>
      <c r="H834" s="203">
        <v>4.8423227326492402E-2</v>
      </c>
      <c r="I834" s="192">
        <v>-19262.849058060325</v>
      </c>
      <c r="K834" s="202">
        <v>-171928.51765311175</v>
      </c>
      <c r="L834" s="202">
        <v>-193055.66096324203</v>
      </c>
      <c r="M834" s="221">
        <v>21127.143310130283</v>
      </c>
      <c r="N834" s="221">
        <v>21127.143310130283</v>
      </c>
      <c r="O834" s="221">
        <v>-397801.84266077611</v>
      </c>
      <c r="Q834" s="204">
        <f t="shared" si="12"/>
        <v>0</v>
      </c>
      <c r="R834" s="204">
        <f>IF(MAX(K835:L835)=K835,1,0)</f>
        <v>1</v>
      </c>
    </row>
    <row r="835" spans="1:18" x14ac:dyDescent="0.3">
      <c r="A835" s="110">
        <v>830</v>
      </c>
      <c r="C835" s="191">
        <v>1.4080319507175605</v>
      </c>
      <c r="D835" s="192">
        <v>122071.22881206198</v>
      </c>
      <c r="E835" s="192">
        <v>1.3500120533933053</v>
      </c>
      <c r="F835" s="192">
        <v>99219.305695164381</v>
      </c>
      <c r="G835" s="192">
        <v>-5.8019897324255165E-2</v>
      </c>
      <c r="H835" s="203">
        <v>5.8019897324255165E-2</v>
      </c>
      <c r="I835" s="192">
        <v>-22851.923116897597</v>
      </c>
      <c r="K835" s="202">
        <v>-151194.76975080662</v>
      </c>
      <c r="L835" s="202">
        <v>-176280.45891468806</v>
      </c>
      <c r="M835" s="221">
        <v>25085.689163881441</v>
      </c>
      <c r="N835" s="221">
        <v>25085.68916388142</v>
      </c>
      <c r="O835" s="221">
        <v>-393863.55665514717</v>
      </c>
      <c r="Q835" s="204">
        <f t="shared" si="12"/>
        <v>0</v>
      </c>
      <c r="R835" s="204">
        <f>IF(MAX(K836:L836)=K836,1,0)</f>
        <v>1</v>
      </c>
    </row>
    <row r="836" spans="1:18" x14ac:dyDescent="0.3">
      <c r="A836" s="110">
        <v>831</v>
      </c>
      <c r="C836" s="191">
        <v>1.276764258707159</v>
      </c>
      <c r="D836" s="192">
        <v>111991.69807865095</v>
      </c>
      <c r="E836" s="192">
        <v>1.1021624366780678</v>
      </c>
      <c r="F836" s="192">
        <v>75050.582549638784</v>
      </c>
      <c r="G836" s="192">
        <v>-0.17460182202909125</v>
      </c>
      <c r="H836" s="203">
        <v>0.17460182202909125</v>
      </c>
      <c r="I836" s="192">
        <v>-36941.115529012168</v>
      </c>
      <c r="K836" s="202">
        <v>-117483.8363617444</v>
      </c>
      <c r="L836" s="202">
        <v>-161147.12203887658</v>
      </c>
      <c r="M836" s="221">
        <v>43663.285677132182</v>
      </c>
      <c r="N836" s="221">
        <v>43663.285677132182</v>
      </c>
      <c r="O836" s="221">
        <v>-211573.48245115811</v>
      </c>
      <c r="Q836" s="204">
        <f t="shared" si="12"/>
        <v>0</v>
      </c>
      <c r="R836" s="204">
        <f>IF(MAX(K837:L837)=K837,1,0)</f>
        <v>1</v>
      </c>
    </row>
    <row r="837" spans="1:18" x14ac:dyDescent="0.3">
      <c r="A837" s="110">
        <v>832</v>
      </c>
      <c r="C837" s="191">
        <v>1.348543977544679</v>
      </c>
      <c r="D837" s="192">
        <v>139303.0692715488</v>
      </c>
      <c r="E837" s="192">
        <v>1.1944757418491045</v>
      </c>
      <c r="F837" s="192">
        <v>99480.681982638329</v>
      </c>
      <c r="G837" s="192">
        <v>-0.15406823569557448</v>
      </c>
      <c r="H837" s="203">
        <v>0.15406823569557448</v>
      </c>
      <c r="I837" s="192">
        <v>-39822.387288910468</v>
      </c>
      <c r="K837" s="202">
        <v>-145467.99804382885</v>
      </c>
      <c r="L837" s="202">
        <v>-191222.01240701895</v>
      </c>
      <c r="M837" s="221">
        <v>45754.014363190101</v>
      </c>
      <c r="N837" s="221">
        <v>45754.014363190086</v>
      </c>
      <c r="O837" s="221">
        <v>-258472.40418587037</v>
      </c>
      <c r="Q837" s="204">
        <f t="shared" si="12"/>
        <v>0</v>
      </c>
      <c r="R837" s="204">
        <f>IF(MAX(K838:L838)=K838,1,0)</f>
        <v>1</v>
      </c>
    </row>
    <row r="838" spans="1:18" x14ac:dyDescent="0.3">
      <c r="A838" s="110">
        <v>833</v>
      </c>
      <c r="C838" s="191">
        <v>1.4913920099703732</v>
      </c>
      <c r="D838" s="192">
        <v>131552.80611750204</v>
      </c>
      <c r="E838" s="192">
        <v>1.3339020208561609</v>
      </c>
      <c r="F838" s="192">
        <v>90917.774552839735</v>
      </c>
      <c r="G838" s="192">
        <v>-0.1574899891142123</v>
      </c>
      <c r="H838" s="203">
        <v>0.1574899891142123</v>
      </c>
      <c r="I838" s="192">
        <v>-40635.031564662306</v>
      </c>
      <c r="K838" s="202">
        <v>-142273.00235580193</v>
      </c>
      <c r="L838" s="202">
        <v>-188971.39850136143</v>
      </c>
      <c r="M838" s="221">
        <v>46698.396145559498</v>
      </c>
      <c r="N838" s="221">
        <v>46698.396145559476</v>
      </c>
      <c r="O838" s="221">
        <v>-258016.60025002374</v>
      </c>
      <c r="Q838" s="204">
        <f t="shared" si="12"/>
        <v>0</v>
      </c>
      <c r="R838" s="204">
        <f>IF(MAX(K839:L839)=K839,1,0)</f>
        <v>1</v>
      </c>
    </row>
    <row r="839" spans="1:18" x14ac:dyDescent="0.3">
      <c r="A839" s="110">
        <v>834</v>
      </c>
      <c r="C839" s="191">
        <v>1.4691530292505381</v>
      </c>
      <c r="D839" s="192">
        <v>117188.44394138249</v>
      </c>
      <c r="E839" s="192">
        <v>1.233230193930055</v>
      </c>
      <c r="F839" s="192">
        <v>85220.413119441771</v>
      </c>
      <c r="G839" s="192">
        <v>-0.23592283532048319</v>
      </c>
      <c r="H839" s="203">
        <v>0.23592283532048319</v>
      </c>
      <c r="I839" s="192">
        <v>-31968.030821940716</v>
      </c>
      <c r="K839" s="202">
        <v>-132699.7755857489</v>
      </c>
      <c r="L839" s="202">
        <v>-173750.83556752821</v>
      </c>
      <c r="M839" s="221">
        <v>41051.059981779312</v>
      </c>
      <c r="N839" s="221">
        <v>41051.059981779319</v>
      </c>
      <c r="O839" s="221">
        <v>-135502.06269144986</v>
      </c>
      <c r="Q839" s="204">
        <f t="shared" ref="Q839:Q902" si="13">IF(MAX(K839:L839)=L839,1,0)</f>
        <v>0</v>
      </c>
      <c r="R839" s="204">
        <f>IF(MAX(K840:L840)=K840,1,0)</f>
        <v>1</v>
      </c>
    </row>
    <row r="840" spans="1:18" x14ac:dyDescent="0.3">
      <c r="A840" s="110">
        <v>835</v>
      </c>
      <c r="C840" s="191">
        <v>1.7294260983361012</v>
      </c>
      <c r="D840" s="192">
        <v>159137.65364407178</v>
      </c>
      <c r="E840" s="192">
        <v>1.4462785799790336</v>
      </c>
      <c r="F840" s="192">
        <v>101095.19299175714</v>
      </c>
      <c r="G840" s="192">
        <v>-0.28314751835706753</v>
      </c>
      <c r="H840" s="203">
        <v>0.28314751835706753</v>
      </c>
      <c r="I840" s="192">
        <v>-58042.460652314636</v>
      </c>
      <c r="K840" s="202">
        <v>-156776.91832094995</v>
      </c>
      <c r="L840" s="202">
        <v>-225720.55843001168</v>
      </c>
      <c r="M840" s="221">
        <v>68943.640109061729</v>
      </c>
      <c r="N840" s="221">
        <v>68943.640109061729</v>
      </c>
      <c r="O840" s="221">
        <v>-204990.17963886689</v>
      </c>
      <c r="Q840" s="204">
        <f t="shared" si="13"/>
        <v>0</v>
      </c>
      <c r="R840" s="204">
        <f>IF(MAX(K841:L841)=K841,1,0)</f>
        <v>1</v>
      </c>
    </row>
    <row r="841" spans="1:18" x14ac:dyDescent="0.3">
      <c r="A841" s="110">
        <v>836</v>
      </c>
      <c r="C841" s="191">
        <v>1.1974139018503545</v>
      </c>
      <c r="D841" s="192">
        <v>105865.91527931239</v>
      </c>
      <c r="E841" s="192">
        <v>1.2113816742822139</v>
      </c>
      <c r="F841" s="192">
        <v>94339.107536985815</v>
      </c>
      <c r="G841" s="192">
        <v>1.3967772431859427E-2</v>
      </c>
      <c r="H841" s="203">
        <v>-1.3967772431859427E-2</v>
      </c>
      <c r="I841" s="192">
        <v>-11526.807742326579</v>
      </c>
      <c r="K841" s="202">
        <v>-140977.30199685105</v>
      </c>
      <c r="L841" s="202">
        <v>-151966.35050055105</v>
      </c>
      <c r="M841" s="221">
        <v>10989.048503700003</v>
      </c>
      <c r="N841" s="221">
        <v>10989.048503699991</v>
      </c>
      <c r="O841" s="221">
        <v>825243.09431293479</v>
      </c>
      <c r="Q841" s="204">
        <f t="shared" si="13"/>
        <v>0</v>
      </c>
      <c r="R841" s="204">
        <f>IF(MAX(K842:L842)=K842,1,0)</f>
        <v>1</v>
      </c>
    </row>
    <row r="842" spans="1:18" x14ac:dyDescent="0.3">
      <c r="A842" s="110">
        <v>837</v>
      </c>
      <c r="C842" s="191">
        <v>1.0448088806789619</v>
      </c>
      <c r="D842" s="192">
        <v>128895.83606774706</v>
      </c>
      <c r="E842" s="192">
        <v>0.87609411011113936</v>
      </c>
      <c r="F842" s="192">
        <v>92418.691331360518</v>
      </c>
      <c r="G842" s="192">
        <v>-0.16871477056782258</v>
      </c>
      <c r="H842" s="203">
        <v>0.16871477056782258</v>
      </c>
      <c r="I842" s="192">
        <v>-36477.144736386545</v>
      </c>
      <c r="K842" s="202">
        <v>-126148.31457063938</v>
      </c>
      <c r="L842" s="202">
        <v>-169120.97797388711</v>
      </c>
      <c r="M842" s="221">
        <v>42972.66340324773</v>
      </c>
      <c r="N842" s="221">
        <v>42972.663403247716</v>
      </c>
      <c r="O842" s="221">
        <v>-216205.9943751214</v>
      </c>
      <c r="Q842" s="204">
        <f t="shared" si="13"/>
        <v>0</v>
      </c>
      <c r="R842" s="204">
        <f>IF(MAX(K843:L843)=K843,1,0)</f>
        <v>1</v>
      </c>
    </row>
    <row r="843" spans="1:18" x14ac:dyDescent="0.3">
      <c r="A843" s="110">
        <v>838</v>
      </c>
      <c r="C843" s="191">
        <v>1.0291770197646077</v>
      </c>
      <c r="D843" s="192">
        <v>100231.65678908852</v>
      </c>
      <c r="E843" s="192">
        <v>0.93877025966899885</v>
      </c>
      <c r="F843" s="192">
        <v>82818.310652126791</v>
      </c>
      <c r="G843" s="192">
        <v>-9.0406760095608885E-2</v>
      </c>
      <c r="H843" s="203">
        <v>9.0406760095608885E-2</v>
      </c>
      <c r="I843" s="192">
        <v>-17413.346136961729</v>
      </c>
      <c r="K843" s="202">
        <v>-118960.96564938324</v>
      </c>
      <c r="L843" s="202">
        <v>-139854.97205002591</v>
      </c>
      <c r="M843" s="221">
        <v>20894.006400642669</v>
      </c>
      <c r="N843" s="221">
        <v>20894.006400642669</v>
      </c>
      <c r="O843" s="221">
        <v>-192611.10694096764</v>
      </c>
      <c r="Q843" s="204">
        <f t="shared" si="13"/>
        <v>0</v>
      </c>
      <c r="R843" s="204">
        <f>IF(MAX(K844:L844)=K844,1,0)</f>
        <v>1</v>
      </c>
    </row>
    <row r="844" spans="1:18" x14ac:dyDescent="0.3">
      <c r="A844" s="110">
        <v>839</v>
      </c>
      <c r="C844" s="191">
        <v>1.2489906056172562</v>
      </c>
      <c r="D844" s="192">
        <v>154241.54117662416</v>
      </c>
      <c r="E844" s="192">
        <v>1.0476664226617138</v>
      </c>
      <c r="F844" s="192">
        <v>108762.30326145947</v>
      </c>
      <c r="G844" s="192">
        <v>-0.20132418295554233</v>
      </c>
      <c r="H844" s="203">
        <v>0.20132418295554233</v>
      </c>
      <c r="I844" s="192">
        <v>-45479.237915164689</v>
      </c>
      <c r="K844" s="202">
        <v>-149097.46053393546</v>
      </c>
      <c r="L844" s="202">
        <v>-202327.67949288851</v>
      </c>
      <c r="M844" s="221">
        <v>53230.218958953046</v>
      </c>
      <c r="N844" s="221">
        <v>53230.218958953068</v>
      </c>
      <c r="O844" s="221">
        <v>-225900.52147489754</v>
      </c>
      <c r="Q844" s="204">
        <f t="shared" si="13"/>
        <v>0</v>
      </c>
      <c r="R844" s="204">
        <f>IF(MAX(K845:L845)=K845,1,0)</f>
        <v>1</v>
      </c>
    </row>
    <row r="845" spans="1:18" x14ac:dyDescent="0.3">
      <c r="A845" s="110">
        <v>840</v>
      </c>
      <c r="C845" s="191">
        <v>1.2060199999370012</v>
      </c>
      <c r="D845" s="192">
        <v>110574.82227875578</v>
      </c>
      <c r="E845" s="192">
        <v>1.1151349975582669</v>
      </c>
      <c r="F845" s="192">
        <v>82411.61589475107</v>
      </c>
      <c r="G845" s="192">
        <v>-9.0885002378734203E-2</v>
      </c>
      <c r="H845" s="203">
        <v>9.0885002378734203E-2</v>
      </c>
      <c r="I845" s="192">
        <v>-28163.206384004705</v>
      </c>
      <c r="K845" s="202">
        <v>-125344.31330074434</v>
      </c>
      <c r="L845" s="202">
        <v>-157006.59227633031</v>
      </c>
      <c r="M845" s="221">
        <v>31662.27897558597</v>
      </c>
      <c r="N845" s="221">
        <v>31662.27897558597</v>
      </c>
      <c r="O845" s="221">
        <v>-309877.37962137628</v>
      </c>
      <c r="Q845" s="204">
        <f t="shared" si="13"/>
        <v>0</v>
      </c>
      <c r="R845" s="204">
        <f>IF(MAX(K846:L846)=K846,1,0)</f>
        <v>1</v>
      </c>
    </row>
    <row r="846" spans="1:18" x14ac:dyDescent="0.3">
      <c r="A846" s="110">
        <v>841</v>
      </c>
      <c r="C846" s="191">
        <v>1.0284089806786241</v>
      </c>
      <c r="D846" s="192">
        <v>113921.00244248204</v>
      </c>
      <c r="E846" s="192">
        <v>0.91983874810132216</v>
      </c>
      <c r="F846" s="192">
        <v>86643.819849831707</v>
      </c>
      <c r="G846" s="192">
        <v>-0.10857023257730192</v>
      </c>
      <c r="H846" s="203">
        <v>0.10857023257730192</v>
      </c>
      <c r="I846" s="192">
        <v>-27277.182592650337</v>
      </c>
      <c r="K846" s="202">
        <v>-122057.61165173262</v>
      </c>
      <c r="L846" s="202">
        <v>-153514.74819860907</v>
      </c>
      <c r="M846" s="221">
        <v>31457.136546876456</v>
      </c>
      <c r="N846" s="221">
        <v>31457.13654687646</v>
      </c>
      <c r="O846" s="221">
        <v>-251239.97568328874</v>
      </c>
      <c r="Q846" s="204">
        <f t="shared" si="13"/>
        <v>0</v>
      </c>
      <c r="R846" s="204">
        <f>IF(MAX(K847:L847)=K847,1,0)</f>
        <v>1</v>
      </c>
    </row>
    <row r="847" spans="1:18" x14ac:dyDescent="0.3">
      <c r="A847" s="110">
        <v>842</v>
      </c>
      <c r="C847" s="191">
        <v>1.2149654817803439</v>
      </c>
      <c r="D847" s="192">
        <v>136125.13038198027</v>
      </c>
      <c r="E847" s="192">
        <v>1.1345026802988936</v>
      </c>
      <c r="F847" s="192">
        <v>117570.65944632642</v>
      </c>
      <c r="G847" s="192">
        <v>-8.0462801481450352E-2</v>
      </c>
      <c r="H847" s="203">
        <v>8.0462801481450352E-2</v>
      </c>
      <c r="I847" s="192">
        <v>-18554.470935653851</v>
      </c>
      <c r="K847" s="202">
        <v>-161249.01263783383</v>
      </c>
      <c r="L847" s="202">
        <v>-182901.30143052351</v>
      </c>
      <c r="M847" s="221">
        <v>21652.28879268968</v>
      </c>
      <c r="N847" s="221">
        <v>21652.288792689691</v>
      </c>
      <c r="O847" s="221">
        <v>-230596.87947767196</v>
      </c>
      <c r="Q847" s="204">
        <f t="shared" si="13"/>
        <v>0</v>
      </c>
      <c r="R847" s="204">
        <f>IF(MAX(K848:L848)=K848,1,0)</f>
        <v>1</v>
      </c>
    </row>
    <row r="848" spans="1:18" x14ac:dyDescent="0.3">
      <c r="A848" s="110">
        <v>843</v>
      </c>
      <c r="C848" s="191">
        <v>1.4364181547854209</v>
      </c>
      <c r="D848" s="192">
        <v>110289.38002069897</v>
      </c>
      <c r="E848" s="192">
        <v>1.3644734443395838</v>
      </c>
      <c r="F848" s="192">
        <v>98485.563535108929</v>
      </c>
      <c r="G848" s="192">
        <v>-7.1944710445837057E-2</v>
      </c>
      <c r="H848" s="203">
        <v>7.1944710445837057E-2</v>
      </c>
      <c r="I848" s="192">
        <v>-11803.81648559004</v>
      </c>
      <c r="K848" s="202">
        <v>-151017.79114218289</v>
      </c>
      <c r="L848" s="202">
        <v>-165591.47897993767</v>
      </c>
      <c r="M848" s="221">
        <v>14573.687837754784</v>
      </c>
      <c r="N848" s="221">
        <v>14573.687837754765</v>
      </c>
      <c r="O848" s="221">
        <v>-164067.8850806751</v>
      </c>
      <c r="Q848" s="204">
        <f t="shared" si="13"/>
        <v>0</v>
      </c>
      <c r="R848" s="204">
        <f>IF(MAX(K849:L849)=K849,1,0)</f>
        <v>1</v>
      </c>
    </row>
    <row r="849" spans="1:18" x14ac:dyDescent="0.3">
      <c r="A849" s="110">
        <v>844</v>
      </c>
      <c r="C849" s="191">
        <v>1.2734425938615013</v>
      </c>
      <c r="D849" s="192">
        <v>133325.97170323462</v>
      </c>
      <c r="E849" s="192">
        <v>1.1161436427698699</v>
      </c>
      <c r="F849" s="192">
        <v>102157.47731515985</v>
      </c>
      <c r="G849" s="192">
        <v>-0.15729895109163139</v>
      </c>
      <c r="H849" s="203">
        <v>0.15729895109163139</v>
      </c>
      <c r="I849" s="192">
        <v>-31168.494388074774</v>
      </c>
      <c r="K849" s="202">
        <v>-145129.00756179984</v>
      </c>
      <c r="L849" s="202">
        <v>-182353.51156690242</v>
      </c>
      <c r="M849" s="221">
        <v>37224.504005102586</v>
      </c>
      <c r="N849" s="221">
        <v>37224.504005102586</v>
      </c>
      <c r="O849" s="221">
        <v>-198148.13876233785</v>
      </c>
      <c r="Q849" s="204">
        <f t="shared" si="13"/>
        <v>0</v>
      </c>
      <c r="R849" s="204">
        <f>IF(MAX(K850:L850)=K850,1,0)</f>
        <v>1</v>
      </c>
    </row>
    <row r="850" spans="1:18" x14ac:dyDescent="0.3">
      <c r="A850" s="110">
        <v>845</v>
      </c>
      <c r="C850" s="191">
        <v>1.4168521238584351</v>
      </c>
      <c r="D850" s="192">
        <v>145221.71889222087</v>
      </c>
      <c r="E850" s="192">
        <v>1.2140576559247611</v>
      </c>
      <c r="F850" s="192">
        <v>97063.771701029284</v>
      </c>
      <c r="G850" s="192">
        <v>-0.20279446793367395</v>
      </c>
      <c r="H850" s="203">
        <v>0.20279446793367395</v>
      </c>
      <c r="I850" s="192">
        <v>-48157.94719119159</v>
      </c>
      <c r="K850" s="202">
        <v>-143804.9914541326</v>
      </c>
      <c r="L850" s="202">
        <v>-199770.52566077063</v>
      </c>
      <c r="M850" s="221">
        <v>55965.534206638025</v>
      </c>
      <c r="N850" s="221">
        <v>55965.53420663804</v>
      </c>
      <c r="O850" s="221">
        <v>-237471.70069226026</v>
      </c>
      <c r="Q850" s="204">
        <f t="shared" si="13"/>
        <v>0</v>
      </c>
      <c r="R850" s="204">
        <f>IF(MAX(K851:L851)=K851,1,0)</f>
        <v>1</v>
      </c>
    </row>
    <row r="851" spans="1:18" x14ac:dyDescent="0.3">
      <c r="A851" s="110">
        <v>846</v>
      </c>
      <c r="C851" s="191">
        <v>1.5177526996791031</v>
      </c>
      <c r="D851" s="192">
        <v>140910.59166874262</v>
      </c>
      <c r="E851" s="192">
        <v>1.4461111968565601</v>
      </c>
      <c r="F851" s="192">
        <v>116969.19635928863</v>
      </c>
      <c r="G851" s="192">
        <v>-7.1641502822543002E-2</v>
      </c>
      <c r="H851" s="203">
        <v>7.1641502822543002E-2</v>
      </c>
      <c r="I851" s="192">
        <v>-23941.39530945399</v>
      </c>
      <c r="K851" s="202">
        <v>-172644.47743826619</v>
      </c>
      <c r="L851" s="202">
        <v>-199344.07060638809</v>
      </c>
      <c r="M851" s="221">
        <v>26699.593168121908</v>
      </c>
      <c r="N851" s="221">
        <v>26699.593168121897</v>
      </c>
      <c r="O851" s="221">
        <v>-334183.32064804895</v>
      </c>
      <c r="Q851" s="204">
        <f t="shared" si="13"/>
        <v>0</v>
      </c>
      <c r="R851" s="204">
        <f>IF(MAX(K852:L852)=K852,1,0)</f>
        <v>1</v>
      </c>
    </row>
    <row r="852" spans="1:18" x14ac:dyDescent="0.3">
      <c r="A852" s="110">
        <v>847</v>
      </c>
      <c r="C852" s="191">
        <v>1.2797575297742108</v>
      </c>
      <c r="D852" s="192">
        <v>130514.60109493896</v>
      </c>
      <c r="E852" s="192">
        <v>1.2040203074042486</v>
      </c>
      <c r="F852" s="192">
        <v>106207.79840167834</v>
      </c>
      <c r="G852" s="192">
        <v>-7.5737222369962165E-2</v>
      </c>
      <c r="H852" s="203">
        <v>7.5737222369962165E-2</v>
      </c>
      <c r="I852" s="192">
        <v>-24306.802693260615</v>
      </c>
      <c r="K852" s="202">
        <v>-152562.58023674192</v>
      </c>
      <c r="L852" s="202">
        <v>-179785.26599124607</v>
      </c>
      <c r="M852" s="221">
        <v>27222.685754504142</v>
      </c>
      <c r="N852" s="221">
        <v>27222.685754504157</v>
      </c>
      <c r="O852" s="221">
        <v>-320936.0197357969</v>
      </c>
      <c r="Q852" s="204">
        <f t="shared" si="13"/>
        <v>0</v>
      </c>
      <c r="R852" s="204">
        <f>IF(MAX(K853:L853)=K853,1,0)</f>
        <v>1</v>
      </c>
    </row>
    <row r="853" spans="1:18" x14ac:dyDescent="0.3">
      <c r="A853" s="110">
        <v>848</v>
      </c>
      <c r="C853" s="191">
        <v>1.4164641326512672</v>
      </c>
      <c r="D853" s="192">
        <v>105751.91842513983</v>
      </c>
      <c r="E853" s="192">
        <v>1.2845533236706383</v>
      </c>
      <c r="F853" s="192">
        <v>74430.778447229968</v>
      </c>
      <c r="G853" s="192">
        <v>-0.1319108089806289</v>
      </c>
      <c r="H853" s="203">
        <v>0.1319108089806289</v>
      </c>
      <c r="I853" s="192">
        <v>-31321.139977909857</v>
      </c>
      <c r="K853" s="202">
        <v>-123886.08140854954</v>
      </c>
      <c r="L853" s="202">
        <v>-160285.78753221361</v>
      </c>
      <c r="M853" s="221">
        <v>36399.706123664073</v>
      </c>
      <c r="N853" s="221">
        <v>36399.706123664073</v>
      </c>
      <c r="O853" s="221">
        <v>-237441.8004100738</v>
      </c>
      <c r="Q853" s="204">
        <f t="shared" si="13"/>
        <v>0</v>
      </c>
      <c r="R853" s="204">
        <f>IF(MAX(K854:L854)=K854,1,0)</f>
        <v>1</v>
      </c>
    </row>
    <row r="854" spans="1:18" x14ac:dyDescent="0.3">
      <c r="A854" s="110">
        <v>849</v>
      </c>
      <c r="C854" s="191">
        <v>1.3310661702752584</v>
      </c>
      <c r="D854" s="192">
        <v>144091.40299893537</v>
      </c>
      <c r="E854" s="192">
        <v>1.1915891613705727</v>
      </c>
      <c r="F854" s="192">
        <v>104493.19216455052</v>
      </c>
      <c r="G854" s="192">
        <v>-0.13947700890468573</v>
      </c>
      <c r="H854" s="203">
        <v>0.13947700890468573</v>
      </c>
      <c r="I854" s="192">
        <v>-39598.210834384852</v>
      </c>
      <c r="K854" s="202">
        <v>-150369.37487731758</v>
      </c>
      <c r="L854" s="202">
        <v>-195337.45055453281</v>
      </c>
      <c r="M854" s="221">
        <v>44968.075677215238</v>
      </c>
      <c r="N854" s="221">
        <v>44968.075677215253</v>
      </c>
      <c r="O854" s="221">
        <v>-283904.93275809381</v>
      </c>
      <c r="Q854" s="204">
        <f t="shared" si="13"/>
        <v>0</v>
      </c>
      <c r="R854" s="204">
        <f>IF(MAX(K855:L855)=K855,1,0)</f>
        <v>1</v>
      </c>
    </row>
    <row r="855" spans="1:18" x14ac:dyDescent="0.3">
      <c r="A855" s="110">
        <v>850</v>
      </c>
      <c r="C855" s="191">
        <v>1.42629710486071</v>
      </c>
      <c r="D855" s="192">
        <v>159099.07328576909</v>
      </c>
      <c r="E855" s="192">
        <v>1.2023598933459592</v>
      </c>
      <c r="F855" s="192">
        <v>124315.33382644753</v>
      </c>
      <c r="G855" s="192">
        <v>-0.22393721151475088</v>
      </c>
      <c r="H855" s="203">
        <v>0.22393721151475088</v>
      </c>
      <c r="I855" s="192">
        <v>-34783.739459321558</v>
      </c>
      <c r="K855" s="202">
        <v>-170606.18972026696</v>
      </c>
      <c r="L855" s="202">
        <v>-214011.51182290644</v>
      </c>
      <c r="M855" s="221">
        <v>43405.322102639475</v>
      </c>
      <c r="N855" s="221">
        <v>43405.322102639468</v>
      </c>
      <c r="O855" s="221">
        <v>-155328.09051268522</v>
      </c>
      <c r="Q855" s="204">
        <f t="shared" si="13"/>
        <v>0</v>
      </c>
      <c r="R855" s="204">
        <f>IF(MAX(K856:L856)=K856,1,0)</f>
        <v>1</v>
      </c>
    </row>
    <row r="856" spans="1:18" x14ac:dyDescent="0.3">
      <c r="A856" s="110">
        <v>851</v>
      </c>
      <c r="C856" s="191">
        <v>1.5897153109907283</v>
      </c>
      <c r="D856" s="192">
        <v>113934.1821749394</v>
      </c>
      <c r="E856" s="192">
        <v>1.4910251514137507</v>
      </c>
      <c r="F856" s="192">
        <v>91659.962770779835</v>
      </c>
      <c r="G856" s="192">
        <v>-9.8690159576977576E-2</v>
      </c>
      <c r="H856" s="203">
        <v>9.8690159576977576E-2</v>
      </c>
      <c r="I856" s="192">
        <v>-22274.219404159565</v>
      </c>
      <c r="K856" s="202">
        <v>-149064.43110020924</v>
      </c>
      <c r="L856" s="202">
        <v>-175138.22164808243</v>
      </c>
      <c r="M856" s="221">
        <v>26073.790547873185</v>
      </c>
      <c r="N856" s="221">
        <v>26073.790547873203</v>
      </c>
      <c r="O856" s="221">
        <v>-225698.48401943097</v>
      </c>
      <c r="Q856" s="204">
        <f t="shared" si="13"/>
        <v>0</v>
      </c>
      <c r="R856" s="204">
        <f>IF(MAX(K857:L857)=K857,1,0)</f>
        <v>1</v>
      </c>
    </row>
    <row r="857" spans="1:18" x14ac:dyDescent="0.3">
      <c r="A857" s="110">
        <v>852</v>
      </c>
      <c r="C857" s="191">
        <v>1.4760114710251535</v>
      </c>
      <c r="D857" s="192">
        <v>120180.33181556129</v>
      </c>
      <c r="E857" s="192">
        <v>1.3677002490347014</v>
      </c>
      <c r="F857" s="192">
        <v>95866.775961714506</v>
      </c>
      <c r="G857" s="192">
        <v>-0.10831122199045207</v>
      </c>
      <c r="H857" s="203">
        <v>0.10831122199045207</v>
      </c>
      <c r="I857" s="192">
        <v>-24313.555853846789</v>
      </c>
      <c r="K857" s="202">
        <v>-148523.2355495505</v>
      </c>
      <c r="L857" s="202">
        <v>-177006.77345002969</v>
      </c>
      <c r="M857" s="221">
        <v>28483.53790047919</v>
      </c>
      <c r="N857" s="221">
        <v>28483.537900479194</v>
      </c>
      <c r="O857" s="221">
        <v>-224478.64041262591</v>
      </c>
      <c r="Q857" s="204">
        <f t="shared" si="13"/>
        <v>0</v>
      </c>
      <c r="R857" s="204">
        <f>IF(MAX(K858:L858)=K858,1,0)</f>
        <v>1</v>
      </c>
    </row>
    <row r="858" spans="1:18" x14ac:dyDescent="0.3">
      <c r="A858" s="110">
        <v>853</v>
      </c>
      <c r="C858" s="191">
        <v>1.3770780947974131</v>
      </c>
      <c r="D858" s="192">
        <v>109567.76890699557</v>
      </c>
      <c r="E858" s="192">
        <v>1.2651065868359963</v>
      </c>
      <c r="F858" s="192">
        <v>78716.981722874727</v>
      </c>
      <c r="G858" s="192">
        <v>-0.11197150796141675</v>
      </c>
      <c r="H858" s="203">
        <v>0.11197150796141675</v>
      </c>
      <c r="I858" s="192">
        <v>-30850.78718412084</v>
      </c>
      <c r="K858" s="202">
        <v>-127423.58531606058</v>
      </c>
      <c r="L858" s="202">
        <v>-162585.27555669597</v>
      </c>
      <c r="M858" s="221">
        <v>35161.690240635391</v>
      </c>
      <c r="N858" s="221">
        <v>35161.690240635384</v>
      </c>
      <c r="O858" s="221">
        <v>-275523.54831866187</v>
      </c>
      <c r="Q858" s="204">
        <f t="shared" si="13"/>
        <v>0</v>
      </c>
      <c r="R858" s="204">
        <f>IF(MAX(K859:L859)=K859,1,0)</f>
        <v>1</v>
      </c>
    </row>
    <row r="859" spans="1:18" x14ac:dyDescent="0.3">
      <c r="A859" s="110">
        <v>854</v>
      </c>
      <c r="C859" s="191">
        <v>1.3675403066400929</v>
      </c>
      <c r="D859" s="192">
        <v>130043.95856588242</v>
      </c>
      <c r="E859" s="192">
        <v>1.2335550850041446</v>
      </c>
      <c r="F859" s="192">
        <v>88781.145025478618</v>
      </c>
      <c r="G859" s="192">
        <v>-0.13398522163594828</v>
      </c>
      <c r="H859" s="203">
        <v>0.13398522163594828</v>
      </c>
      <c r="I859" s="192">
        <v>-41262.813540403804</v>
      </c>
      <c r="K859" s="202">
        <v>-136273.01579813819</v>
      </c>
      <c r="L859" s="202">
        <v>-182694.260371526</v>
      </c>
      <c r="M859" s="221">
        <v>46421.244573387812</v>
      </c>
      <c r="N859" s="221">
        <v>46421.244573387812</v>
      </c>
      <c r="O859" s="221">
        <v>-307965.408696484</v>
      </c>
      <c r="Q859" s="204">
        <f t="shared" si="13"/>
        <v>0</v>
      </c>
      <c r="R859" s="204">
        <f>IF(MAX(K860:L860)=K860,1,0)</f>
        <v>1</v>
      </c>
    </row>
    <row r="860" spans="1:18" x14ac:dyDescent="0.3">
      <c r="A860" s="110">
        <v>855</v>
      </c>
      <c r="C860" s="191">
        <v>1.3733617196983154</v>
      </c>
      <c r="D860" s="192">
        <v>118591.51475980403</v>
      </c>
      <c r="E860" s="192">
        <v>1.1993745921883521</v>
      </c>
      <c r="F860" s="192">
        <v>86725.732486959445</v>
      </c>
      <c r="G860" s="192">
        <v>-0.17398712750996337</v>
      </c>
      <c r="H860" s="203">
        <v>0.17398712750996337</v>
      </c>
      <c r="I860" s="192">
        <v>-31865.78227284459</v>
      </c>
      <c r="K860" s="202">
        <v>-132901.65428621101</v>
      </c>
      <c r="L860" s="202">
        <v>-171465.94096818918</v>
      </c>
      <c r="M860" s="221">
        <v>38564.286681978178</v>
      </c>
      <c r="N860" s="221">
        <v>38564.286681978178</v>
      </c>
      <c r="O860" s="221">
        <v>-183150.22915140545</v>
      </c>
      <c r="Q860" s="204">
        <f t="shared" si="13"/>
        <v>0</v>
      </c>
      <c r="R860" s="204">
        <f>IF(MAX(K861:L861)=K861,1,0)</f>
        <v>1</v>
      </c>
    </row>
    <row r="861" spans="1:18" x14ac:dyDescent="0.3">
      <c r="A861" s="110">
        <v>856</v>
      </c>
      <c r="C861" s="191">
        <v>1.4304950601199129</v>
      </c>
      <c r="D861" s="192">
        <v>137821.40887249744</v>
      </c>
      <c r="E861" s="192">
        <v>1.2698787606257296</v>
      </c>
      <c r="F861" s="192">
        <v>96958.708857651392</v>
      </c>
      <c r="G861" s="192">
        <v>-0.16061629949418332</v>
      </c>
      <c r="H861" s="203">
        <v>0.16061629949418332</v>
      </c>
      <c r="I861" s="192">
        <v>-40862.70001484605</v>
      </c>
      <c r="K861" s="202">
        <v>-145849.04114174197</v>
      </c>
      <c r="L861" s="202">
        <v>-192895.46868711407</v>
      </c>
      <c r="M861" s="221">
        <v>47046.427545372106</v>
      </c>
      <c r="N861" s="221">
        <v>47046.427545372106</v>
      </c>
      <c r="O861" s="221">
        <v>-254411.91300964996</v>
      </c>
      <c r="Q861" s="204">
        <f t="shared" si="13"/>
        <v>0</v>
      </c>
      <c r="R861" s="204">
        <f>IF(MAX(K862:L862)=K862,1,0)</f>
        <v>1</v>
      </c>
    </row>
    <row r="862" spans="1:18" x14ac:dyDescent="0.3">
      <c r="A862" s="110">
        <v>857</v>
      </c>
      <c r="C862" s="191">
        <v>1.3565096369397978</v>
      </c>
      <c r="D862" s="192">
        <v>111449.69571989236</v>
      </c>
      <c r="E862" s="192">
        <v>1.297298013141656</v>
      </c>
      <c r="F862" s="192">
        <v>96702.730807387095</v>
      </c>
      <c r="G862" s="192">
        <v>-5.921162379814171E-2</v>
      </c>
      <c r="H862" s="203">
        <v>5.921162379814171E-2</v>
      </c>
      <c r="I862" s="192">
        <v>-14746.964912505267</v>
      </c>
      <c r="K862" s="202">
        <v>-146648.70431334086</v>
      </c>
      <c r="L862" s="202">
        <v>-163675.31674207456</v>
      </c>
      <c r="M862" s="221">
        <v>17026.612428733701</v>
      </c>
      <c r="N862" s="221">
        <v>17026.612428733722</v>
      </c>
      <c r="O862" s="221">
        <v>-249055.23555272073</v>
      </c>
      <c r="Q862" s="204">
        <f t="shared" si="13"/>
        <v>0</v>
      </c>
      <c r="R862" s="204">
        <f>IF(MAX(K863:L863)=K863,1,0)</f>
        <v>1</v>
      </c>
    </row>
    <row r="863" spans="1:18" x14ac:dyDescent="0.3">
      <c r="A863" s="110">
        <v>858</v>
      </c>
      <c r="C863" s="191">
        <v>1.3115418092099818</v>
      </c>
      <c r="D863" s="192">
        <v>92803.379155882096</v>
      </c>
      <c r="E863" s="192">
        <v>1.2573229801097445</v>
      </c>
      <c r="F863" s="192">
        <v>73362.868045885101</v>
      </c>
      <c r="G863" s="192">
        <v>-5.4218829100237231E-2</v>
      </c>
      <c r="H863" s="203">
        <v>5.4218829100237231E-2</v>
      </c>
      <c r="I863" s="192">
        <v>-19440.511109996994</v>
      </c>
      <c r="K863" s="202">
        <v>-121769.80278011027</v>
      </c>
      <c r="L863" s="202">
        <v>-143297.7388104664</v>
      </c>
      <c r="M863" s="221">
        <v>21527.936030356126</v>
      </c>
      <c r="N863" s="221">
        <v>21527.936030356126</v>
      </c>
      <c r="O863" s="221">
        <v>-358556.45414356492</v>
      </c>
      <c r="Q863" s="204">
        <f t="shared" si="13"/>
        <v>0</v>
      </c>
      <c r="R863" s="204">
        <f>IF(MAX(K864:L864)=K864,1,0)</f>
        <v>1</v>
      </c>
    </row>
    <row r="864" spans="1:18" x14ac:dyDescent="0.3">
      <c r="A864" s="110">
        <v>859</v>
      </c>
      <c r="C864" s="191">
        <v>1.0579832880650262</v>
      </c>
      <c r="D864" s="192">
        <v>129900.16467061744</v>
      </c>
      <c r="E864" s="192">
        <v>0.85995951312040009</v>
      </c>
      <c r="F864" s="192">
        <v>83800.22655024493</v>
      </c>
      <c r="G864" s="192">
        <v>-0.19802377494462609</v>
      </c>
      <c r="H864" s="203">
        <v>0.19802377494462609</v>
      </c>
      <c r="I864" s="192">
        <v>-46099.938120372506</v>
      </c>
      <c r="K864" s="202">
        <v>-116908.66780538033</v>
      </c>
      <c r="L864" s="202">
        <v>-170632.52126112094</v>
      </c>
      <c r="M864" s="221">
        <v>53723.853455740609</v>
      </c>
      <c r="N864" s="221">
        <v>53723.853455740609</v>
      </c>
      <c r="O864" s="221">
        <v>-232800.01673164524</v>
      </c>
      <c r="Q864" s="204">
        <f t="shared" si="13"/>
        <v>0</v>
      </c>
      <c r="R864" s="204">
        <f>IF(MAX(K865:L865)=K865,1,0)</f>
        <v>1</v>
      </c>
    </row>
    <row r="865" spans="1:18" x14ac:dyDescent="0.3">
      <c r="A865" s="110">
        <v>860</v>
      </c>
      <c r="C865" s="191">
        <v>1.2923803590242264</v>
      </c>
      <c r="D865" s="192">
        <v>140748.68167127096</v>
      </c>
      <c r="E865" s="192">
        <v>1.0637423160517945</v>
      </c>
      <c r="F865" s="192">
        <v>96201.227220096509</v>
      </c>
      <c r="G865" s="192">
        <v>-0.22863804297243195</v>
      </c>
      <c r="H865" s="203">
        <v>0.22863804297243195</v>
      </c>
      <c r="I865" s="192">
        <v>-44547.454451174446</v>
      </c>
      <c r="K865" s="202">
        <v>-137155.3063880906</v>
      </c>
      <c r="L865" s="202">
        <v>-190505.32549370368</v>
      </c>
      <c r="M865" s="221">
        <v>53350.019105613086</v>
      </c>
      <c r="N865" s="221">
        <v>53350.019105613079</v>
      </c>
      <c r="O865" s="221">
        <v>-194838.32992983481</v>
      </c>
      <c r="Q865" s="204">
        <f t="shared" si="13"/>
        <v>0</v>
      </c>
      <c r="R865" s="204">
        <f>IF(MAX(K866:L866)=K866,1,0)</f>
        <v>1</v>
      </c>
    </row>
    <row r="866" spans="1:18" x14ac:dyDescent="0.3">
      <c r="A866" s="110">
        <v>861</v>
      </c>
      <c r="C866" s="191">
        <v>1.4325928832627317</v>
      </c>
      <c r="D866" s="192">
        <v>108912.1947733133</v>
      </c>
      <c r="E866" s="192">
        <v>1.4369727517694637</v>
      </c>
      <c r="F866" s="192">
        <v>88738.939213811173</v>
      </c>
      <c r="G866" s="192">
        <v>4.3798685067319987E-3</v>
      </c>
      <c r="H866" s="203">
        <v>-4.3798685067319987E-3</v>
      </c>
      <c r="I866" s="192">
        <v>-20173.255559502126</v>
      </c>
      <c r="K866" s="202">
        <v>-144062.39015693552</v>
      </c>
      <c r="L866" s="202">
        <v>-164067.02077892848</v>
      </c>
      <c r="M866" s="221">
        <v>20004.630621992954</v>
      </c>
      <c r="N866" s="221">
        <v>20004.630621992943</v>
      </c>
      <c r="O866" s="221">
        <v>4605904.3846853357</v>
      </c>
      <c r="Q866" s="204">
        <f t="shared" si="13"/>
        <v>0</v>
      </c>
      <c r="R866" s="204">
        <f>IF(MAX(K867:L867)=K867,1,0)</f>
        <v>1</v>
      </c>
    </row>
    <row r="867" spans="1:18" x14ac:dyDescent="0.3">
      <c r="A867" s="110">
        <v>862</v>
      </c>
      <c r="C867" s="191">
        <v>1.0890146923629098</v>
      </c>
      <c r="D867" s="192">
        <v>113242.06166770127</v>
      </c>
      <c r="E867" s="192">
        <v>0.93691156028036704</v>
      </c>
      <c r="F867" s="192">
        <v>85576.250877633225</v>
      </c>
      <c r="G867" s="192">
        <v>-0.15210313208254278</v>
      </c>
      <c r="H867" s="203">
        <v>0.15210313208254278</v>
      </c>
      <c r="I867" s="192">
        <v>-27665.810790068048</v>
      </c>
      <c r="K867" s="202">
        <v>-121647.34594842736</v>
      </c>
      <c r="L867" s="202">
        <v>-155169.12732367331</v>
      </c>
      <c r="M867" s="221">
        <v>33521.781375245948</v>
      </c>
      <c r="N867" s="221">
        <v>33521.781375245948</v>
      </c>
      <c r="O867" s="221">
        <v>-181888.50164541297</v>
      </c>
      <c r="Q867" s="204">
        <f t="shared" si="13"/>
        <v>0</v>
      </c>
      <c r="R867" s="204">
        <f>IF(MAX(K868:L868)=K868,1,0)</f>
        <v>1</v>
      </c>
    </row>
    <row r="868" spans="1:18" x14ac:dyDescent="0.3">
      <c r="A868" s="110">
        <v>863</v>
      </c>
      <c r="C868" s="191">
        <v>1.3704842604910255</v>
      </c>
      <c r="D868" s="192">
        <v>131779.70064186867</v>
      </c>
      <c r="E868" s="192">
        <v>1.119725586124217</v>
      </c>
      <c r="F868" s="192">
        <v>89217.121501777321</v>
      </c>
      <c r="G868" s="192">
        <v>-0.25075867436680843</v>
      </c>
      <c r="H868" s="203">
        <v>0.25075867436680843</v>
      </c>
      <c r="I868" s="192">
        <v>-42562.579140091344</v>
      </c>
      <c r="K868" s="202">
        <v>-132326.55656755966</v>
      </c>
      <c r="L868" s="202">
        <v>-184543.34467077313</v>
      </c>
      <c r="M868" s="221">
        <v>52216.788103213476</v>
      </c>
      <c r="N868" s="221">
        <v>52216.788103213468</v>
      </c>
      <c r="O868" s="221">
        <v>-169735.22151353789</v>
      </c>
      <c r="Q868" s="204">
        <f t="shared" si="13"/>
        <v>0</v>
      </c>
      <c r="R868" s="204">
        <f>IF(MAX(K869:L869)=K869,1,0)</f>
        <v>1</v>
      </c>
    </row>
    <row r="869" spans="1:18" x14ac:dyDescent="0.3">
      <c r="A869" s="110">
        <v>864</v>
      </c>
      <c r="C869" s="191">
        <v>1.5364150490514663</v>
      </c>
      <c r="D869" s="192">
        <v>128673.87340740807</v>
      </c>
      <c r="E869" s="192">
        <v>1.4677852523080777</v>
      </c>
      <c r="F869" s="192">
        <v>101888.58765176301</v>
      </c>
      <c r="G869" s="192">
        <v>-6.8629796743388649E-2</v>
      </c>
      <c r="H869" s="203">
        <v>6.8629796743388649E-2</v>
      </c>
      <c r="I869" s="192">
        <v>-26785.285755645062</v>
      </c>
      <c r="K869" s="202">
        <v>-158398.31986562401</v>
      </c>
      <c r="L869" s="202">
        <v>-187825.85279588951</v>
      </c>
      <c r="M869" s="221">
        <v>29427.532930265501</v>
      </c>
      <c r="N869" s="221">
        <v>29427.532930265523</v>
      </c>
      <c r="O869" s="221">
        <v>-390286.5377235054</v>
      </c>
      <c r="Q869" s="204">
        <f t="shared" si="13"/>
        <v>0</v>
      </c>
      <c r="R869" s="204">
        <f>IF(MAX(K870:L870)=K870,1,0)</f>
        <v>1</v>
      </c>
    </row>
    <row r="870" spans="1:18" x14ac:dyDescent="0.3">
      <c r="A870" s="110">
        <v>865</v>
      </c>
      <c r="C870" s="191">
        <v>1.1041522268032278</v>
      </c>
      <c r="D870" s="192">
        <v>136686.31712280869</v>
      </c>
      <c r="E870" s="192">
        <v>0.97536575807693326</v>
      </c>
      <c r="F870" s="192">
        <v>113040.1967092963</v>
      </c>
      <c r="G870" s="192">
        <v>-0.12878646872629451</v>
      </c>
      <c r="H870" s="203">
        <v>0.12878646872629451</v>
      </c>
      <c r="I870" s="192">
        <v>-23646.120413512384</v>
      </c>
      <c r="K870" s="202">
        <v>-150591.77839525824</v>
      </c>
      <c r="L870" s="202">
        <v>-179196.17785473296</v>
      </c>
      <c r="M870" s="221">
        <v>28604.39945947472</v>
      </c>
      <c r="N870" s="221">
        <v>28604.399459474724</v>
      </c>
      <c r="O870" s="221">
        <v>-183607.18053203772</v>
      </c>
      <c r="Q870" s="204">
        <f t="shared" si="13"/>
        <v>0</v>
      </c>
      <c r="R870" s="204">
        <f>IF(MAX(K871:L871)=K871,1,0)</f>
        <v>1</v>
      </c>
    </row>
    <row r="871" spans="1:18" x14ac:dyDescent="0.3">
      <c r="A871" s="110">
        <v>866</v>
      </c>
      <c r="C871" s="191">
        <v>1.1061332862829443</v>
      </c>
      <c r="D871" s="192">
        <v>129531.17664069559</v>
      </c>
      <c r="E871" s="192">
        <v>0.92579377667779561</v>
      </c>
      <c r="F871" s="192">
        <v>98351.847386176058</v>
      </c>
      <c r="G871" s="192">
        <v>-0.18033950960514866</v>
      </c>
      <c r="H871" s="203">
        <v>0.18033950960514866</v>
      </c>
      <c r="I871" s="192">
        <v>-31179.329254519529</v>
      </c>
      <c r="K871" s="202">
        <v>-133994.9077882712</v>
      </c>
      <c r="L871" s="202">
        <v>-172117.30816258895</v>
      </c>
      <c r="M871" s="221">
        <v>38122.400374317745</v>
      </c>
      <c r="N871" s="221">
        <v>38122.400374317753</v>
      </c>
      <c r="O871" s="221">
        <v>-172892.39237029268</v>
      </c>
      <c r="Q871" s="204">
        <f t="shared" si="13"/>
        <v>0</v>
      </c>
      <c r="R871" s="204">
        <f>IF(MAX(K872:L872)=K872,1,0)</f>
        <v>1</v>
      </c>
    </row>
    <row r="872" spans="1:18" x14ac:dyDescent="0.3">
      <c r="A872" s="110">
        <v>867</v>
      </c>
      <c r="C872" s="191">
        <v>1.510297065324735</v>
      </c>
      <c r="D872" s="192">
        <v>152341.52640537976</v>
      </c>
      <c r="E872" s="192">
        <v>1.350184961036591</v>
      </c>
      <c r="F872" s="192">
        <v>112540.71256271098</v>
      </c>
      <c r="G872" s="192">
        <v>-0.16011210428814393</v>
      </c>
      <c r="H872" s="203">
        <v>0.16011210428814393</v>
      </c>
      <c r="I872" s="192">
        <v>-39800.81384266878</v>
      </c>
      <c r="K872" s="202">
        <v>-164522.83356261972</v>
      </c>
      <c r="L872" s="202">
        <v>-210487.96342038206</v>
      </c>
      <c r="M872" s="221">
        <v>45965.129857762338</v>
      </c>
      <c r="N872" s="221">
        <v>45965.129857762324</v>
      </c>
      <c r="O872" s="221">
        <v>-248580.91784891975</v>
      </c>
      <c r="Q872" s="204">
        <f t="shared" si="13"/>
        <v>0</v>
      </c>
      <c r="R872" s="204">
        <f>IF(MAX(K873:L873)=K873,1,0)</f>
        <v>1</v>
      </c>
    </row>
    <row r="873" spans="1:18" x14ac:dyDescent="0.3">
      <c r="A873" s="110">
        <v>868</v>
      </c>
      <c r="C873" s="191">
        <v>1.2327655725014344</v>
      </c>
      <c r="D873" s="192">
        <v>119650.01006414708</v>
      </c>
      <c r="E873" s="192">
        <v>1.0978677310356493</v>
      </c>
      <c r="F873" s="192">
        <v>93759.366566126075</v>
      </c>
      <c r="G873" s="192">
        <v>-0.1348978414657851</v>
      </c>
      <c r="H873" s="203">
        <v>0.1348978414657851</v>
      </c>
      <c r="I873" s="192">
        <v>-25890.643498021003</v>
      </c>
      <c r="K873" s="202">
        <v>-136027.27421099856</v>
      </c>
      <c r="L873" s="202">
        <v>-167111.48460545231</v>
      </c>
      <c r="M873" s="221">
        <v>31084.210394453752</v>
      </c>
      <c r="N873" s="221">
        <v>31084.21039445373</v>
      </c>
      <c r="O873" s="221">
        <v>-191927.78191775436</v>
      </c>
      <c r="Q873" s="204">
        <f t="shared" si="13"/>
        <v>0</v>
      </c>
      <c r="R873" s="204">
        <f>IF(MAX(K874:L874)=K874,1,0)</f>
        <v>1</v>
      </c>
    </row>
    <row r="874" spans="1:18" x14ac:dyDescent="0.3">
      <c r="A874" s="110">
        <v>869</v>
      </c>
      <c r="C874" s="191">
        <v>1.4353542674238733</v>
      </c>
      <c r="D874" s="192">
        <v>124989.66863054475</v>
      </c>
      <c r="E874" s="192">
        <v>1.1476485338845033</v>
      </c>
      <c r="F874" s="192">
        <v>81069.826341951935</v>
      </c>
      <c r="G874" s="192">
        <v>-0.28770573353937001</v>
      </c>
      <c r="H874" s="203">
        <v>0.28770573353937001</v>
      </c>
      <c r="I874" s="192">
        <v>-43919.842288592816</v>
      </c>
      <c r="K874" s="202">
        <v>-125254.29489650531</v>
      </c>
      <c r="L874" s="202">
        <v>-180250.80792636386</v>
      </c>
      <c r="M874" s="221">
        <v>54996.513029858557</v>
      </c>
      <c r="N874" s="221">
        <v>54996.513029858557</v>
      </c>
      <c r="O874" s="221">
        <v>-152655.42938018221</v>
      </c>
      <c r="Q874" s="204">
        <f t="shared" si="13"/>
        <v>0</v>
      </c>
      <c r="R874" s="204">
        <f>IF(MAX(K875:L875)=K875,1,0)</f>
        <v>1</v>
      </c>
    </row>
    <row r="875" spans="1:18" x14ac:dyDescent="0.3">
      <c r="A875" s="110">
        <v>870</v>
      </c>
      <c r="C875" s="191">
        <v>1.2568295324589731</v>
      </c>
      <c r="D875" s="192">
        <v>155661.72190139344</v>
      </c>
      <c r="E875" s="192">
        <v>1.0778629691941386</v>
      </c>
      <c r="F875" s="192">
        <v>91541.769871050128</v>
      </c>
      <c r="G875" s="192">
        <v>-0.17896656326483451</v>
      </c>
      <c r="H875" s="203">
        <v>0.17896656326483451</v>
      </c>
      <c r="I875" s="192">
        <v>-64119.952030343309</v>
      </c>
      <c r="K875" s="202">
        <v>-133039.49418502446</v>
      </c>
      <c r="L875" s="202">
        <v>-204049.6589010639</v>
      </c>
      <c r="M875" s="221">
        <v>71010.164716039435</v>
      </c>
      <c r="N875" s="221">
        <v>71010.164716039435</v>
      </c>
      <c r="O875" s="221">
        <v>-358278.9480929948</v>
      </c>
      <c r="Q875" s="204">
        <f t="shared" si="13"/>
        <v>0</v>
      </c>
      <c r="R875" s="204">
        <f>IF(MAX(K876:L876)=K876,1,0)</f>
        <v>1</v>
      </c>
    </row>
    <row r="876" spans="1:18" x14ac:dyDescent="0.3">
      <c r="A876" s="110">
        <v>871</v>
      </c>
      <c r="C876" s="191">
        <v>1.3928164699701415</v>
      </c>
      <c r="D876" s="192">
        <v>131019.80211581218</v>
      </c>
      <c r="E876" s="192">
        <v>1.2889544821010595</v>
      </c>
      <c r="F876" s="192">
        <v>107490.74181806894</v>
      </c>
      <c r="G876" s="192">
        <v>-0.10386198786908207</v>
      </c>
      <c r="H876" s="203">
        <v>0.10386198786908207</v>
      </c>
      <c r="I876" s="192">
        <v>-23529.060297743243</v>
      </c>
      <c r="K876" s="202">
        <v>-157115.48937895973</v>
      </c>
      <c r="L876" s="202">
        <v>-184643.23620966263</v>
      </c>
      <c r="M876" s="221">
        <v>27527.746830702905</v>
      </c>
      <c r="N876" s="221">
        <v>27527.746830702901</v>
      </c>
      <c r="O876" s="221">
        <v>-226541.59409505621</v>
      </c>
      <c r="Q876" s="204">
        <f t="shared" si="13"/>
        <v>0</v>
      </c>
      <c r="R876" s="204">
        <f>IF(MAX(K877:L877)=K877,1,0)</f>
        <v>1</v>
      </c>
    </row>
    <row r="877" spans="1:18" x14ac:dyDescent="0.3">
      <c r="A877" s="110">
        <v>872</v>
      </c>
      <c r="C877" s="191">
        <v>1.2173851245953835</v>
      </c>
      <c r="D877" s="192">
        <v>144285.06923915999</v>
      </c>
      <c r="E877" s="192">
        <v>1.0161455228476228</v>
      </c>
      <c r="F877" s="192">
        <v>105777.02278870469</v>
      </c>
      <c r="G877" s="192">
        <v>-0.20123960174776068</v>
      </c>
      <c r="H877" s="203">
        <v>0.20123960174776068</v>
      </c>
      <c r="I877" s="192">
        <v>-38508.046450455295</v>
      </c>
      <c r="K877" s="202">
        <v>-144898.62541833817</v>
      </c>
      <c r="L877" s="202">
        <v>-191154.39653608226</v>
      </c>
      <c r="M877" s="221">
        <v>46255.771117744094</v>
      </c>
      <c r="N877" s="221">
        <v>46255.77111774408</v>
      </c>
      <c r="O877" s="221">
        <v>-191354.2171422221</v>
      </c>
      <c r="Q877" s="204">
        <f t="shared" si="13"/>
        <v>0</v>
      </c>
      <c r="R877" s="204">
        <f>IF(MAX(K878:L878)=K878,1,0)</f>
        <v>1</v>
      </c>
    </row>
    <row r="878" spans="1:18" x14ac:dyDescent="0.3">
      <c r="A878" s="110">
        <v>873</v>
      </c>
      <c r="C878" s="191">
        <v>1.3381251977857984</v>
      </c>
      <c r="D878" s="192">
        <v>168304.04145974884</v>
      </c>
      <c r="E878" s="192">
        <v>1.1561763574543737</v>
      </c>
      <c r="F878" s="192">
        <v>125685.90347065317</v>
      </c>
      <c r="G878" s="192">
        <v>-0.18194884033142467</v>
      </c>
      <c r="H878" s="203">
        <v>0.18194884033142467</v>
      </c>
      <c r="I878" s="192">
        <v>-42618.137989095674</v>
      </c>
      <c r="K878" s="202">
        <v>-170198.69323264656</v>
      </c>
      <c r="L878" s="202">
        <v>-219821.86157450208</v>
      </c>
      <c r="M878" s="221">
        <v>49623.168341855519</v>
      </c>
      <c r="N878" s="221">
        <v>49623.168341855526</v>
      </c>
      <c r="O878" s="221">
        <v>-234231.43511915547</v>
      </c>
      <c r="Q878" s="204">
        <f t="shared" si="13"/>
        <v>0</v>
      </c>
      <c r="R878" s="204">
        <f>IF(MAX(K879:L879)=K879,1,0)</f>
        <v>1</v>
      </c>
    </row>
    <row r="879" spans="1:18" x14ac:dyDescent="0.3">
      <c r="A879" s="110">
        <v>874</v>
      </c>
      <c r="C879" s="191">
        <v>1.2345564618428915</v>
      </c>
      <c r="D879" s="192">
        <v>147746.52468116267</v>
      </c>
      <c r="E879" s="192">
        <v>1.0107765233784451</v>
      </c>
      <c r="F879" s="192">
        <v>106793.61152656055</v>
      </c>
      <c r="G879" s="192">
        <v>-0.22377993846444633</v>
      </c>
      <c r="H879" s="203">
        <v>0.22377993846444633</v>
      </c>
      <c r="I879" s="192">
        <v>-40952.913154602124</v>
      </c>
      <c r="K879" s="202">
        <v>-145708.50767663069</v>
      </c>
      <c r="L879" s="202">
        <v>-195276.948462114</v>
      </c>
      <c r="M879" s="221">
        <v>49568.440785483312</v>
      </c>
      <c r="N879" s="221">
        <v>49568.440785483312</v>
      </c>
      <c r="O879" s="221">
        <v>-183005.29276939019</v>
      </c>
      <c r="Q879" s="204">
        <f t="shared" si="13"/>
        <v>0</v>
      </c>
      <c r="R879" s="204">
        <f>IF(MAX(K880:L880)=K880,1,0)</f>
        <v>1</v>
      </c>
    </row>
    <row r="880" spans="1:18" x14ac:dyDescent="0.3">
      <c r="A880" s="110">
        <v>875</v>
      </c>
      <c r="C880" s="191">
        <v>1.3312641191615682</v>
      </c>
      <c r="D880" s="192">
        <v>128476.07926498614</v>
      </c>
      <c r="E880" s="192">
        <v>1.2233645004233444</v>
      </c>
      <c r="F880" s="192">
        <v>94646.753452240417</v>
      </c>
      <c r="G880" s="192">
        <v>-0.10789961873822373</v>
      </c>
      <c r="H880" s="203">
        <v>0.10789961873822373</v>
      </c>
      <c r="I880" s="192">
        <v>-33829.325812745723</v>
      </c>
      <c r="K880" s="202">
        <v>-141746.2867185392</v>
      </c>
      <c r="L880" s="202">
        <v>-179729.74785270653</v>
      </c>
      <c r="M880" s="221">
        <v>37983.46113416733</v>
      </c>
      <c r="N880" s="221">
        <v>37983.461134167337</v>
      </c>
      <c r="O880" s="221">
        <v>-313525.90684142604</v>
      </c>
      <c r="Q880" s="204">
        <f t="shared" si="13"/>
        <v>0</v>
      </c>
      <c r="R880" s="204">
        <f>IF(MAX(K881:L881)=K881,1,0)</f>
        <v>1</v>
      </c>
    </row>
    <row r="881" spans="1:18" x14ac:dyDescent="0.3">
      <c r="A881" s="110">
        <v>876</v>
      </c>
      <c r="C881" s="191">
        <v>1.2296487627009665</v>
      </c>
      <c r="D881" s="192">
        <v>104380.95103638739</v>
      </c>
      <c r="E881" s="192">
        <v>1.1072946308642952</v>
      </c>
      <c r="F881" s="192">
        <v>79288.852051213325</v>
      </c>
      <c r="G881" s="192">
        <v>-0.12235413183667121</v>
      </c>
      <c r="H881" s="203">
        <v>0.12235413183667121</v>
      </c>
      <c r="I881" s="192">
        <v>-25092.09898517406</v>
      </c>
      <c r="K881" s="202">
        <v>-121919.6953394887</v>
      </c>
      <c r="L881" s="202">
        <v>-151722.4284003746</v>
      </c>
      <c r="M881" s="221">
        <v>29802.733060885905</v>
      </c>
      <c r="N881" s="221">
        <v>29802.733060885901</v>
      </c>
      <c r="O881" s="221">
        <v>-205077.65948328696</v>
      </c>
      <c r="Q881" s="204">
        <f t="shared" si="13"/>
        <v>0</v>
      </c>
      <c r="R881" s="204">
        <f>IF(MAX(K882:L882)=K882,1,0)</f>
        <v>1</v>
      </c>
    </row>
    <row r="882" spans="1:18" x14ac:dyDescent="0.3">
      <c r="A882" s="110">
        <v>877</v>
      </c>
      <c r="C882" s="191">
        <v>1.3905543529824056</v>
      </c>
      <c r="D882" s="192">
        <v>126225.64891928616</v>
      </c>
      <c r="E882" s="192">
        <v>1.1421164760933427</v>
      </c>
      <c r="F882" s="192">
        <v>85251.352318103818</v>
      </c>
      <c r="G882" s="192">
        <v>-0.24843787688906294</v>
      </c>
      <c r="H882" s="203">
        <v>0.24843787688906294</v>
      </c>
      <c r="I882" s="192">
        <v>-40974.296601182345</v>
      </c>
      <c r="K882" s="202">
        <v>-129222.83664769752</v>
      </c>
      <c r="L882" s="202">
        <v>-179761.99150910878</v>
      </c>
      <c r="M882" s="221">
        <v>50539.154861411254</v>
      </c>
      <c r="N882" s="221">
        <v>50539.154861411269</v>
      </c>
      <c r="O882" s="221">
        <v>-164927.73611762485</v>
      </c>
      <c r="Q882" s="204">
        <f t="shared" si="13"/>
        <v>0</v>
      </c>
      <c r="R882" s="204">
        <f>IF(MAX(K883:L883)=K883,1,0)</f>
        <v>1</v>
      </c>
    </row>
    <row r="883" spans="1:18" x14ac:dyDescent="0.3">
      <c r="A883" s="110">
        <v>878</v>
      </c>
      <c r="C883" s="191">
        <v>1.2213755309096754</v>
      </c>
      <c r="D883" s="192">
        <v>146101.79432240364</v>
      </c>
      <c r="E883" s="192">
        <v>1.0318001401514116</v>
      </c>
      <c r="F883" s="192">
        <v>113737.72297426696</v>
      </c>
      <c r="G883" s="192">
        <v>-0.1895753907582638</v>
      </c>
      <c r="H883" s="203">
        <v>0.1895753907582638</v>
      </c>
      <c r="I883" s="192">
        <v>-32364.071348136684</v>
      </c>
      <c r="K883" s="202">
        <v>-153462.02837009629</v>
      </c>
      <c r="L883" s="202">
        <v>-193124.75226242613</v>
      </c>
      <c r="M883" s="221">
        <v>39662.723892329843</v>
      </c>
      <c r="N883" s="221">
        <v>39662.723892329843</v>
      </c>
      <c r="O883" s="221">
        <v>-170718.73737770945</v>
      </c>
      <c r="Q883" s="204">
        <f t="shared" si="13"/>
        <v>0</v>
      </c>
      <c r="R883" s="204">
        <f>IF(MAX(K884:L884)=K884,1,0)</f>
        <v>1</v>
      </c>
    </row>
    <row r="884" spans="1:18" x14ac:dyDescent="0.3">
      <c r="A884" s="110">
        <v>879</v>
      </c>
      <c r="C884" s="191">
        <v>1.1861905029731341</v>
      </c>
      <c r="D884" s="192">
        <v>126398.9550485088</v>
      </c>
      <c r="E884" s="192">
        <v>1.0676703313281055</v>
      </c>
      <c r="F884" s="192">
        <v>96912.908867670776</v>
      </c>
      <c r="G884" s="192">
        <v>-0.11852017164502859</v>
      </c>
      <c r="H884" s="203">
        <v>0.11852017164502859</v>
      </c>
      <c r="I884" s="192">
        <v>-29486.046180838021</v>
      </c>
      <c r="K884" s="202">
        <v>-138018.21662380284</v>
      </c>
      <c r="L884" s="202">
        <v>-172067.28941297447</v>
      </c>
      <c r="M884" s="221">
        <v>34049.072789171623</v>
      </c>
      <c r="N884" s="221">
        <v>34049.072789171623</v>
      </c>
      <c r="O884" s="221">
        <v>-248785.04453359719</v>
      </c>
      <c r="Q884" s="204">
        <f t="shared" si="13"/>
        <v>0</v>
      </c>
      <c r="R884" s="204">
        <f>IF(MAX(K885:L885)=K885,1,0)</f>
        <v>1</v>
      </c>
    </row>
    <row r="885" spans="1:18" x14ac:dyDescent="0.3">
      <c r="A885" s="110">
        <v>880</v>
      </c>
      <c r="C885" s="191">
        <v>1.2981631986147102</v>
      </c>
      <c r="D885" s="192">
        <v>128273.75532949051</v>
      </c>
      <c r="E885" s="192">
        <v>1.1138600562838719</v>
      </c>
      <c r="F885" s="192">
        <v>88352.697939562495</v>
      </c>
      <c r="G885" s="192">
        <v>-0.18430314233083833</v>
      </c>
      <c r="H885" s="203">
        <v>0.18430314233083833</v>
      </c>
      <c r="I885" s="192">
        <v>-39921.057389928013</v>
      </c>
      <c r="K885" s="202">
        <v>-131236.31010649155</v>
      </c>
      <c r="L885" s="202">
        <v>-178253.03847615686</v>
      </c>
      <c r="M885" s="221">
        <v>47016.728369665303</v>
      </c>
      <c r="N885" s="221">
        <v>47016.728369665288</v>
      </c>
      <c r="O885" s="221">
        <v>-216605.40826952716</v>
      </c>
      <c r="Q885" s="204">
        <f t="shared" si="13"/>
        <v>0</v>
      </c>
      <c r="R885" s="204">
        <f>IF(MAX(K886:L886)=K886,1,0)</f>
        <v>1</v>
      </c>
    </row>
    <row r="886" spans="1:18" x14ac:dyDescent="0.3">
      <c r="A886" s="110">
        <v>881</v>
      </c>
      <c r="C886" s="191">
        <v>1.21565967106779</v>
      </c>
      <c r="D886" s="192">
        <v>138425.73920108593</v>
      </c>
      <c r="E886" s="192">
        <v>1.0453806162930865</v>
      </c>
      <c r="F886" s="192">
        <v>100064.85980952551</v>
      </c>
      <c r="G886" s="192">
        <v>-0.17027905477470351</v>
      </c>
      <c r="H886" s="203">
        <v>0.17027905477470351</v>
      </c>
      <c r="I886" s="192">
        <v>-38360.879391560418</v>
      </c>
      <c r="K886" s="202">
        <v>-140312.01353680936</v>
      </c>
      <c r="L886" s="202">
        <v>-185228.63653719585</v>
      </c>
      <c r="M886" s="221">
        <v>44916.623000386491</v>
      </c>
      <c r="N886" s="221">
        <v>44916.623000386506</v>
      </c>
      <c r="O886" s="221">
        <v>-225282.43090329436</v>
      </c>
      <c r="Q886" s="204">
        <f t="shared" si="13"/>
        <v>0</v>
      </c>
      <c r="R886" s="204">
        <f>IF(MAX(K887:L887)=K887,1,0)</f>
        <v>1</v>
      </c>
    </row>
    <row r="887" spans="1:18" x14ac:dyDescent="0.3">
      <c r="A887" s="110">
        <v>882</v>
      </c>
      <c r="C887" s="191">
        <v>1.1048782665081318</v>
      </c>
      <c r="D887" s="192">
        <v>132073.67645113679</v>
      </c>
      <c r="E887" s="192">
        <v>0.99038751925867297</v>
      </c>
      <c r="F887" s="192">
        <v>102881.37013197788</v>
      </c>
      <c r="G887" s="192">
        <v>-0.11449074724945885</v>
      </c>
      <c r="H887" s="203">
        <v>0.11449074724945885</v>
      </c>
      <c r="I887" s="192">
        <v>-29192.306319158917</v>
      </c>
      <c r="K887" s="202">
        <v>-141011.28962343678</v>
      </c>
      <c r="L887" s="202">
        <v>-174611.48971169986</v>
      </c>
      <c r="M887" s="221">
        <v>33600.200088263082</v>
      </c>
      <c r="N887" s="221">
        <v>33600.200088263082</v>
      </c>
      <c r="O887" s="221">
        <v>-254975.24490387933</v>
      </c>
      <c r="Q887" s="204">
        <f t="shared" si="13"/>
        <v>0</v>
      </c>
      <c r="R887" s="204">
        <f>IF(MAX(K888:L888)=K888,1,0)</f>
        <v>1</v>
      </c>
    </row>
    <row r="888" spans="1:18" x14ac:dyDescent="0.3">
      <c r="A888" s="110">
        <v>883</v>
      </c>
      <c r="C888" s="191">
        <v>1.3884847608381532</v>
      </c>
      <c r="D888" s="192">
        <v>100357.89108708783</v>
      </c>
      <c r="E888" s="192">
        <v>1.3198508266892564</v>
      </c>
      <c r="F888" s="192">
        <v>83516.903707303427</v>
      </c>
      <c r="G888" s="192">
        <v>-6.8633934148896847E-2</v>
      </c>
      <c r="H888" s="203">
        <v>6.8633934148896847E-2</v>
      </c>
      <c r="I888" s="192">
        <v>-16840.987379784405</v>
      </c>
      <c r="K888" s="202">
        <v>-134331.16053483979</v>
      </c>
      <c r="L888" s="202">
        <v>-153814.55437935673</v>
      </c>
      <c r="M888" s="221">
        <v>19483.393844516948</v>
      </c>
      <c r="N888" s="221">
        <v>19483.393844516933</v>
      </c>
      <c r="O888" s="221">
        <v>-245374.06442779428</v>
      </c>
      <c r="Q888" s="204">
        <f t="shared" si="13"/>
        <v>0</v>
      </c>
      <c r="R888" s="204">
        <f>IF(MAX(K889:L889)=K889,1,0)</f>
        <v>1</v>
      </c>
    </row>
    <row r="889" spans="1:18" x14ac:dyDescent="0.3">
      <c r="A889" s="110">
        <v>884</v>
      </c>
      <c r="C889" s="191">
        <v>1.0591548088641092</v>
      </c>
      <c r="D889" s="192">
        <v>104344.90242264474</v>
      </c>
      <c r="E889" s="192">
        <v>0.87369497083450565</v>
      </c>
      <c r="F889" s="192">
        <v>79409.10399546595</v>
      </c>
      <c r="G889" s="192">
        <v>-0.18545983802960353</v>
      </c>
      <c r="H889" s="203">
        <v>0.18545983802960353</v>
      </c>
      <c r="I889" s="192">
        <v>-24935.798427178786</v>
      </c>
      <c r="K889" s="202">
        <v>-113046.36037259441</v>
      </c>
      <c r="L889" s="202">
        <v>-145122.36256391293</v>
      </c>
      <c r="M889" s="221">
        <v>32076.002191318519</v>
      </c>
      <c r="N889" s="221">
        <v>32076.002191318523</v>
      </c>
      <c r="O889" s="221">
        <v>-134453.89951865739</v>
      </c>
      <c r="Q889" s="204">
        <f t="shared" si="13"/>
        <v>0</v>
      </c>
      <c r="R889" s="204">
        <f>IF(MAX(K890:L890)=K890,1,0)</f>
        <v>1</v>
      </c>
    </row>
    <row r="890" spans="1:18" x14ac:dyDescent="0.3">
      <c r="A890" s="110">
        <v>885</v>
      </c>
      <c r="C890" s="191">
        <v>1.3128371365049878</v>
      </c>
      <c r="D890" s="192">
        <v>118305.28769720449</v>
      </c>
      <c r="E890" s="192">
        <v>1.1433529254241632</v>
      </c>
      <c r="F890" s="192">
        <v>87109.311202149285</v>
      </c>
      <c r="G890" s="192">
        <v>-0.16948421108082456</v>
      </c>
      <c r="H890" s="203">
        <v>0.16948421108082456</v>
      </c>
      <c r="I890" s="192">
        <v>-31195.976495055205</v>
      </c>
      <c r="K890" s="202">
        <v>-131128.39883097957</v>
      </c>
      <c r="L890" s="202">
        <v>-168849.51745264651</v>
      </c>
      <c r="M890" s="221">
        <v>37721.118621666945</v>
      </c>
      <c r="N890" s="221">
        <v>37721.118621666952</v>
      </c>
      <c r="O890" s="221">
        <v>-184064.20454220538</v>
      </c>
      <c r="Q890" s="204">
        <f t="shared" si="13"/>
        <v>0</v>
      </c>
      <c r="R890" s="204">
        <f>IF(MAX(K891:L891)=K891,1,0)</f>
        <v>1</v>
      </c>
    </row>
    <row r="891" spans="1:18" x14ac:dyDescent="0.3">
      <c r="A891" s="110">
        <v>886</v>
      </c>
      <c r="C891" s="191">
        <v>1.3271098220838242</v>
      </c>
      <c r="D891" s="192">
        <v>82154.434101894105</v>
      </c>
      <c r="E891" s="192">
        <v>1.3443083166102792</v>
      </c>
      <c r="F891" s="192">
        <v>68351.320394558279</v>
      </c>
      <c r="G891" s="192">
        <v>1.7198494526454944E-2</v>
      </c>
      <c r="H891" s="203">
        <v>-1.7198494526454944E-2</v>
      </c>
      <c r="I891" s="192">
        <v>-13803.113707335826</v>
      </c>
      <c r="K891" s="202">
        <v>-120107.19058405403</v>
      </c>
      <c r="L891" s="202">
        <v>-133248.16225212134</v>
      </c>
      <c r="M891" s="221">
        <v>13140.971668067315</v>
      </c>
      <c r="N891" s="221">
        <v>13140.97166806731</v>
      </c>
      <c r="O891" s="221">
        <v>802576.85846302996</v>
      </c>
      <c r="Q891" s="204">
        <f t="shared" si="13"/>
        <v>0</v>
      </c>
      <c r="R891" s="204">
        <f>IF(MAX(K892:L892)=K892,1,0)</f>
        <v>1</v>
      </c>
    </row>
    <row r="892" spans="1:18" x14ac:dyDescent="0.3">
      <c r="A892" s="110">
        <v>887</v>
      </c>
      <c r="C892" s="191">
        <v>1.0582939917195859</v>
      </c>
      <c r="D892" s="192">
        <v>93321.628228281857</v>
      </c>
      <c r="E892" s="192">
        <v>0.99708420096036143</v>
      </c>
      <c r="F892" s="192">
        <v>71193.62132690115</v>
      </c>
      <c r="G892" s="192">
        <v>-6.1209790759224503E-2</v>
      </c>
      <c r="H892" s="203">
        <v>6.1209790759224503E-2</v>
      </c>
      <c r="I892" s="192">
        <v>-22128.006901380708</v>
      </c>
      <c r="K892" s="202">
        <v>-109581.36306387506</v>
      </c>
      <c r="L892" s="202">
        <v>-134065.94690948591</v>
      </c>
      <c r="M892" s="221">
        <v>24484.583845610847</v>
      </c>
      <c r="N892" s="221">
        <v>24484.58384561085</v>
      </c>
      <c r="O892" s="221">
        <v>-361510.90580302221</v>
      </c>
      <c r="Q892" s="204">
        <f t="shared" si="13"/>
        <v>0</v>
      </c>
      <c r="R892" s="204">
        <f>IF(MAX(K893:L893)=K893,1,0)</f>
        <v>1</v>
      </c>
    </row>
    <row r="893" spans="1:18" x14ac:dyDescent="0.3">
      <c r="A893" s="110">
        <v>888</v>
      </c>
      <c r="C893" s="191">
        <v>0.95235256238156329</v>
      </c>
      <c r="D893" s="192">
        <v>118006.96365063882</v>
      </c>
      <c r="E893" s="192">
        <v>0.80246884843673083</v>
      </c>
      <c r="F893" s="192">
        <v>94187.569874542212</v>
      </c>
      <c r="G893" s="192">
        <v>-0.14988371394483246</v>
      </c>
      <c r="H893" s="203">
        <v>0.14988371394483246</v>
      </c>
      <c r="I893" s="192">
        <v>-23819.393776096607</v>
      </c>
      <c r="K893" s="202">
        <v>-125082.62053935634</v>
      </c>
      <c r="L893" s="202">
        <v>-154672.537302329</v>
      </c>
      <c r="M893" s="221">
        <v>29589.916762972658</v>
      </c>
      <c r="N893" s="221">
        <v>29589.916762972658</v>
      </c>
      <c r="O893" s="221">
        <v>-158919.15905462409</v>
      </c>
      <c r="Q893" s="204">
        <f t="shared" si="13"/>
        <v>0</v>
      </c>
      <c r="R893" s="204">
        <f>IF(MAX(K894:L894)=K894,1,0)</f>
        <v>1</v>
      </c>
    </row>
    <row r="894" spans="1:18" x14ac:dyDescent="0.3">
      <c r="A894" s="110">
        <v>889</v>
      </c>
      <c r="C894" s="191">
        <v>1.1698458241898049</v>
      </c>
      <c r="D894" s="192">
        <v>152803.29861902448</v>
      </c>
      <c r="E894" s="192">
        <v>1.0418730433200845</v>
      </c>
      <c r="F894" s="192">
        <v>112399.38997127276</v>
      </c>
      <c r="G894" s="192">
        <v>-0.12797278086972041</v>
      </c>
      <c r="H894" s="203">
        <v>0.12797278086972041</v>
      </c>
      <c r="I894" s="192">
        <v>-40403.908647751727</v>
      </c>
      <c r="K894" s="202">
        <v>-152511.502139096</v>
      </c>
      <c r="L894" s="202">
        <v>-197842.36285033196</v>
      </c>
      <c r="M894" s="221">
        <v>45330.86071123596</v>
      </c>
      <c r="N894" s="221">
        <v>45330.86071123596</v>
      </c>
      <c r="O894" s="221">
        <v>-315722.67456533544</v>
      </c>
      <c r="Q894" s="204">
        <f t="shared" si="13"/>
        <v>0</v>
      </c>
      <c r="R894" s="204">
        <f>IF(MAX(K895:L895)=K895,1,0)</f>
        <v>1</v>
      </c>
    </row>
    <row r="895" spans="1:18" x14ac:dyDescent="0.3">
      <c r="A895" s="110">
        <v>890</v>
      </c>
      <c r="C895" s="191">
        <v>1.3948353942918812</v>
      </c>
      <c r="D895" s="192">
        <v>121106.83421014177</v>
      </c>
      <c r="E895" s="192">
        <v>1.2384635668786506</v>
      </c>
      <c r="F895" s="192">
        <v>88915.442988178911</v>
      </c>
      <c r="G895" s="192">
        <v>-0.15637182741323064</v>
      </c>
      <c r="H895" s="203">
        <v>0.15637182741323064</v>
      </c>
      <c r="I895" s="192">
        <v>-32191.391221962855</v>
      </c>
      <c r="K895" s="202">
        <v>-136596.29031300696</v>
      </c>
      <c r="L895" s="202">
        <v>-174807.99689037917</v>
      </c>
      <c r="M895" s="221">
        <v>38211.706577372213</v>
      </c>
      <c r="N895" s="221">
        <v>38211.706577372235</v>
      </c>
      <c r="O895" s="221">
        <v>-205864.39229167145</v>
      </c>
      <c r="Q895" s="204">
        <f t="shared" si="13"/>
        <v>0</v>
      </c>
      <c r="R895" s="204">
        <f>IF(MAX(K896:L896)=K896,1,0)</f>
        <v>1</v>
      </c>
    </row>
    <row r="896" spans="1:18" x14ac:dyDescent="0.3">
      <c r="A896" s="110">
        <v>891</v>
      </c>
      <c r="C896" s="191">
        <v>1.1147154165113879</v>
      </c>
      <c r="D896" s="192">
        <v>146844.18107862785</v>
      </c>
      <c r="E896" s="192">
        <v>0.9859510667834761</v>
      </c>
      <c r="F896" s="192">
        <v>108485.09346848732</v>
      </c>
      <c r="G896" s="192">
        <v>-0.12876434972791184</v>
      </c>
      <c r="H896" s="203">
        <v>0.12876434972791184</v>
      </c>
      <c r="I896" s="192">
        <v>-38359.08761014053</v>
      </c>
      <c r="K896" s="202">
        <v>-146444.20953965114</v>
      </c>
      <c r="L896" s="202">
        <v>-189760.72461431628</v>
      </c>
      <c r="M896" s="221">
        <v>43316.515074665134</v>
      </c>
      <c r="N896" s="221">
        <v>43316.515074665134</v>
      </c>
      <c r="O896" s="221">
        <v>-297901.4586816614</v>
      </c>
      <c r="Q896" s="204">
        <f t="shared" si="13"/>
        <v>0</v>
      </c>
      <c r="R896" s="204">
        <f>IF(MAX(K897:L897)=K897,1,0)</f>
        <v>1</v>
      </c>
    </row>
    <row r="897" spans="1:18" x14ac:dyDescent="0.3">
      <c r="A897" s="110">
        <v>892</v>
      </c>
      <c r="C897" s="191">
        <v>1.1269051262729866</v>
      </c>
      <c r="D897" s="192">
        <v>118236.68498895882</v>
      </c>
      <c r="E897" s="192">
        <v>0.98547396222285633</v>
      </c>
      <c r="F897" s="192">
        <v>90831.955933656252</v>
      </c>
      <c r="G897" s="192">
        <v>-0.14143116405013023</v>
      </c>
      <c r="H897" s="203">
        <v>0.14143116405013023</v>
      </c>
      <c r="I897" s="192">
        <v>-27404.729055302567</v>
      </c>
      <c r="K897" s="202">
        <v>-128772.70347923622</v>
      </c>
      <c r="L897" s="202">
        <v>-161622.5323504688</v>
      </c>
      <c r="M897" s="221">
        <v>32849.828871232574</v>
      </c>
      <c r="N897" s="221">
        <v>32849.828871232581</v>
      </c>
      <c r="O897" s="221">
        <v>-193767.25942515023</v>
      </c>
      <c r="Q897" s="204">
        <f t="shared" si="13"/>
        <v>0</v>
      </c>
      <c r="R897" s="204">
        <f>IF(MAX(K898:L898)=K898,1,0)</f>
        <v>1</v>
      </c>
    </row>
    <row r="898" spans="1:18" x14ac:dyDescent="0.3">
      <c r="A898" s="110">
        <v>893</v>
      </c>
      <c r="C898" s="191">
        <v>1.2975360349341514</v>
      </c>
      <c r="D898" s="192">
        <v>118286.21738836465</v>
      </c>
      <c r="E898" s="192">
        <v>1.1421725819166506</v>
      </c>
      <c r="F898" s="192">
        <v>83029.033319801994</v>
      </c>
      <c r="G898" s="192">
        <v>-0.15536345301750076</v>
      </c>
      <c r="H898" s="203">
        <v>0.15536345301750076</v>
      </c>
      <c r="I898" s="192">
        <v>-35257.184068562652</v>
      </c>
      <c r="K898" s="202">
        <v>-127002.67772359305</v>
      </c>
      <c r="L898" s="202">
        <v>-168241.35473332947</v>
      </c>
      <c r="M898" s="221">
        <v>41238.677009736421</v>
      </c>
      <c r="N898" s="221">
        <v>41238.677009736435</v>
      </c>
      <c r="O898" s="221">
        <v>-226933.57661528766</v>
      </c>
      <c r="Q898" s="204">
        <f t="shared" si="13"/>
        <v>0</v>
      </c>
      <c r="R898" s="204">
        <f>IF(MAX(K899:L899)=K899,1,0)</f>
        <v>1</v>
      </c>
    </row>
    <row r="899" spans="1:18" x14ac:dyDescent="0.3">
      <c r="A899" s="110">
        <v>894</v>
      </c>
      <c r="C899" s="191">
        <v>1.2146573034610761</v>
      </c>
      <c r="D899" s="192">
        <v>103711.09061316012</v>
      </c>
      <c r="E899" s="192">
        <v>1.0959652617463158</v>
      </c>
      <c r="F899" s="192">
        <v>76219.367599663921</v>
      </c>
      <c r="G899" s="192">
        <v>-0.11869204171476033</v>
      </c>
      <c r="H899" s="203">
        <v>0.11869204171476033</v>
      </c>
      <c r="I899" s="192">
        <v>-27491.723013496201</v>
      </c>
      <c r="K899" s="202">
        <v>-118414.03017689708</v>
      </c>
      <c r="L899" s="202">
        <v>-150475.39679641154</v>
      </c>
      <c r="M899" s="221">
        <v>32061.366619514461</v>
      </c>
      <c r="N899" s="221">
        <v>32061.366619514476</v>
      </c>
      <c r="O899" s="221">
        <v>-231622.29426943441</v>
      </c>
      <c r="Q899" s="204">
        <f t="shared" si="13"/>
        <v>0</v>
      </c>
      <c r="R899" s="204">
        <f>IF(MAX(K900:L900)=K900,1,0)</f>
        <v>1</v>
      </c>
    </row>
    <row r="900" spans="1:18" x14ac:dyDescent="0.3">
      <c r="A900" s="110">
        <v>895</v>
      </c>
      <c r="C900" s="191">
        <v>1.8237755272560014</v>
      </c>
      <c r="D900" s="192">
        <v>160078.24622255203</v>
      </c>
      <c r="E900" s="192">
        <v>1.6299307542423935</v>
      </c>
      <c r="F900" s="192">
        <v>119460.25277434783</v>
      </c>
      <c r="G900" s="192">
        <v>-0.19384477301360792</v>
      </c>
      <c r="H900" s="203">
        <v>0.19384477301360792</v>
      </c>
      <c r="I900" s="192">
        <v>-40617.993448204201</v>
      </c>
      <c r="K900" s="202">
        <v>-182212.58681267998</v>
      </c>
      <c r="L900" s="202">
        <v>-230293.60402190808</v>
      </c>
      <c r="M900" s="221">
        <v>48081.017209228099</v>
      </c>
      <c r="N900" s="221">
        <v>48081.017209228106</v>
      </c>
      <c r="O900" s="221">
        <v>-209538.76040471214</v>
      </c>
      <c r="Q900" s="204">
        <f t="shared" si="13"/>
        <v>0</v>
      </c>
      <c r="R900" s="204">
        <f>IF(MAX(K901:L901)=K901,1,0)</f>
        <v>1</v>
      </c>
    </row>
    <row r="901" spans="1:18" x14ac:dyDescent="0.3">
      <c r="A901" s="110">
        <v>896</v>
      </c>
      <c r="C901" s="191">
        <v>1.3050859003088044</v>
      </c>
      <c r="D901" s="192">
        <v>98476.081993657324</v>
      </c>
      <c r="E901" s="192">
        <v>1.2206619398915455</v>
      </c>
      <c r="F901" s="192">
        <v>73478.171766086656</v>
      </c>
      <c r="G901" s="192">
        <v>-8.442396041725897E-2</v>
      </c>
      <c r="H901" s="203">
        <v>8.442396041725897E-2</v>
      </c>
      <c r="I901" s="192">
        <v>-24997.910227570668</v>
      </c>
      <c r="K901" s="202">
        <v>-120473.65645191116</v>
      </c>
      <c r="L901" s="202">
        <v>-148721.88915554629</v>
      </c>
      <c r="M901" s="221">
        <v>28248.232703635134</v>
      </c>
      <c r="N901" s="221">
        <v>28248.232703635138</v>
      </c>
      <c r="O901" s="221">
        <v>-296099.71036682487</v>
      </c>
      <c r="Q901" s="204">
        <f t="shared" si="13"/>
        <v>0</v>
      </c>
      <c r="R901" s="204">
        <f>IF(MAX(K902:L902)=K902,1,0)</f>
        <v>1</v>
      </c>
    </row>
    <row r="902" spans="1:18" x14ac:dyDescent="0.3">
      <c r="A902" s="110">
        <v>897</v>
      </c>
      <c r="C902" s="191">
        <v>1.3313548363586922</v>
      </c>
      <c r="D902" s="192">
        <v>101585.45701856614</v>
      </c>
      <c r="E902" s="192">
        <v>1.1225554877449375</v>
      </c>
      <c r="F902" s="192">
        <v>81558.890234218183</v>
      </c>
      <c r="G902" s="192">
        <v>-0.20879934861375471</v>
      </c>
      <c r="H902" s="203">
        <v>0.20879934861375471</v>
      </c>
      <c r="I902" s="192">
        <v>-20026.56678434796</v>
      </c>
      <c r="K902" s="202">
        <v>-124777.27651239827</v>
      </c>
      <c r="L902" s="202">
        <v>-152842.61821837578</v>
      </c>
      <c r="M902" s="221">
        <v>28065.341705977509</v>
      </c>
      <c r="N902" s="221">
        <v>28065.341705977517</v>
      </c>
      <c r="O902" s="221">
        <v>-95912.975386689999</v>
      </c>
      <c r="Q902" s="204">
        <f t="shared" si="13"/>
        <v>0</v>
      </c>
      <c r="R902" s="204">
        <f>IF(MAX(K903:L903)=K903,1,0)</f>
        <v>1</v>
      </c>
    </row>
    <row r="903" spans="1:18" x14ac:dyDescent="0.3">
      <c r="A903" s="110">
        <v>898</v>
      </c>
      <c r="C903" s="191">
        <v>1.4059398282850206</v>
      </c>
      <c r="D903" s="192">
        <v>132247.75401200456</v>
      </c>
      <c r="E903" s="192">
        <v>1.3249388581214263</v>
      </c>
      <c r="F903" s="192">
        <v>99058.010435378863</v>
      </c>
      <c r="G903" s="192">
        <v>-8.100097016359431E-2</v>
      </c>
      <c r="H903" s="203">
        <v>8.100097016359431E-2</v>
      </c>
      <c r="I903" s="192">
        <v>-33189.743576625697</v>
      </c>
      <c r="K903" s="202">
        <v>-150068.15647305379</v>
      </c>
      <c r="L903" s="202">
        <v>-186376.43740097785</v>
      </c>
      <c r="M903" s="221">
        <v>36308.280927924061</v>
      </c>
      <c r="N903" s="221">
        <v>36308.280927924076</v>
      </c>
      <c r="O903" s="221">
        <v>-409745.01304853195</v>
      </c>
      <c r="Q903" s="204">
        <f t="shared" ref="Q903:Q966" si="14">IF(MAX(K903:L903)=L903,1,0)</f>
        <v>0</v>
      </c>
      <c r="R903" s="204">
        <f>IF(MAX(K904:L904)=K904,1,0)</f>
        <v>1</v>
      </c>
    </row>
    <row r="904" spans="1:18" x14ac:dyDescent="0.3">
      <c r="A904" s="110">
        <v>899</v>
      </c>
      <c r="C904" s="191">
        <v>1.2976664092155907</v>
      </c>
      <c r="D904" s="192">
        <v>111516.88886617337</v>
      </c>
      <c r="E904" s="192">
        <v>1.1352847014555234</v>
      </c>
      <c r="F904" s="192">
        <v>79927.822052774252</v>
      </c>
      <c r="G904" s="192">
        <v>-0.16238170776006733</v>
      </c>
      <c r="H904" s="203">
        <v>0.16238170776006733</v>
      </c>
      <c r="I904" s="192">
        <v>-31589.066813399113</v>
      </c>
      <c r="K904" s="202">
        <v>-123636.28305881191</v>
      </c>
      <c r="L904" s="202">
        <v>-161477.0456209736</v>
      </c>
      <c r="M904" s="221">
        <v>37840.76256216169</v>
      </c>
      <c r="N904" s="221">
        <v>37840.762562161704</v>
      </c>
      <c r="O904" s="221">
        <v>-194535.87013676827</v>
      </c>
      <c r="Q904" s="204">
        <f t="shared" si="14"/>
        <v>0</v>
      </c>
      <c r="R904" s="204">
        <f>IF(MAX(K905:L905)=K905,1,0)</f>
        <v>1</v>
      </c>
    </row>
    <row r="905" spans="1:18" x14ac:dyDescent="0.3">
      <c r="A905" s="110">
        <v>900</v>
      </c>
      <c r="C905" s="191">
        <v>1.1979359005743822</v>
      </c>
      <c r="D905" s="192">
        <v>114498.29620896457</v>
      </c>
      <c r="E905" s="192">
        <v>0.99017483890891012</v>
      </c>
      <c r="F905" s="192">
        <v>81619.756641349901</v>
      </c>
      <c r="G905" s="192">
        <v>-0.20776106166547204</v>
      </c>
      <c r="H905" s="203">
        <v>0.20776106166547204</v>
      </c>
      <c r="I905" s="192">
        <v>-32878.539567614673</v>
      </c>
      <c r="K905" s="202">
        <v>-119741.48793934294</v>
      </c>
      <c r="L905" s="202">
        <v>-160618.82838107829</v>
      </c>
      <c r="M905" s="221">
        <v>40877.340441735345</v>
      </c>
      <c r="N905" s="221">
        <v>40877.340441735345</v>
      </c>
      <c r="O905" s="221">
        <v>-158251.6921315809</v>
      </c>
      <c r="Q905" s="204">
        <f t="shared" si="14"/>
        <v>0</v>
      </c>
      <c r="R905" s="204">
        <f>IF(MAX(K906:L906)=K906,1,0)</f>
        <v>1</v>
      </c>
    </row>
    <row r="906" spans="1:18" x14ac:dyDescent="0.3">
      <c r="A906" s="110">
        <v>901</v>
      </c>
      <c r="C906" s="191">
        <v>1.208551344051441</v>
      </c>
      <c r="D906" s="192">
        <v>151502.58910225835</v>
      </c>
      <c r="E906" s="192">
        <v>1.087097515802693</v>
      </c>
      <c r="F906" s="192">
        <v>118746.77992772011</v>
      </c>
      <c r="G906" s="192">
        <v>-0.12145382824874806</v>
      </c>
      <c r="H906" s="203">
        <v>0.12145382824874806</v>
      </c>
      <c r="I906" s="192">
        <v>-32755.809174538241</v>
      </c>
      <c r="K906" s="202">
        <v>-160600.03428612379</v>
      </c>
      <c r="L906" s="202">
        <v>-198031.81584823882</v>
      </c>
      <c r="M906" s="221">
        <v>37431.781562115037</v>
      </c>
      <c r="N906" s="221">
        <v>37431.781562115044</v>
      </c>
      <c r="O906" s="221">
        <v>-269697.62622427579</v>
      </c>
      <c r="Q906" s="204">
        <f t="shared" si="14"/>
        <v>0</v>
      </c>
      <c r="R906" s="204">
        <f>IF(MAX(K907:L907)=K907,1,0)</f>
        <v>1</v>
      </c>
    </row>
    <row r="907" spans="1:18" x14ac:dyDescent="0.3">
      <c r="A907" s="110">
        <v>902</v>
      </c>
      <c r="C907" s="191">
        <v>1.2076037630644956</v>
      </c>
      <c r="D907" s="192">
        <v>108776.16198145929</v>
      </c>
      <c r="E907" s="192">
        <v>1.0492866752662013</v>
      </c>
      <c r="F907" s="192">
        <v>81314.927182504805</v>
      </c>
      <c r="G907" s="192">
        <v>-0.15831708779829423</v>
      </c>
      <c r="H907" s="203">
        <v>0.15831708779829423</v>
      </c>
      <c r="I907" s="192">
        <v>-27461.23479895448</v>
      </c>
      <c r="K907" s="202">
        <v>-121712.46418025356</v>
      </c>
      <c r="L907" s="202">
        <v>-155268.90685944236</v>
      </c>
      <c r="M907" s="221">
        <v>33556.442679188796</v>
      </c>
      <c r="N907" s="221">
        <v>33556.442679188811</v>
      </c>
      <c r="O907" s="221">
        <v>-173457.17496990465</v>
      </c>
      <c r="Q907" s="204">
        <f t="shared" si="14"/>
        <v>0</v>
      </c>
      <c r="R907" s="204">
        <f>IF(MAX(K908:L908)=K908,1,0)</f>
        <v>1</v>
      </c>
    </row>
    <row r="908" spans="1:18" x14ac:dyDescent="0.3">
      <c r="A908" s="110">
        <v>903</v>
      </c>
      <c r="C908" s="191">
        <v>1.544495231142085</v>
      </c>
      <c r="D908" s="192">
        <v>146074.75766769063</v>
      </c>
      <c r="E908" s="192">
        <v>1.3975484923179706</v>
      </c>
      <c r="F908" s="192">
        <v>105616.35159587077</v>
      </c>
      <c r="G908" s="192">
        <v>-0.14694673882411435</v>
      </c>
      <c r="H908" s="203">
        <v>0.14694673882411435</v>
      </c>
      <c r="I908" s="192">
        <v>-40458.40607181986</v>
      </c>
      <c r="K908" s="202">
        <v>-159421.96855011265</v>
      </c>
      <c r="L908" s="202">
        <v>-205537.82406666089</v>
      </c>
      <c r="M908" s="221">
        <v>46115.855516548239</v>
      </c>
      <c r="N908" s="221">
        <v>46115.855516548261</v>
      </c>
      <c r="O908" s="221">
        <v>-275327.00892563479</v>
      </c>
      <c r="Q908" s="204">
        <f t="shared" si="14"/>
        <v>0</v>
      </c>
      <c r="R908" s="204">
        <f>IF(MAX(K909:L909)=K909,1,0)</f>
        <v>1</v>
      </c>
    </row>
    <row r="909" spans="1:18" x14ac:dyDescent="0.3">
      <c r="A909" s="110">
        <v>904</v>
      </c>
      <c r="C909" s="191">
        <v>1.1013709776830449</v>
      </c>
      <c r="D909" s="192">
        <v>152474.71600177191</v>
      </c>
      <c r="E909" s="192">
        <v>0.96200413977122978</v>
      </c>
      <c r="F909" s="192">
        <v>107730.82939237474</v>
      </c>
      <c r="G909" s="192">
        <v>-0.13936683791181514</v>
      </c>
      <c r="H909" s="203">
        <v>0.13936683791181514</v>
      </c>
      <c r="I909" s="192">
        <v>-44743.886609397174</v>
      </c>
      <c r="K909" s="202">
        <v>-144767.98877356708</v>
      </c>
      <c r="L909" s="202">
        <v>-194877.49864256915</v>
      </c>
      <c r="M909" s="221">
        <v>50109.509869002068</v>
      </c>
      <c r="N909" s="221">
        <v>50109.509869002053</v>
      </c>
      <c r="O909" s="221">
        <v>-321051.17171208997</v>
      </c>
      <c r="Q909" s="204">
        <f t="shared" si="14"/>
        <v>0</v>
      </c>
      <c r="R909" s="204">
        <f>IF(MAX(K910:L910)=K910,1,0)</f>
        <v>1</v>
      </c>
    </row>
    <row r="910" spans="1:18" x14ac:dyDescent="0.3">
      <c r="A910" s="110">
        <v>905</v>
      </c>
      <c r="C910" s="191">
        <v>0.95981100596779889</v>
      </c>
      <c r="D910" s="192">
        <v>138474.03971869076</v>
      </c>
      <c r="E910" s="192">
        <v>0.82829081476479693</v>
      </c>
      <c r="F910" s="192">
        <v>106011.77360728737</v>
      </c>
      <c r="G910" s="192">
        <v>-0.13152019120300196</v>
      </c>
      <c r="H910" s="203">
        <v>0.13152019120300196</v>
      </c>
      <c r="I910" s="192">
        <v>-32462.266111403398</v>
      </c>
      <c r="K910" s="202">
        <v>-137900.96997573203</v>
      </c>
      <c r="L910" s="202">
        <v>-175426.76344845101</v>
      </c>
      <c r="M910" s="221">
        <v>37525.793472718971</v>
      </c>
      <c r="N910" s="221">
        <v>37525.793472718971</v>
      </c>
      <c r="O910" s="221">
        <v>-246823.44067838037</v>
      </c>
      <c r="Q910" s="204">
        <f t="shared" si="14"/>
        <v>0</v>
      </c>
      <c r="R910" s="204">
        <f>IF(MAX(K911:L911)=K911,1,0)</f>
        <v>1</v>
      </c>
    </row>
    <row r="911" spans="1:18" x14ac:dyDescent="0.3">
      <c r="A911" s="110">
        <v>906</v>
      </c>
      <c r="C911" s="191">
        <v>1.6936998911156445</v>
      </c>
      <c r="D911" s="192">
        <v>134955.15240541866</v>
      </c>
      <c r="E911" s="192">
        <v>1.5863000195395567</v>
      </c>
      <c r="F911" s="192">
        <v>94789.911283236259</v>
      </c>
      <c r="G911" s="192">
        <v>-0.10739987157608777</v>
      </c>
      <c r="H911" s="203">
        <v>0.10739987157608777</v>
      </c>
      <c r="I911" s="192">
        <v>-40165.2411221824</v>
      </c>
      <c r="K911" s="202">
        <v>-155862.46203550918</v>
      </c>
      <c r="L911" s="202">
        <v>-200162.59821337098</v>
      </c>
      <c r="M911" s="221">
        <v>44300.136177861801</v>
      </c>
      <c r="N911" s="221">
        <v>44300.136177861779</v>
      </c>
      <c r="O911" s="221">
        <v>-373978.48370542243</v>
      </c>
      <c r="Q911" s="204">
        <f t="shared" si="14"/>
        <v>0</v>
      </c>
      <c r="R911" s="204">
        <f>IF(MAX(K912:L912)=K912,1,0)</f>
        <v>1</v>
      </c>
    </row>
    <row r="912" spans="1:18" x14ac:dyDescent="0.3">
      <c r="A912" s="110">
        <v>907</v>
      </c>
      <c r="C912" s="191">
        <v>1.5588458033895261</v>
      </c>
      <c r="D912" s="192">
        <v>97573.99054302249</v>
      </c>
      <c r="E912" s="192">
        <v>1.524367384677985</v>
      </c>
      <c r="F912" s="192">
        <v>75339.659379596647</v>
      </c>
      <c r="G912" s="192">
        <v>-3.4478418711541003E-2</v>
      </c>
      <c r="H912" s="203">
        <v>3.4478418711541003E-2</v>
      </c>
      <c r="I912" s="192">
        <v>-22234.331163425843</v>
      </c>
      <c r="K912" s="202">
        <v>-134027.80368969907</v>
      </c>
      <c r="L912" s="202">
        <v>-157589.55397351924</v>
      </c>
      <c r="M912" s="221">
        <v>23561.750283820176</v>
      </c>
      <c r="N912" s="221">
        <v>23561.750283820173</v>
      </c>
      <c r="O912" s="221">
        <v>-644876.76623009739</v>
      </c>
      <c r="Q912" s="204">
        <f t="shared" si="14"/>
        <v>0</v>
      </c>
      <c r="R912" s="204">
        <f>IF(MAX(K913:L913)=K913,1,0)</f>
        <v>1</v>
      </c>
    </row>
    <row r="913" spans="1:18" x14ac:dyDescent="0.3">
      <c r="A913" s="110">
        <v>908</v>
      </c>
      <c r="C913" s="191">
        <v>1.5474575641571124</v>
      </c>
      <c r="D913" s="192">
        <v>104415.10110440393</v>
      </c>
      <c r="E913" s="192">
        <v>1.3515674594087939</v>
      </c>
      <c r="F913" s="192">
        <v>74868.171643594818</v>
      </c>
      <c r="G913" s="192">
        <v>-0.19589010474831858</v>
      </c>
      <c r="H913" s="203">
        <v>0.19589010474831858</v>
      </c>
      <c r="I913" s="192">
        <v>-29546.929460809115</v>
      </c>
      <c r="K913" s="202">
        <v>-126903.51883083337</v>
      </c>
      <c r="L913" s="202">
        <v>-163992.21732445277</v>
      </c>
      <c r="M913" s="221">
        <v>37088.698493619391</v>
      </c>
      <c r="N913" s="221">
        <v>37088.698493619377</v>
      </c>
      <c r="O913" s="221">
        <v>-150834.21134911987</v>
      </c>
      <c r="Q913" s="204">
        <f t="shared" si="14"/>
        <v>0</v>
      </c>
      <c r="R913" s="204">
        <f>IF(MAX(K914:L914)=K914,1,0)</f>
        <v>1</v>
      </c>
    </row>
    <row r="914" spans="1:18" x14ac:dyDescent="0.3">
      <c r="A914" s="110">
        <v>909</v>
      </c>
      <c r="C914" s="191">
        <v>1.4771910311512531</v>
      </c>
      <c r="D914" s="192">
        <v>98813.222281699418</v>
      </c>
      <c r="E914" s="192">
        <v>1.5060855471450418</v>
      </c>
      <c r="F914" s="192">
        <v>76527.13124215162</v>
      </c>
      <c r="G914" s="192">
        <v>2.8894515993788783E-2</v>
      </c>
      <c r="H914" s="203">
        <v>-2.8894515993788783E-2</v>
      </c>
      <c r="I914" s="192">
        <v>-22286.091039547799</v>
      </c>
      <c r="K914" s="202">
        <v>-134511.42480723571</v>
      </c>
      <c r="L914" s="202">
        <v>-155685.07698102266</v>
      </c>
      <c r="M914" s="221">
        <v>21173.652173786948</v>
      </c>
      <c r="N914" s="221">
        <v>21173.65217378693</v>
      </c>
      <c r="O914" s="221">
        <v>771291.377378962</v>
      </c>
      <c r="Q914" s="204">
        <f t="shared" si="14"/>
        <v>0</v>
      </c>
      <c r="R914" s="204">
        <f>IF(MAX(K915:L915)=K915,1,0)</f>
        <v>1</v>
      </c>
    </row>
    <row r="915" spans="1:18" x14ac:dyDescent="0.3">
      <c r="A915" s="110">
        <v>910</v>
      </c>
      <c r="C915" s="191">
        <v>0.89451818009545359</v>
      </c>
      <c r="D915" s="192">
        <v>102194.11405479808</v>
      </c>
      <c r="E915" s="192">
        <v>0.72740111887165004</v>
      </c>
      <c r="F915" s="192">
        <v>72185.691387197367</v>
      </c>
      <c r="G915" s="192">
        <v>-0.16711706122380354</v>
      </c>
      <c r="H915" s="203">
        <v>0.16711706122380354</v>
      </c>
      <c r="I915" s="192">
        <v>-30008.422667600709</v>
      </c>
      <c r="K915" s="202">
        <v>-100190.63446375589</v>
      </c>
      <c r="L915" s="202">
        <v>-136633.06398847303</v>
      </c>
      <c r="M915" s="221">
        <v>36442.429524717139</v>
      </c>
      <c r="N915" s="221">
        <v>36442.429524717147</v>
      </c>
      <c r="O915" s="221">
        <v>-179565.28464447663</v>
      </c>
      <c r="Q915" s="204">
        <f t="shared" si="14"/>
        <v>0</v>
      </c>
      <c r="R915" s="204">
        <f>IF(MAX(K916:L916)=K916,1,0)</f>
        <v>1</v>
      </c>
    </row>
    <row r="916" spans="1:18" x14ac:dyDescent="0.3">
      <c r="A916" s="110">
        <v>911</v>
      </c>
      <c r="C916" s="191">
        <v>1.0301969352313001</v>
      </c>
      <c r="D916" s="192">
        <v>126287.47450634603</v>
      </c>
      <c r="E916" s="192">
        <v>0.87590791348917385</v>
      </c>
      <c r="F916" s="192">
        <v>86266.498124206846</v>
      </c>
      <c r="G916" s="192">
        <v>-0.15428902174212622</v>
      </c>
      <c r="H916" s="203">
        <v>0.15428902174212622</v>
      </c>
      <c r="I916" s="192">
        <v>-40020.976382139183</v>
      </c>
      <c r="K916" s="202">
        <v>-119988.95279354004</v>
      </c>
      <c r="L916" s="202">
        <v>-165950.05651275109</v>
      </c>
      <c r="M916" s="221">
        <v>45961.103719211053</v>
      </c>
      <c r="N916" s="221">
        <v>45961.103719211038</v>
      </c>
      <c r="O916" s="221">
        <v>-259389.65669915889</v>
      </c>
      <c r="Q916" s="204">
        <f t="shared" si="14"/>
        <v>0</v>
      </c>
      <c r="R916" s="204">
        <f>IF(MAX(K917:L917)=K917,1,0)</f>
        <v>1</v>
      </c>
    </row>
    <row r="917" spans="1:18" x14ac:dyDescent="0.3">
      <c r="A917" s="110">
        <v>912</v>
      </c>
      <c r="C917" s="191">
        <v>1.3738504159148701</v>
      </c>
      <c r="D917" s="192">
        <v>116308.09765573857</v>
      </c>
      <c r="E917" s="192">
        <v>1.2465388307150786</v>
      </c>
      <c r="F917" s="192">
        <v>83231.972221889155</v>
      </c>
      <c r="G917" s="192">
        <v>-0.12731158519979147</v>
      </c>
      <c r="H917" s="203">
        <v>0.12731158519979147</v>
      </c>
      <c r="I917" s="192">
        <v>-33076.125433849418</v>
      </c>
      <c r="K917" s="202">
        <v>-131223.71720441969</v>
      </c>
      <c r="L917" s="202">
        <v>-169201.33866846107</v>
      </c>
      <c r="M917" s="221">
        <v>37977.621464041382</v>
      </c>
      <c r="N917" s="221">
        <v>37977.621464041389</v>
      </c>
      <c r="O917" s="221">
        <v>-259804.52118275562</v>
      </c>
      <c r="Q917" s="204">
        <f t="shared" si="14"/>
        <v>0</v>
      </c>
      <c r="R917" s="204">
        <f>IF(MAX(K918:L918)=K918,1,0)</f>
        <v>1</v>
      </c>
    </row>
    <row r="918" spans="1:18" x14ac:dyDescent="0.3">
      <c r="A918" s="110">
        <v>913</v>
      </c>
      <c r="C918" s="191">
        <v>1.3339698789560346</v>
      </c>
      <c r="D918" s="192">
        <v>139110.33386932837</v>
      </c>
      <c r="E918" s="192">
        <v>1.1635119937457252</v>
      </c>
      <c r="F918" s="192">
        <v>91040.567879751965</v>
      </c>
      <c r="G918" s="192">
        <v>-0.17045788521030936</v>
      </c>
      <c r="H918" s="203">
        <v>0.17045788521030936</v>
      </c>
      <c r="I918" s="192">
        <v>-48069.765989576408</v>
      </c>
      <c r="K918" s="202">
        <v>-135835.77963896238</v>
      </c>
      <c r="L918" s="202">
        <v>-190468.1742091357</v>
      </c>
      <c r="M918" s="221">
        <v>54632.394570173317</v>
      </c>
      <c r="N918" s="221">
        <v>54632.394570173317</v>
      </c>
      <c r="O918" s="221">
        <v>-282003.7684397432</v>
      </c>
      <c r="Q918" s="204">
        <f t="shared" si="14"/>
        <v>0</v>
      </c>
      <c r="R918" s="204">
        <f>IF(MAX(K919:L919)=K919,1,0)</f>
        <v>1</v>
      </c>
    </row>
    <row r="919" spans="1:18" x14ac:dyDescent="0.3">
      <c r="A919" s="110">
        <v>914</v>
      </c>
      <c r="C919" s="191">
        <v>1.3769862922039338</v>
      </c>
      <c r="D919" s="192">
        <v>119779.10649057321</v>
      </c>
      <c r="E919" s="192">
        <v>1.2918093435512206</v>
      </c>
      <c r="F919" s="192">
        <v>105928.70008255735</v>
      </c>
      <c r="G919" s="192">
        <v>-8.5176948652713191E-2</v>
      </c>
      <c r="H919" s="203">
        <v>8.5176948652713191E-2</v>
      </c>
      <c r="I919" s="192">
        <v>-13850.406408015857</v>
      </c>
      <c r="K919" s="202">
        <v>-155663.35980927933</v>
      </c>
      <c r="L919" s="202">
        <v>-172793.07874042465</v>
      </c>
      <c r="M919" s="221">
        <v>17129.718931145326</v>
      </c>
      <c r="N919" s="221">
        <v>17129.718931145315</v>
      </c>
      <c r="O919" s="221">
        <v>-162607.44986871129</v>
      </c>
      <c r="Q919" s="204">
        <f t="shared" si="14"/>
        <v>0</v>
      </c>
      <c r="R919" s="204">
        <f>IF(MAX(K920:L920)=K920,1,0)</f>
        <v>1</v>
      </c>
    </row>
    <row r="920" spans="1:18" x14ac:dyDescent="0.3">
      <c r="A920" s="110">
        <v>915</v>
      </c>
      <c r="C920" s="191">
        <v>1.360512923005597</v>
      </c>
      <c r="D920" s="192">
        <v>76405.213160097977</v>
      </c>
      <c r="E920" s="192">
        <v>1.3013712590959319</v>
      </c>
      <c r="F920" s="192">
        <v>61499.882984264674</v>
      </c>
      <c r="G920" s="192">
        <v>-5.9141663909665132E-2</v>
      </c>
      <c r="H920" s="203">
        <v>5.9141663909665132E-2</v>
      </c>
      <c r="I920" s="192">
        <v>-14905.330175833304</v>
      </c>
      <c r="K920" s="202">
        <v>-111602.67645945805</v>
      </c>
      <c r="L920" s="202">
        <v>-128784.96069581347</v>
      </c>
      <c r="M920" s="221">
        <v>17182.284236355423</v>
      </c>
      <c r="N920" s="221">
        <v>17182.284236355412</v>
      </c>
      <c r="O920" s="221">
        <v>-252027.57566307537</v>
      </c>
      <c r="Q920" s="204">
        <f t="shared" si="14"/>
        <v>0</v>
      </c>
      <c r="R920" s="204">
        <f>IF(MAX(K921:L921)=K921,1,0)</f>
        <v>1</v>
      </c>
    </row>
    <row r="921" spans="1:18" x14ac:dyDescent="0.3">
      <c r="A921" s="110">
        <v>916</v>
      </c>
      <c r="C921" s="191">
        <v>1.1250319202539214</v>
      </c>
      <c r="D921" s="192">
        <v>113388.84442913176</v>
      </c>
      <c r="E921" s="192">
        <v>1.0256326764140355</v>
      </c>
      <c r="F921" s="192">
        <v>87449.039166198709</v>
      </c>
      <c r="G921" s="192">
        <v>-9.9399243839885854E-2</v>
      </c>
      <c r="H921" s="203">
        <v>9.9399243839885854E-2</v>
      </c>
      <c r="I921" s="192">
        <v>-25939.805262933049</v>
      </c>
      <c r="K921" s="202">
        <v>-126935.89720813907</v>
      </c>
      <c r="L921" s="202">
        <v>-156702.57335890771</v>
      </c>
      <c r="M921" s="221">
        <v>29766.676150768646</v>
      </c>
      <c r="N921" s="221">
        <v>29766.676150768653</v>
      </c>
      <c r="O921" s="221">
        <v>-260965.82087402363</v>
      </c>
      <c r="Q921" s="204">
        <f t="shared" si="14"/>
        <v>0</v>
      </c>
      <c r="R921" s="204">
        <f>IF(MAX(K922:L922)=K922,1,0)</f>
        <v>1</v>
      </c>
    </row>
    <row r="922" spans="1:18" x14ac:dyDescent="0.3">
      <c r="A922" s="110">
        <v>917</v>
      </c>
      <c r="C922" s="191">
        <v>1.3444295872336185</v>
      </c>
      <c r="D922" s="192">
        <v>81912.696805151078</v>
      </c>
      <c r="E922" s="192">
        <v>1.2684838587193941</v>
      </c>
      <c r="F922" s="192">
        <v>66786.793401271134</v>
      </c>
      <c r="G922" s="192">
        <v>-7.5945728514224431E-2</v>
      </c>
      <c r="H922" s="203">
        <v>7.5945728514224431E-2</v>
      </c>
      <c r="I922" s="192">
        <v>-15125.903403879944</v>
      </c>
      <c r="K922" s="202">
        <v>-115623.4219619678</v>
      </c>
      <c r="L922" s="202">
        <v>-133673.23591364539</v>
      </c>
      <c r="M922" s="221">
        <v>18049.813951677585</v>
      </c>
      <c r="N922" s="221">
        <v>18049.813951677585</v>
      </c>
      <c r="O922" s="221">
        <v>-199167.26983594478</v>
      </c>
      <c r="Q922" s="204">
        <f t="shared" si="14"/>
        <v>0</v>
      </c>
      <c r="R922" s="204">
        <f>IF(MAX(K923:L923)=K923,1,0)</f>
        <v>1</v>
      </c>
    </row>
    <row r="923" spans="1:18" x14ac:dyDescent="0.3">
      <c r="A923" s="110">
        <v>918</v>
      </c>
      <c r="C923" s="191">
        <v>1.4435463801023103</v>
      </c>
      <c r="D923" s="192">
        <v>91138.733222911964</v>
      </c>
      <c r="E923" s="192">
        <v>1.2823201463633489</v>
      </c>
      <c r="F923" s="192">
        <v>64796.13477959497</v>
      </c>
      <c r="G923" s="192">
        <v>-0.16122623373896139</v>
      </c>
      <c r="H923" s="203">
        <v>0.16122623373896139</v>
      </c>
      <c r="I923" s="192">
        <v>-26342.598443316994</v>
      </c>
      <c r="K923" s="202">
        <v>-114165.46041458391</v>
      </c>
      <c r="L923" s="202">
        <v>-146715.26885685092</v>
      </c>
      <c r="M923" s="221">
        <v>32549.808442267007</v>
      </c>
      <c r="N923" s="221">
        <v>32549.808442267007</v>
      </c>
      <c r="O923" s="221">
        <v>-163389.03311459746</v>
      </c>
      <c r="Q923" s="204">
        <f t="shared" si="14"/>
        <v>0</v>
      </c>
      <c r="R923" s="204">
        <f>IF(MAX(K924:L924)=K924,1,0)</f>
        <v>1</v>
      </c>
    </row>
    <row r="924" spans="1:18" x14ac:dyDescent="0.3">
      <c r="A924" s="110">
        <v>919</v>
      </c>
      <c r="C924" s="191">
        <v>1.0597969400632299</v>
      </c>
      <c r="D924" s="192">
        <v>117345.29585780588</v>
      </c>
      <c r="E924" s="192">
        <v>0.9254613155706598</v>
      </c>
      <c r="F924" s="192">
        <v>89599.245914912317</v>
      </c>
      <c r="G924" s="192">
        <v>-0.13433562449257008</v>
      </c>
      <c r="H924" s="203">
        <v>0.13433562449257008</v>
      </c>
      <c r="I924" s="192">
        <v>-27746.049942893558</v>
      </c>
      <c r="K924" s="202">
        <v>-125229.50656438273</v>
      </c>
      <c r="L924" s="202">
        <v>-158147.47805024023</v>
      </c>
      <c r="M924" s="221">
        <v>32917.971485857503</v>
      </c>
      <c r="N924" s="221">
        <v>32917.971485857503</v>
      </c>
      <c r="O924" s="221">
        <v>-206542.75474357253</v>
      </c>
      <c r="Q924" s="204">
        <f t="shared" si="14"/>
        <v>0</v>
      </c>
      <c r="R924" s="204">
        <f>IF(MAX(K925:L925)=K925,1,0)</f>
        <v>1</v>
      </c>
    </row>
    <row r="925" spans="1:18" x14ac:dyDescent="0.3">
      <c r="A925" s="110">
        <v>920</v>
      </c>
      <c r="C925" s="191">
        <v>1.6579715648315456</v>
      </c>
      <c r="D925" s="192">
        <v>111486.85273485509</v>
      </c>
      <c r="E925" s="192">
        <v>1.4413046923084836</v>
      </c>
      <c r="F925" s="192">
        <v>79746.383450319248</v>
      </c>
      <c r="G925" s="192">
        <v>-0.21666687252306205</v>
      </c>
      <c r="H925" s="203">
        <v>0.21666687252306205</v>
      </c>
      <c r="I925" s="192">
        <v>-31740.469284535837</v>
      </c>
      <c r="K925" s="202">
        <v>-135236.61410419588</v>
      </c>
      <c r="L925" s="202">
        <v>-175318.75798086959</v>
      </c>
      <c r="M925" s="221">
        <v>40082.143876673712</v>
      </c>
      <c r="N925" s="221">
        <v>40082.143876673726</v>
      </c>
      <c r="O925" s="221">
        <v>-146494.33443572404</v>
      </c>
      <c r="Q925" s="204">
        <f t="shared" si="14"/>
        <v>0</v>
      </c>
      <c r="R925" s="204">
        <f>IF(MAX(K926:L926)=K926,1,0)</f>
        <v>1</v>
      </c>
    </row>
    <row r="926" spans="1:18" x14ac:dyDescent="0.3">
      <c r="A926" s="110">
        <v>921</v>
      </c>
      <c r="C926" s="191">
        <v>1.2188593405861867</v>
      </c>
      <c r="D926" s="192">
        <v>109807.37728172629</v>
      </c>
      <c r="E926" s="192">
        <v>1.0320162203822609</v>
      </c>
      <c r="F926" s="192">
        <v>77003.571439395309</v>
      </c>
      <c r="G926" s="192">
        <v>-0.18684312020392579</v>
      </c>
      <c r="H926" s="203">
        <v>0.18684312020392579</v>
      </c>
      <c r="I926" s="192">
        <v>-32803.805842330985</v>
      </c>
      <c r="K926" s="202">
        <v>-116736.19592411235</v>
      </c>
      <c r="L926" s="202">
        <v>-156733.46189429448</v>
      </c>
      <c r="M926" s="221">
        <v>39997.265970182125</v>
      </c>
      <c r="N926" s="221">
        <v>39997.265970182125</v>
      </c>
      <c r="O926" s="221">
        <v>-175568.71136881036</v>
      </c>
      <c r="Q926" s="204">
        <f t="shared" si="14"/>
        <v>0</v>
      </c>
      <c r="R926" s="204">
        <f>IF(MAX(K927:L927)=K927,1,0)</f>
        <v>1</v>
      </c>
    </row>
    <row r="927" spans="1:18" x14ac:dyDescent="0.3">
      <c r="A927" s="110">
        <v>922</v>
      </c>
      <c r="C927" s="191">
        <v>1.3861890937383055</v>
      </c>
      <c r="D927" s="192">
        <v>127304.48646898262</v>
      </c>
      <c r="E927" s="192">
        <v>1.3098206463439346</v>
      </c>
      <c r="F927" s="192">
        <v>98540.657644385661</v>
      </c>
      <c r="G927" s="192">
        <v>-7.6368447394370875E-2</v>
      </c>
      <c r="H927" s="203">
        <v>7.6368447394370875E-2</v>
      </c>
      <c r="I927" s="192">
        <v>-28763.82882459696</v>
      </c>
      <c r="K927" s="202">
        <v>-148968.75252862714</v>
      </c>
      <c r="L927" s="202">
        <v>-180672.76657790737</v>
      </c>
      <c r="M927" s="221">
        <v>31704.014049280231</v>
      </c>
      <c r="N927" s="221">
        <v>31704.014049280238</v>
      </c>
      <c r="O927" s="221">
        <v>-376645.45772495493</v>
      </c>
      <c r="Q927" s="204">
        <f t="shared" si="14"/>
        <v>0</v>
      </c>
      <c r="R927" s="204">
        <f>IF(MAX(K928:L928)=K928,1,0)</f>
        <v>1</v>
      </c>
    </row>
    <row r="928" spans="1:18" x14ac:dyDescent="0.3">
      <c r="A928" s="110">
        <v>923</v>
      </c>
      <c r="C928" s="191">
        <v>1.4182645975999084</v>
      </c>
      <c r="D928" s="192">
        <v>121333.2535902058</v>
      </c>
      <c r="E928" s="192">
        <v>1.2148362818719598</v>
      </c>
      <c r="F928" s="192">
        <v>92093.579308041473</v>
      </c>
      <c r="G928" s="192">
        <v>-0.20342831572794862</v>
      </c>
      <c r="H928" s="203">
        <v>0.20342831572794862</v>
      </c>
      <c r="I928" s="192">
        <v>-29239.674282164327</v>
      </c>
      <c r="K928" s="202">
        <v>-138864.77616011194</v>
      </c>
      <c r="L928" s="202">
        <v>-175936.44059780228</v>
      </c>
      <c r="M928" s="221">
        <v>37071.664437690342</v>
      </c>
      <c r="N928" s="221">
        <v>37071.66443769035</v>
      </c>
      <c r="O928" s="221">
        <v>-143734.53458301994</v>
      </c>
      <c r="Q928" s="204">
        <f t="shared" si="14"/>
        <v>0</v>
      </c>
      <c r="R928" s="204">
        <f>IF(MAX(K929:L929)=K929,1,0)</f>
        <v>1</v>
      </c>
    </row>
    <row r="929" spans="1:18" x14ac:dyDescent="0.3">
      <c r="A929" s="110">
        <v>924</v>
      </c>
      <c r="C929" s="191">
        <v>1.0860578567040162</v>
      </c>
      <c r="D929" s="192">
        <v>109099.13128600724</v>
      </c>
      <c r="E929" s="192">
        <v>1.0573794023109258</v>
      </c>
      <c r="F929" s="192">
        <v>86308.371324892811</v>
      </c>
      <c r="G929" s="192">
        <v>-2.8678454393090469E-2</v>
      </c>
      <c r="H929" s="203">
        <v>2.8678454393090469E-2</v>
      </c>
      <c r="I929" s="192">
        <v>-22790.759961114425</v>
      </c>
      <c r="K929" s="202">
        <v>-127017.47831386345</v>
      </c>
      <c r="L929" s="202">
        <v>-150912.35876911186</v>
      </c>
      <c r="M929" s="221">
        <v>23894.880455248407</v>
      </c>
      <c r="N929" s="221">
        <v>23894.880455248407</v>
      </c>
      <c r="O929" s="221">
        <v>-794699.72993403114</v>
      </c>
      <c r="Q929" s="204">
        <f t="shared" si="14"/>
        <v>0</v>
      </c>
      <c r="R929" s="204">
        <f>IF(MAX(K930:L930)=K930,1,0)</f>
        <v>1</v>
      </c>
    </row>
    <row r="930" spans="1:18" x14ac:dyDescent="0.3">
      <c r="A930" s="110">
        <v>925</v>
      </c>
      <c r="C930" s="191">
        <v>1.3896368954960352</v>
      </c>
      <c r="D930" s="192">
        <v>133708.54595396726</v>
      </c>
      <c r="E930" s="192">
        <v>1.2338903140263489</v>
      </c>
      <c r="F930" s="192">
        <v>101393.90382057083</v>
      </c>
      <c r="G930" s="192">
        <v>-0.15574658146968634</v>
      </c>
      <c r="H930" s="203">
        <v>0.15574658146968634</v>
      </c>
      <c r="I930" s="192">
        <v>-32314.642133396424</v>
      </c>
      <c r="K930" s="202">
        <v>-148898.68091058527</v>
      </c>
      <c r="L930" s="202">
        <v>-187209.56643056462</v>
      </c>
      <c r="M930" s="221">
        <v>38310.885519979347</v>
      </c>
      <c r="N930" s="221">
        <v>38310.885519979347</v>
      </c>
      <c r="O930" s="221">
        <v>-207482.19208706016</v>
      </c>
      <c r="Q930" s="204">
        <f t="shared" si="14"/>
        <v>0</v>
      </c>
      <c r="R930" s="204">
        <f>IF(MAX(K931:L931)=K931,1,0)</f>
        <v>1</v>
      </c>
    </row>
    <row r="931" spans="1:18" x14ac:dyDescent="0.3">
      <c r="A931" s="110">
        <v>926</v>
      </c>
      <c r="C931" s="191">
        <v>1.4066308514836232</v>
      </c>
      <c r="D931" s="192">
        <v>119587.60526804926</v>
      </c>
      <c r="E931" s="192">
        <v>1.278360274232083</v>
      </c>
      <c r="F931" s="192">
        <v>91882.106605379697</v>
      </c>
      <c r="G931" s="192">
        <v>-0.12827057725154023</v>
      </c>
      <c r="H931" s="203">
        <v>0.12827057725154023</v>
      </c>
      <c r="I931" s="192">
        <v>-27705.498662669561</v>
      </c>
      <c r="K931" s="202">
        <v>-141098.97716331488</v>
      </c>
      <c r="L931" s="202">
        <v>-173742.89305016876</v>
      </c>
      <c r="M931" s="221">
        <v>32643.91588685388</v>
      </c>
      <c r="N931" s="221">
        <v>32643.915886853858</v>
      </c>
      <c r="O931" s="221">
        <v>-215992.62478049606</v>
      </c>
      <c r="Q931" s="204">
        <f t="shared" si="14"/>
        <v>0</v>
      </c>
      <c r="R931" s="204">
        <f>IF(MAX(K932:L932)=K932,1,0)</f>
        <v>1</v>
      </c>
    </row>
    <row r="932" spans="1:18" x14ac:dyDescent="0.3">
      <c r="A932" s="110">
        <v>927</v>
      </c>
      <c r="C932" s="191">
        <v>1.1523503842585201</v>
      </c>
      <c r="D932" s="192">
        <v>124996.9633682314</v>
      </c>
      <c r="E932" s="192">
        <v>1.0921753552950193</v>
      </c>
      <c r="F932" s="192">
        <v>103527.151498133</v>
      </c>
      <c r="G932" s="192">
        <v>-6.0175028963500798E-2</v>
      </c>
      <c r="H932" s="203">
        <v>6.0175028963500798E-2</v>
      </c>
      <c r="I932" s="192">
        <v>-21469.811870098405</v>
      </c>
      <c r="K932" s="202">
        <v>-145575.90267699125</v>
      </c>
      <c r="L932" s="202">
        <v>-169362.45316218442</v>
      </c>
      <c r="M932" s="221">
        <v>23786.550485193176</v>
      </c>
      <c r="N932" s="221">
        <v>23786.550485193187</v>
      </c>
      <c r="O932" s="221">
        <v>-356789.3898833174</v>
      </c>
      <c r="Q932" s="204">
        <f t="shared" si="14"/>
        <v>0</v>
      </c>
      <c r="R932" s="204">
        <f>IF(MAX(K933:L933)=K933,1,0)</f>
        <v>1</v>
      </c>
    </row>
    <row r="933" spans="1:18" x14ac:dyDescent="0.3">
      <c r="A933" s="110">
        <v>928</v>
      </c>
      <c r="C933" s="191">
        <v>1.3939576262807962</v>
      </c>
      <c r="D933" s="192">
        <v>94110.647526796718</v>
      </c>
      <c r="E933" s="192">
        <v>1.151358366882657</v>
      </c>
      <c r="F933" s="192">
        <v>60930.557274681014</v>
      </c>
      <c r="G933" s="192">
        <v>-0.2425992593981392</v>
      </c>
      <c r="H933" s="203">
        <v>0.2425992593981392</v>
      </c>
      <c r="I933" s="192">
        <v>-33180.090252115704</v>
      </c>
      <c r="K933" s="202">
        <v>-105257.85439966331</v>
      </c>
      <c r="L933" s="202">
        <v>-147778.01613860737</v>
      </c>
      <c r="M933" s="221">
        <v>42520.161738944065</v>
      </c>
      <c r="N933" s="221">
        <v>42520.161738944065</v>
      </c>
      <c r="O933" s="221">
        <v>-136769.13249624785</v>
      </c>
      <c r="Q933" s="204">
        <f t="shared" si="14"/>
        <v>0</v>
      </c>
      <c r="R933" s="204">
        <f>IF(MAX(K934:L934)=K934,1,0)</f>
        <v>1</v>
      </c>
    </row>
    <row r="934" spans="1:18" x14ac:dyDescent="0.3">
      <c r="A934" s="110">
        <v>929</v>
      </c>
      <c r="C934" s="191">
        <v>1.3743509401739897</v>
      </c>
      <c r="D934" s="192">
        <v>140609.55008256761</v>
      </c>
      <c r="E934" s="192">
        <v>1.2303916364084013</v>
      </c>
      <c r="F934" s="192">
        <v>100824.44844776391</v>
      </c>
      <c r="G934" s="192">
        <v>-0.14395930376558841</v>
      </c>
      <c r="H934" s="203">
        <v>0.14395930376558841</v>
      </c>
      <c r="I934" s="192">
        <v>-39785.101634803708</v>
      </c>
      <c r="K934" s="202">
        <v>-148194.52644948737</v>
      </c>
      <c r="L934" s="202">
        <v>-193522.06127926623</v>
      </c>
      <c r="M934" s="221">
        <v>45327.534829778859</v>
      </c>
      <c r="N934" s="221">
        <v>45327.534829778859</v>
      </c>
      <c r="O934" s="221">
        <v>-276363.53187416442</v>
      </c>
      <c r="Q934" s="204">
        <f t="shared" si="14"/>
        <v>0</v>
      </c>
      <c r="R934" s="204">
        <f>IF(MAX(K935:L935)=K935,1,0)</f>
        <v>1</v>
      </c>
    </row>
    <row r="935" spans="1:18" x14ac:dyDescent="0.3">
      <c r="A935" s="110">
        <v>930</v>
      </c>
      <c r="C935" s="191">
        <v>1.366651155649065</v>
      </c>
      <c r="D935" s="192">
        <v>133769.88849662623</v>
      </c>
      <c r="E935" s="192">
        <v>1.1977521430632532</v>
      </c>
      <c r="F935" s="192">
        <v>93960.678673451635</v>
      </c>
      <c r="G935" s="192">
        <v>-0.16889901258581186</v>
      </c>
      <c r="H935" s="203">
        <v>0.16889901258581186</v>
      </c>
      <c r="I935" s="192">
        <v>-39809.209823174591</v>
      </c>
      <c r="K935" s="202">
        <v>-140074.13618138689</v>
      </c>
      <c r="L935" s="202">
        <v>-186385.95798911524</v>
      </c>
      <c r="M935" s="221">
        <v>46311.821807728353</v>
      </c>
      <c r="N935" s="221">
        <v>46311.821807728345</v>
      </c>
      <c r="O935" s="221">
        <v>-235698.29813509941</v>
      </c>
      <c r="Q935" s="204">
        <f t="shared" si="14"/>
        <v>0</v>
      </c>
      <c r="R935" s="204">
        <f>IF(MAX(K936:L936)=K936,1,0)</f>
        <v>1</v>
      </c>
    </row>
    <row r="936" spans="1:18" x14ac:dyDescent="0.3">
      <c r="A936" s="110">
        <v>931</v>
      </c>
      <c r="C936" s="191">
        <v>1.5410990180374582</v>
      </c>
      <c r="D936" s="192">
        <v>111970.13506257196</v>
      </c>
      <c r="E936" s="192">
        <v>1.4157485350862318</v>
      </c>
      <c r="F936" s="192">
        <v>83526.725981416515</v>
      </c>
      <c r="G936" s="192">
        <v>-0.12535048295122642</v>
      </c>
      <c r="H936" s="203">
        <v>0.12535048295122642</v>
      </c>
      <c r="I936" s="192">
        <v>-28443.409081155449</v>
      </c>
      <c r="K936" s="202">
        <v>-138033.04458223644</v>
      </c>
      <c r="L936" s="202">
        <v>-171302.44725701411</v>
      </c>
      <c r="M936" s="221">
        <v>33269.402674777666</v>
      </c>
      <c r="N936" s="221">
        <v>33269.402674777666</v>
      </c>
      <c r="O936" s="221">
        <v>-226911.04502742694</v>
      </c>
      <c r="Q936" s="204">
        <f t="shared" si="14"/>
        <v>0</v>
      </c>
      <c r="R936" s="204">
        <f>IF(MAX(K937:L937)=K937,1,0)</f>
        <v>1</v>
      </c>
    </row>
    <row r="937" spans="1:18" x14ac:dyDescent="0.3">
      <c r="A937" s="110">
        <v>932</v>
      </c>
      <c r="C937" s="191">
        <v>1.4483351243675842</v>
      </c>
      <c r="D937" s="192">
        <v>100529.1901305987</v>
      </c>
      <c r="E937" s="192">
        <v>1.2952119289396953</v>
      </c>
      <c r="F937" s="192">
        <v>79468.474213698442</v>
      </c>
      <c r="G937" s="192">
        <v>-0.15312319542788888</v>
      </c>
      <c r="H937" s="203">
        <v>0.15312319542788888</v>
      </c>
      <c r="I937" s="192">
        <v>-21060.715916900255</v>
      </c>
      <c r="K937" s="202">
        <v>-129334.13347787672</v>
      </c>
      <c r="L937" s="202">
        <v>-156290.09241875069</v>
      </c>
      <c r="M937" s="221">
        <v>26955.95894087397</v>
      </c>
      <c r="N937" s="221">
        <v>26955.958940873978</v>
      </c>
      <c r="O937" s="221">
        <v>-137540.99016839347</v>
      </c>
      <c r="Q937" s="204">
        <f t="shared" si="14"/>
        <v>0</v>
      </c>
      <c r="R937" s="204">
        <f>IF(MAX(K938:L938)=K938,1,0)</f>
        <v>1</v>
      </c>
    </row>
    <row r="938" spans="1:18" x14ac:dyDescent="0.3">
      <c r="A938" s="110">
        <v>933</v>
      </c>
      <c r="C938" s="191">
        <v>1.1968776486910078</v>
      </c>
      <c r="D938" s="192">
        <v>137627.89588255456</v>
      </c>
      <c r="E938" s="192">
        <v>1.0876418250453417</v>
      </c>
      <c r="F938" s="192">
        <v>108227.72381031902</v>
      </c>
      <c r="G938" s="192">
        <v>-0.10923582364566609</v>
      </c>
      <c r="H938" s="203">
        <v>0.10923582364566609</v>
      </c>
      <c r="I938" s="192">
        <v>-29400.172072235539</v>
      </c>
      <c r="K938" s="202">
        <v>-150101.93407456466</v>
      </c>
      <c r="L938" s="202">
        <v>-183707.68535715836</v>
      </c>
      <c r="M938" s="221">
        <v>33605.751282593701</v>
      </c>
      <c r="N938" s="221">
        <v>33605.751282593686</v>
      </c>
      <c r="O938" s="221">
        <v>-269144.05083448085</v>
      </c>
      <c r="Q938" s="204">
        <f t="shared" si="14"/>
        <v>0</v>
      </c>
      <c r="R938" s="204">
        <f>IF(MAX(K939:L939)=K939,1,0)</f>
        <v>1</v>
      </c>
    </row>
    <row r="939" spans="1:18" x14ac:dyDescent="0.3">
      <c r="A939" s="110">
        <v>934</v>
      </c>
      <c r="C939" s="191">
        <v>1.1953761597386412</v>
      </c>
      <c r="D939" s="192">
        <v>116890.90989892531</v>
      </c>
      <c r="E939" s="192">
        <v>0.99451799911739414</v>
      </c>
      <c r="F939" s="192">
        <v>80201.903295539189</v>
      </c>
      <c r="G939" s="192">
        <v>-0.20085816062124706</v>
      </c>
      <c r="H939" s="203">
        <v>0.20085816062124706</v>
      </c>
      <c r="I939" s="192">
        <v>-36689.006603386122</v>
      </c>
      <c r="K939" s="202">
        <v>-118490.84626155887</v>
      </c>
      <c r="L939" s="202">
        <v>-162912.892048863</v>
      </c>
      <c r="M939" s="221">
        <v>44422.04578730413</v>
      </c>
      <c r="N939" s="221">
        <v>44422.04578730413</v>
      </c>
      <c r="O939" s="221">
        <v>-182661.26947448062</v>
      </c>
      <c r="Q939" s="204">
        <f t="shared" si="14"/>
        <v>0</v>
      </c>
      <c r="R939" s="204">
        <f>IF(MAX(K940:L940)=K940,1,0)</f>
        <v>1</v>
      </c>
    </row>
    <row r="940" spans="1:18" x14ac:dyDescent="0.3">
      <c r="A940" s="110">
        <v>935</v>
      </c>
      <c r="C940" s="191">
        <v>1.0729692485352835</v>
      </c>
      <c r="D940" s="192">
        <v>136149.76109147709</v>
      </c>
      <c r="E940" s="192">
        <v>0.93760779260237448</v>
      </c>
      <c r="F940" s="192">
        <v>101847.76186352027</v>
      </c>
      <c r="G940" s="192">
        <v>-0.13536145593290905</v>
      </c>
      <c r="H940" s="203">
        <v>0.13536145593290905</v>
      </c>
      <c r="I940" s="192">
        <v>-34301.999227956825</v>
      </c>
      <c r="K940" s="202">
        <v>-137945.66187871169</v>
      </c>
      <c r="L940" s="202">
        <v>-177459.07716008549</v>
      </c>
      <c r="M940" s="221">
        <v>39513.415281373804</v>
      </c>
      <c r="N940" s="221">
        <v>39513.415281373826</v>
      </c>
      <c r="O940" s="221">
        <v>-253410.38918019889</v>
      </c>
      <c r="Q940" s="204">
        <f t="shared" si="14"/>
        <v>0</v>
      </c>
      <c r="R940" s="204">
        <f>IF(MAX(K941:L941)=K941,1,0)</f>
        <v>1</v>
      </c>
    </row>
    <row r="941" spans="1:18" x14ac:dyDescent="0.3">
      <c r="A941" s="110">
        <v>936</v>
      </c>
      <c r="C941" s="191">
        <v>1.1887198828166565</v>
      </c>
      <c r="D941" s="192">
        <v>111108.04069499859</v>
      </c>
      <c r="E941" s="192">
        <v>1.0002263044997017</v>
      </c>
      <c r="F941" s="192">
        <v>74371.998273095058</v>
      </c>
      <c r="G941" s="192">
        <v>-0.18849357831695479</v>
      </c>
      <c r="H941" s="203">
        <v>0.18849357831695479</v>
      </c>
      <c r="I941" s="192">
        <v>-36736.042421903534</v>
      </c>
      <c r="K941" s="202">
        <v>-112880.71099633357</v>
      </c>
      <c r="L941" s="202">
        <v>-156873.75618343987</v>
      </c>
      <c r="M941" s="221">
        <v>43993.045187106298</v>
      </c>
      <c r="N941" s="221">
        <v>43993.045187106291</v>
      </c>
      <c r="O941" s="221">
        <v>-194892.80616303717</v>
      </c>
      <c r="Q941" s="204">
        <f t="shared" si="14"/>
        <v>0</v>
      </c>
      <c r="R941" s="204">
        <f>IF(MAX(K942:L942)=K942,1,0)</f>
        <v>1</v>
      </c>
    </row>
    <row r="942" spans="1:18" x14ac:dyDescent="0.3">
      <c r="A942" s="110">
        <v>937</v>
      </c>
      <c r="C942" s="191">
        <v>1.3129591086866657</v>
      </c>
      <c r="D942" s="192">
        <v>106802.868714425</v>
      </c>
      <c r="E942" s="192">
        <v>1.1860824966521524</v>
      </c>
      <c r="F942" s="192">
        <v>80520.461429289979</v>
      </c>
      <c r="G942" s="192">
        <v>-0.12687661203451328</v>
      </c>
      <c r="H942" s="203">
        <v>0.12687661203451328</v>
      </c>
      <c r="I942" s="192">
        <v>-26282.407285135021</v>
      </c>
      <c r="K942" s="202">
        <v>-126184.63755039783</v>
      </c>
      <c r="L942" s="202">
        <v>-157351.79439886162</v>
      </c>
      <c r="M942" s="221">
        <v>31167.156848463783</v>
      </c>
      <c r="N942" s="221">
        <v>31167.156848463783</v>
      </c>
      <c r="O942" s="221">
        <v>-207149.34662651314</v>
      </c>
      <c r="Q942" s="204">
        <f t="shared" si="14"/>
        <v>0</v>
      </c>
      <c r="R942" s="204">
        <f>IF(MAX(K943:L943)=K943,1,0)</f>
        <v>1</v>
      </c>
    </row>
    <row r="943" spans="1:18" x14ac:dyDescent="0.3">
      <c r="A943" s="110">
        <v>938</v>
      </c>
      <c r="C943" s="191">
        <v>1.4520905484057856</v>
      </c>
      <c r="D943" s="192">
        <v>129428.06639969406</v>
      </c>
      <c r="E943" s="192">
        <v>1.3579553196558363</v>
      </c>
      <c r="F943" s="192">
        <v>101457.15844216321</v>
      </c>
      <c r="G943" s="192">
        <v>-9.4135228749949285E-2</v>
      </c>
      <c r="H943" s="203">
        <v>9.4135228749949285E-2</v>
      </c>
      <c r="I943" s="192">
        <v>-27970.907957530842</v>
      </c>
      <c r="K943" s="202">
        <v>-153738.43824891292</v>
      </c>
      <c r="L943" s="202">
        <v>-185333.5525133168</v>
      </c>
      <c r="M943" s="221">
        <v>31595.114264403877</v>
      </c>
      <c r="N943" s="221">
        <v>31595.114264403892</v>
      </c>
      <c r="O943" s="221">
        <v>-297135.39053301455</v>
      </c>
      <c r="Q943" s="204">
        <f t="shared" si="14"/>
        <v>0</v>
      </c>
      <c r="R943" s="204">
        <f>IF(MAX(K944:L944)=K944,1,0)</f>
        <v>1</v>
      </c>
    </row>
    <row r="944" spans="1:18" x14ac:dyDescent="0.3">
      <c r="A944" s="110">
        <v>939</v>
      </c>
      <c r="C944" s="191">
        <v>1.6442842780540219</v>
      </c>
      <c r="D944" s="192">
        <v>108560.02187749316</v>
      </c>
      <c r="E944" s="192">
        <v>1.5337785410624982</v>
      </c>
      <c r="F944" s="192">
        <v>78492.386432397907</v>
      </c>
      <c r="G944" s="192">
        <v>-0.11050573699152366</v>
      </c>
      <c r="H944" s="203">
        <v>0.11050573699152366</v>
      </c>
      <c r="I944" s="192">
        <v>-30067.635445095249</v>
      </c>
      <c r="K944" s="202">
        <v>-137542.86026330409</v>
      </c>
      <c r="L944" s="202">
        <v>-171864.96658257299</v>
      </c>
      <c r="M944" s="221">
        <v>34322.106319268903</v>
      </c>
      <c r="N944" s="221">
        <v>34322.106319268911</v>
      </c>
      <c r="O944" s="221">
        <v>-272091.17158687959</v>
      </c>
      <c r="Q944" s="204">
        <f t="shared" si="14"/>
        <v>0</v>
      </c>
      <c r="R944" s="204">
        <f>IF(MAX(K945:L945)=K945,1,0)</f>
        <v>1</v>
      </c>
    </row>
    <row r="945" spans="1:18" x14ac:dyDescent="0.3">
      <c r="A945" s="110">
        <v>940</v>
      </c>
      <c r="C945" s="191">
        <v>1.4677060721037802</v>
      </c>
      <c r="D945" s="192">
        <v>110335.67864381419</v>
      </c>
      <c r="E945" s="192">
        <v>1.3803977448999023</v>
      </c>
      <c r="F945" s="192">
        <v>88190.256253208019</v>
      </c>
      <c r="G945" s="192">
        <v>-8.7308327203877933E-2</v>
      </c>
      <c r="H945" s="203">
        <v>8.7308327203877933E-2</v>
      </c>
      <c r="I945" s="192">
        <v>-22145.422390606167</v>
      </c>
      <c r="K945" s="202">
        <v>-141335.56943185427</v>
      </c>
      <c r="L945" s="202">
        <v>-166842.36241980974</v>
      </c>
      <c r="M945" s="221">
        <v>25506.792987955472</v>
      </c>
      <c r="N945" s="221">
        <v>25506.792987955469</v>
      </c>
      <c r="O945" s="221">
        <v>-253646.16526088413</v>
      </c>
      <c r="Q945" s="204">
        <f t="shared" si="14"/>
        <v>0</v>
      </c>
      <c r="R945" s="204">
        <f>IF(MAX(K946:L946)=K946,1,0)</f>
        <v>1</v>
      </c>
    </row>
    <row r="946" spans="1:18" x14ac:dyDescent="0.3">
      <c r="A946" s="110">
        <v>941</v>
      </c>
      <c r="C946" s="191">
        <v>1.1028026628542955</v>
      </c>
      <c r="D946" s="192">
        <v>101607.22904136946</v>
      </c>
      <c r="E946" s="192">
        <v>1.0216252907491181</v>
      </c>
      <c r="F946" s="192">
        <v>81925.042002766422</v>
      </c>
      <c r="G946" s="192">
        <v>-8.1177372105177392E-2</v>
      </c>
      <c r="H946" s="203">
        <v>8.1177372105177392E-2</v>
      </c>
      <c r="I946" s="192">
        <v>-19682.187038603035</v>
      </c>
      <c r="K946" s="202">
        <v>-121257.61569660748</v>
      </c>
      <c r="L946" s="202">
        <v>-144065.13156125983</v>
      </c>
      <c r="M946" s="221">
        <v>22807.515864652349</v>
      </c>
      <c r="N946" s="221">
        <v>22807.515864652363</v>
      </c>
      <c r="O946" s="221">
        <v>-242459.03172502093</v>
      </c>
      <c r="Q946" s="204">
        <f t="shared" si="14"/>
        <v>0</v>
      </c>
      <c r="R946" s="204">
        <f>IF(MAX(K947:L947)=K947,1,0)</f>
        <v>1</v>
      </c>
    </row>
    <row r="947" spans="1:18" x14ac:dyDescent="0.3">
      <c r="A947" s="110">
        <v>942</v>
      </c>
      <c r="C947" s="191">
        <v>1.1661507902302815</v>
      </c>
      <c r="D947" s="192">
        <v>102953.03196490728</v>
      </c>
      <c r="E947" s="192">
        <v>1.0114038285786782</v>
      </c>
      <c r="F947" s="192">
        <v>76942.14804198654</v>
      </c>
      <c r="G947" s="192">
        <v>-0.15474696165160329</v>
      </c>
      <c r="H947" s="203">
        <v>0.15474696165160329</v>
      </c>
      <c r="I947" s="192">
        <v>-26010.883922920737</v>
      </c>
      <c r="K947" s="202">
        <v>-115881.19544226566</v>
      </c>
      <c r="L947" s="202">
        <v>-147849.8373887731</v>
      </c>
      <c r="M947" s="221">
        <v>31968.641946507443</v>
      </c>
      <c r="N947" s="221">
        <v>31968.641946507465</v>
      </c>
      <c r="O947" s="221">
        <v>-168086.55656504288</v>
      </c>
      <c r="Q947" s="204">
        <f t="shared" si="14"/>
        <v>0</v>
      </c>
      <c r="R947" s="204">
        <f>IF(MAX(K948:L948)=K948,1,0)</f>
        <v>1</v>
      </c>
    </row>
    <row r="948" spans="1:18" x14ac:dyDescent="0.3">
      <c r="A948" s="110">
        <v>943</v>
      </c>
      <c r="C948" s="191">
        <v>1.461170470969434</v>
      </c>
      <c r="D948" s="192">
        <v>128218.83844867698</v>
      </c>
      <c r="E948" s="192">
        <v>1.3132650293302999</v>
      </c>
      <c r="F948" s="192">
        <v>89053.834540551514</v>
      </c>
      <c r="G948" s="192">
        <v>-0.14790544163913411</v>
      </c>
      <c r="H948" s="203">
        <v>0.14790544163913411</v>
      </c>
      <c r="I948" s="192">
        <v>-39165.003908125465</v>
      </c>
      <c r="K948" s="202">
        <v>-139614.53816976806</v>
      </c>
      <c r="L948" s="202">
        <v>-184473.90158100019</v>
      </c>
      <c r="M948" s="221">
        <v>44859.363411232131</v>
      </c>
      <c r="N948" s="221">
        <v>44859.363411232131</v>
      </c>
      <c r="O948" s="221">
        <v>-264797.58603934181</v>
      </c>
      <c r="Q948" s="204">
        <f t="shared" si="14"/>
        <v>0</v>
      </c>
      <c r="R948" s="204">
        <f>IF(MAX(K949:L949)=K949,1,0)</f>
        <v>1</v>
      </c>
    </row>
    <row r="949" spans="1:18" x14ac:dyDescent="0.3">
      <c r="A949" s="110">
        <v>944</v>
      </c>
      <c r="C949" s="191">
        <v>1.4940971579968856</v>
      </c>
      <c r="D949" s="192">
        <v>112355.30953049165</v>
      </c>
      <c r="E949" s="192">
        <v>1.3724972895976251</v>
      </c>
      <c r="F949" s="192">
        <v>83689.204566659508</v>
      </c>
      <c r="G949" s="192">
        <v>-0.12159986839926051</v>
      </c>
      <c r="H949" s="203">
        <v>0.12159986839926051</v>
      </c>
      <c r="I949" s="192">
        <v>-28666.104963832142</v>
      </c>
      <c r="K949" s="202">
        <v>-136530.35021616807</v>
      </c>
      <c r="L949" s="202">
        <v>-169878.05011337175</v>
      </c>
      <c r="M949" s="221">
        <v>33347.699897203682</v>
      </c>
      <c r="N949" s="221">
        <v>33347.699897203674</v>
      </c>
      <c r="O949" s="221">
        <v>-235741.24989765589</v>
      </c>
      <c r="Q949" s="204">
        <f t="shared" si="14"/>
        <v>0</v>
      </c>
      <c r="R949" s="204">
        <f>IF(MAX(K950:L950)=K950,1,0)</f>
        <v>1</v>
      </c>
    </row>
    <row r="950" spans="1:18" x14ac:dyDescent="0.3">
      <c r="A950" s="110">
        <v>945</v>
      </c>
      <c r="C950" s="191">
        <v>1.2717205783819889</v>
      </c>
      <c r="D950" s="192">
        <v>156146.71154893105</v>
      </c>
      <c r="E950" s="192">
        <v>1.0608831274833272</v>
      </c>
      <c r="F950" s="192">
        <v>117077.79546303577</v>
      </c>
      <c r="G950" s="192">
        <v>-0.21083745089866168</v>
      </c>
      <c r="H950" s="203">
        <v>0.21083745089866168</v>
      </c>
      <c r="I950" s="192">
        <v>-39068.916085895282</v>
      </c>
      <c r="K950" s="202">
        <v>-157921.79587114387</v>
      </c>
      <c r="L950" s="202">
        <v>-205107.95381663763</v>
      </c>
      <c r="M950" s="221">
        <v>47186.15794549376</v>
      </c>
      <c r="N950" s="221">
        <v>47186.15794549376</v>
      </c>
      <c r="O950" s="221">
        <v>-185303.49290114318</v>
      </c>
      <c r="Q950" s="204">
        <f t="shared" si="14"/>
        <v>0</v>
      </c>
      <c r="R950" s="204">
        <f>IF(MAX(K951:L951)=K951,1,0)</f>
        <v>1</v>
      </c>
    </row>
    <row r="951" spans="1:18" x14ac:dyDescent="0.3">
      <c r="A951" s="110">
        <v>946</v>
      </c>
      <c r="C951" s="191">
        <v>0.93257475810570267</v>
      </c>
      <c r="D951" s="192">
        <v>131306.56038641962</v>
      </c>
      <c r="E951" s="192">
        <v>0.6868438430096917</v>
      </c>
      <c r="F951" s="192">
        <v>84218.730174719094</v>
      </c>
      <c r="G951" s="192">
        <v>-0.24573091509601097</v>
      </c>
      <c r="H951" s="203">
        <v>0.24573091509601097</v>
      </c>
      <c r="I951" s="192">
        <v>-47087.830211700522</v>
      </c>
      <c r="K951" s="202">
        <v>-110662.21813059223</v>
      </c>
      <c r="L951" s="202">
        <v>-167210.68857348917</v>
      </c>
      <c r="M951" s="221">
        <v>56548.470442896942</v>
      </c>
      <c r="N951" s="221">
        <v>56548.470442896942</v>
      </c>
      <c r="O951" s="221">
        <v>-191623.54965919757</v>
      </c>
      <c r="Q951" s="204">
        <f t="shared" si="14"/>
        <v>0</v>
      </c>
      <c r="R951" s="204">
        <f>IF(MAX(K952:L952)=K952,1,0)</f>
        <v>1</v>
      </c>
    </row>
    <row r="952" spans="1:18" x14ac:dyDescent="0.3">
      <c r="A952" s="110">
        <v>947</v>
      </c>
      <c r="C952" s="191">
        <v>1.0638765712711005</v>
      </c>
      <c r="D952" s="192">
        <v>104317.82810501558</v>
      </c>
      <c r="E952" s="192">
        <v>0.95266530297711216</v>
      </c>
      <c r="F952" s="192">
        <v>87052.648494514913</v>
      </c>
      <c r="G952" s="192">
        <v>-0.11121126829398831</v>
      </c>
      <c r="H952" s="203">
        <v>0.11121126829398831</v>
      </c>
      <c r="I952" s="192">
        <v>-17265.179610500665</v>
      </c>
      <c r="K952" s="202">
        <v>-123730.26265913373</v>
      </c>
      <c r="L952" s="202">
        <v>-145277.07609895294</v>
      </c>
      <c r="M952" s="221">
        <v>21546.813439819205</v>
      </c>
      <c r="N952" s="221">
        <v>21546.813439819216</v>
      </c>
      <c r="O952" s="221">
        <v>-155246.67486805347</v>
      </c>
      <c r="Q952" s="204">
        <f t="shared" si="14"/>
        <v>0</v>
      </c>
      <c r="R952" s="204">
        <f>IF(MAX(K953:L953)=K953,1,0)</f>
        <v>1</v>
      </c>
    </row>
    <row r="953" spans="1:18" x14ac:dyDescent="0.3">
      <c r="A953" s="110">
        <v>948</v>
      </c>
      <c r="C953" s="191">
        <v>1.1100288085105927</v>
      </c>
      <c r="D953" s="192">
        <v>115541.50011026225</v>
      </c>
      <c r="E953" s="192">
        <v>1.0637763334556396</v>
      </c>
      <c r="F953" s="192">
        <v>100726.95845700597</v>
      </c>
      <c r="G953" s="192">
        <v>-4.6252475054953113E-2</v>
      </c>
      <c r="H953" s="203">
        <v>4.6252475054953113E-2</v>
      </c>
      <c r="I953" s="192">
        <v>-14814.541653256281</v>
      </c>
      <c r="K953" s="202">
        <v>-141682.34729504809</v>
      </c>
      <c r="L953" s="202">
        <v>-158277.60923792009</v>
      </c>
      <c r="M953" s="221">
        <v>16595.261942871992</v>
      </c>
      <c r="N953" s="221">
        <v>16595.261942871977</v>
      </c>
      <c r="O953" s="221">
        <v>-320297.2735114164</v>
      </c>
      <c r="Q953" s="204">
        <f t="shared" si="14"/>
        <v>0</v>
      </c>
      <c r="R953" s="204">
        <f>IF(MAX(K954:L954)=K954,1,0)</f>
        <v>1</v>
      </c>
    </row>
    <row r="954" spans="1:18" x14ac:dyDescent="0.3">
      <c r="A954" s="110">
        <v>949</v>
      </c>
      <c r="C954" s="191">
        <v>1.1561356107824461</v>
      </c>
      <c r="D954" s="192">
        <v>87338.852974576264</v>
      </c>
      <c r="E954" s="192">
        <v>1.0154212816312405</v>
      </c>
      <c r="F954" s="192">
        <v>64644.758458565229</v>
      </c>
      <c r="G954" s="192">
        <v>-0.14071432915120563</v>
      </c>
      <c r="H954" s="203">
        <v>0.14071432915120563</v>
      </c>
      <c r="I954" s="192">
        <v>-22694.094516011035</v>
      </c>
      <c r="K954" s="202">
        <v>-103738.47780136799</v>
      </c>
      <c r="L954" s="202">
        <v>-131850.07398970044</v>
      </c>
      <c r="M954" s="221">
        <v>28111.596188332449</v>
      </c>
      <c r="N954" s="221">
        <v>28111.596188332453</v>
      </c>
      <c r="O954" s="221">
        <v>-161277.77926315469</v>
      </c>
      <c r="Q954" s="204">
        <f t="shared" si="14"/>
        <v>0</v>
      </c>
      <c r="R954" s="204">
        <f>IF(MAX(K955:L955)=K955,1,0)</f>
        <v>1</v>
      </c>
    </row>
    <row r="955" spans="1:18" x14ac:dyDescent="0.3">
      <c r="A955" s="110">
        <v>950</v>
      </c>
      <c r="C955" s="191">
        <v>1.2228459505597717</v>
      </c>
      <c r="D955" s="192">
        <v>134546.44668613546</v>
      </c>
      <c r="E955" s="192">
        <v>1.1720932667841995</v>
      </c>
      <c r="F955" s="192">
        <v>115749.74894946397</v>
      </c>
      <c r="G955" s="192">
        <v>-5.0752683775572294E-2</v>
      </c>
      <c r="H955" s="203">
        <v>5.0752683775572294E-2</v>
      </c>
      <c r="I955" s="192">
        <v>-18796.697736671485</v>
      </c>
      <c r="K955" s="202">
        <v>-160875.33972065564</v>
      </c>
      <c r="L955" s="202">
        <v>-181626.01578268668</v>
      </c>
      <c r="M955" s="221">
        <v>20750.676062031038</v>
      </c>
      <c r="N955" s="221">
        <v>20750.67606203102</v>
      </c>
      <c r="O955" s="221">
        <v>-370358.69511433598</v>
      </c>
      <c r="Q955" s="204">
        <f t="shared" si="14"/>
        <v>0</v>
      </c>
      <c r="R955" s="204">
        <f>IF(MAX(K956:L956)=K956,1,0)</f>
        <v>1</v>
      </c>
    </row>
    <row r="956" spans="1:18" x14ac:dyDescent="0.3">
      <c r="A956" s="110">
        <v>951</v>
      </c>
      <c r="C956" s="191">
        <v>1.3201985335189155</v>
      </c>
      <c r="D956" s="192">
        <v>112640.68352131064</v>
      </c>
      <c r="E956" s="192">
        <v>1.1230814854579214</v>
      </c>
      <c r="F956" s="192">
        <v>84088.053664119201</v>
      </c>
      <c r="G956" s="192">
        <v>-0.19711704806099406</v>
      </c>
      <c r="H956" s="203">
        <v>0.19711704806099406</v>
      </c>
      <c r="I956" s="192">
        <v>-28552.629857191438</v>
      </c>
      <c r="K956" s="202">
        <v>-127326.69085424917</v>
      </c>
      <c r="L956" s="202">
        <v>-163468.32706178888</v>
      </c>
      <c r="M956" s="221">
        <v>36141.636207539705</v>
      </c>
      <c r="N956" s="221">
        <v>36141.636207539712</v>
      </c>
      <c r="O956" s="221">
        <v>-144851.14371414683</v>
      </c>
      <c r="Q956" s="204">
        <f t="shared" si="14"/>
        <v>0</v>
      </c>
      <c r="R956" s="204">
        <f>IF(MAX(K957:L957)=K957,1,0)</f>
        <v>1</v>
      </c>
    </row>
    <row r="957" spans="1:18" x14ac:dyDescent="0.3">
      <c r="A957" s="110">
        <v>952</v>
      </c>
      <c r="C957" s="191">
        <v>1.59379639782477</v>
      </c>
      <c r="D957" s="192">
        <v>118622.86533145036</v>
      </c>
      <c r="E957" s="192">
        <v>1.365434985145157</v>
      </c>
      <c r="F957" s="192">
        <v>77566.13054081492</v>
      </c>
      <c r="G957" s="192">
        <v>-0.22836141267961296</v>
      </c>
      <c r="H957" s="203">
        <v>0.22836141267961296</v>
      </c>
      <c r="I957" s="192">
        <v>-41056.734790635441</v>
      </c>
      <c r="K957" s="202">
        <v>-130135.37746890346</v>
      </c>
      <c r="L957" s="202">
        <v>-179984.02664770401</v>
      </c>
      <c r="M957" s="221">
        <v>49848.649178800551</v>
      </c>
      <c r="N957" s="221">
        <v>49848.649178800537</v>
      </c>
      <c r="O957" s="221">
        <v>-179788.40780879787</v>
      </c>
      <c r="Q957" s="204">
        <f t="shared" si="14"/>
        <v>0</v>
      </c>
      <c r="R957" s="204">
        <f>IF(MAX(K958:L958)=K958,1,0)</f>
        <v>1</v>
      </c>
    </row>
    <row r="958" spans="1:18" x14ac:dyDescent="0.3">
      <c r="A958" s="110">
        <v>953</v>
      </c>
      <c r="C958" s="191">
        <v>1.4139204055498176</v>
      </c>
      <c r="D958" s="192">
        <v>119793.06176164224</v>
      </c>
      <c r="E958" s="192">
        <v>1.2835677669319003</v>
      </c>
      <c r="F958" s="192">
        <v>85823.342005470098</v>
      </c>
      <c r="G958" s="192">
        <v>-0.13035263861791724</v>
      </c>
      <c r="H958" s="203">
        <v>0.13035263861791724</v>
      </c>
      <c r="I958" s="192">
        <v>-33969.71975617214</v>
      </c>
      <c r="K958" s="202">
        <v>-135240.70103234827</v>
      </c>
      <c r="L958" s="202">
        <v>-174228.99737531022</v>
      </c>
      <c r="M958" s="221">
        <v>38988.296342961956</v>
      </c>
      <c r="N958" s="221">
        <v>38988.296342961956</v>
      </c>
      <c r="O958" s="221">
        <v>-260598.63548863315</v>
      </c>
      <c r="Q958" s="204">
        <f t="shared" si="14"/>
        <v>0</v>
      </c>
      <c r="R958" s="204">
        <f>IF(MAX(K959:L959)=K959,1,0)</f>
        <v>1</v>
      </c>
    </row>
    <row r="959" spans="1:18" x14ac:dyDescent="0.3">
      <c r="A959" s="110">
        <v>954</v>
      </c>
      <c r="C959" s="191">
        <v>1.1829515770861947</v>
      </c>
      <c r="D959" s="192">
        <v>105630.21342376446</v>
      </c>
      <c r="E959" s="192">
        <v>1.0848669956229862</v>
      </c>
      <c r="F959" s="192">
        <v>86806.464362474959</v>
      </c>
      <c r="G959" s="192">
        <v>-9.8084581463208531E-2</v>
      </c>
      <c r="H959" s="203">
        <v>9.8084581463208531E-2</v>
      </c>
      <c r="I959" s="192">
        <v>-18823.749061289505</v>
      </c>
      <c r="K959" s="202">
        <v>-128573.84369395993</v>
      </c>
      <c r="L959" s="202">
        <v>-151173.84914158296</v>
      </c>
      <c r="M959" s="221">
        <v>22600.005447623029</v>
      </c>
      <c r="N959" s="221">
        <v>22600.005447623033</v>
      </c>
      <c r="O959" s="221">
        <v>-191913.43614337879</v>
      </c>
      <c r="Q959" s="204">
        <f t="shared" si="14"/>
        <v>0</v>
      </c>
      <c r="R959" s="204">
        <f>IF(MAX(K960:L960)=K960,1,0)</f>
        <v>1</v>
      </c>
    </row>
    <row r="960" spans="1:18" x14ac:dyDescent="0.3">
      <c r="A960" s="110">
        <v>955</v>
      </c>
      <c r="C960" s="191">
        <v>1.369061070418699</v>
      </c>
      <c r="D960" s="192">
        <v>116072.92982666523</v>
      </c>
      <c r="E960" s="192">
        <v>1.2073699714932624</v>
      </c>
      <c r="F960" s="192">
        <v>85170.827843854349</v>
      </c>
      <c r="G960" s="192">
        <v>-0.16169109892543654</v>
      </c>
      <c r="H960" s="203">
        <v>0.16169109892543654</v>
      </c>
      <c r="I960" s="192">
        <v>-30902.101982810884</v>
      </c>
      <c r="K960" s="202">
        <v>-131654.57174634497</v>
      </c>
      <c r="L960" s="202">
        <v>-168781.78103778514</v>
      </c>
      <c r="M960" s="221">
        <v>37127.209291440173</v>
      </c>
      <c r="N960" s="221">
        <v>37127.209291440187</v>
      </c>
      <c r="O960" s="221">
        <v>-191118.13939158959</v>
      </c>
      <c r="Q960" s="204">
        <f t="shared" si="14"/>
        <v>0</v>
      </c>
      <c r="R960" s="204">
        <f>IF(MAX(K961:L961)=K961,1,0)</f>
        <v>1</v>
      </c>
    </row>
    <row r="961" spans="1:18" x14ac:dyDescent="0.3">
      <c r="A961" s="110">
        <v>956</v>
      </c>
      <c r="C961" s="191">
        <v>1.2940927956179724</v>
      </c>
      <c r="D961" s="192">
        <v>119754.31331154298</v>
      </c>
      <c r="E961" s="192">
        <v>1.1896021590275057</v>
      </c>
      <c r="F961" s="192">
        <v>92781.78011515463</v>
      </c>
      <c r="G961" s="192">
        <v>-0.10449063659046676</v>
      </c>
      <c r="H961" s="203">
        <v>0.10449063659046676</v>
      </c>
      <c r="I961" s="192">
        <v>-26972.533196388351</v>
      </c>
      <c r="K961" s="202">
        <v>-138581.46323771361</v>
      </c>
      <c r="L961" s="202">
        <v>-169576.88594283492</v>
      </c>
      <c r="M961" s="221">
        <v>30995.422705121309</v>
      </c>
      <c r="N961" s="221">
        <v>30995.42270512132</v>
      </c>
      <c r="O961" s="221">
        <v>-258133.49479439578</v>
      </c>
      <c r="Q961" s="204">
        <f t="shared" si="14"/>
        <v>0</v>
      </c>
      <c r="R961" s="204">
        <f>IF(MAX(K962:L962)=K962,1,0)</f>
        <v>1</v>
      </c>
    </row>
    <row r="962" spans="1:18" x14ac:dyDescent="0.3">
      <c r="A962" s="110">
        <v>957</v>
      </c>
      <c r="C962" s="191">
        <v>1.6959812945960844</v>
      </c>
      <c r="D962" s="192">
        <v>160081.82544029821</v>
      </c>
      <c r="E962" s="192">
        <v>1.4987554290839613</v>
      </c>
      <c r="F962" s="192">
        <v>121318.56455004319</v>
      </c>
      <c r="G962" s="192">
        <v>-0.19722586551212307</v>
      </c>
      <c r="H962" s="203">
        <v>0.19722586551212307</v>
      </c>
      <c r="I962" s="192">
        <v>-38763.260890255027</v>
      </c>
      <c r="K962" s="202">
        <v>-179020.64856977569</v>
      </c>
      <c r="L962" s="202">
        <v>-225377.10528224747</v>
      </c>
      <c r="M962" s="221">
        <v>46356.456712471787</v>
      </c>
      <c r="N962" s="221">
        <v>46356.456712471765</v>
      </c>
      <c r="O962" s="221">
        <v>-196542.48082319775</v>
      </c>
      <c r="Q962" s="204">
        <f t="shared" si="14"/>
        <v>0</v>
      </c>
      <c r="R962" s="204">
        <f>IF(MAX(K963:L963)=K963,1,0)</f>
        <v>1</v>
      </c>
    </row>
    <row r="963" spans="1:18" x14ac:dyDescent="0.3">
      <c r="A963" s="110">
        <v>958</v>
      </c>
      <c r="C963" s="191">
        <v>1.1501622438292212</v>
      </c>
      <c r="D963" s="192">
        <v>89079.255766737944</v>
      </c>
      <c r="E963" s="192">
        <v>1.0562900359272609</v>
      </c>
      <c r="F963" s="192">
        <v>71122.095761931167</v>
      </c>
      <c r="G963" s="192">
        <v>-9.387220790196027E-2</v>
      </c>
      <c r="H963" s="203">
        <v>9.387220790196027E-2</v>
      </c>
      <c r="I963" s="192">
        <v>-17957.160004806778</v>
      </c>
      <c r="K963" s="202">
        <v>-111789.26214513072</v>
      </c>
      <c r="L963" s="202">
        <v>-133360.50215416297</v>
      </c>
      <c r="M963" s="221">
        <v>21571.240009032248</v>
      </c>
      <c r="N963" s="221">
        <v>21571.240009032248</v>
      </c>
      <c r="O963" s="221">
        <v>-191293.67899347973</v>
      </c>
      <c r="Q963" s="204">
        <f t="shared" si="14"/>
        <v>0</v>
      </c>
      <c r="R963" s="204">
        <f>IF(MAX(K964:L964)=K964,1,0)</f>
        <v>1</v>
      </c>
    </row>
    <row r="964" spans="1:18" x14ac:dyDescent="0.3">
      <c r="A964" s="110">
        <v>959</v>
      </c>
      <c r="C964" s="191">
        <v>1.093325548628473</v>
      </c>
      <c r="D964" s="192">
        <v>89438.549680304423</v>
      </c>
      <c r="E964" s="192">
        <v>1.0742687077970592</v>
      </c>
      <c r="F964" s="192">
        <v>75262.240353464615</v>
      </c>
      <c r="G964" s="192">
        <v>-1.905684083141379E-2</v>
      </c>
      <c r="H964" s="203">
        <v>1.905684083141379E-2</v>
      </c>
      <c r="I964" s="192">
        <v>-14176.309326839808</v>
      </c>
      <c r="K964" s="202">
        <v>-116621.58560365139</v>
      </c>
      <c r="L964" s="202">
        <v>-131531.58330250063</v>
      </c>
      <c r="M964" s="221">
        <v>14909.997698849242</v>
      </c>
      <c r="N964" s="221">
        <v>14909.997698849238</v>
      </c>
      <c r="O964" s="221">
        <v>-743896.08709284128</v>
      </c>
      <c r="Q964" s="204">
        <f t="shared" si="14"/>
        <v>0</v>
      </c>
      <c r="R964" s="204">
        <f>IF(MAX(K965:L965)=K965,1,0)</f>
        <v>1</v>
      </c>
    </row>
    <row r="965" spans="1:18" x14ac:dyDescent="0.3">
      <c r="A965" s="110">
        <v>960</v>
      </c>
      <c r="C965" s="191">
        <v>1.185347251221532</v>
      </c>
      <c r="D965" s="192">
        <v>121509.92161374656</v>
      </c>
      <c r="E965" s="192">
        <v>1.1247158652715195</v>
      </c>
      <c r="F965" s="192">
        <v>102495.88490936786</v>
      </c>
      <c r="G965" s="192">
        <v>-6.0631385950012495E-2</v>
      </c>
      <c r="H965" s="203">
        <v>6.0631385950012495E-2</v>
      </c>
      <c r="I965" s="192">
        <v>-19014.036704378697</v>
      </c>
      <c r="K965" s="202">
        <v>-145797.44572232134</v>
      </c>
      <c r="L965" s="202">
        <v>-167145.79078577552</v>
      </c>
      <c r="M965" s="221">
        <v>21348.34506345418</v>
      </c>
      <c r="N965" s="221">
        <v>21348.345063454177</v>
      </c>
      <c r="O965" s="221">
        <v>-313600.56192769215</v>
      </c>
      <c r="Q965" s="204">
        <f t="shared" si="14"/>
        <v>0</v>
      </c>
      <c r="R965" s="204">
        <f>IF(MAX(K966:L966)=K966,1,0)</f>
        <v>1</v>
      </c>
    </row>
    <row r="966" spans="1:18" x14ac:dyDescent="0.3">
      <c r="A966" s="110">
        <v>961</v>
      </c>
      <c r="C966" s="191">
        <v>1.4627785253526795</v>
      </c>
      <c r="D966" s="192">
        <v>129590.7364947915</v>
      </c>
      <c r="E966" s="192">
        <v>1.2534211977558467</v>
      </c>
      <c r="F966" s="192">
        <v>91505.519741065189</v>
      </c>
      <c r="G966" s="192">
        <v>-0.20935732759683279</v>
      </c>
      <c r="H966" s="203">
        <v>0.20935732759683279</v>
      </c>
      <c r="I966" s="192">
        <v>-38085.216753726316</v>
      </c>
      <c r="K966" s="202">
        <v>-139762.23585466528</v>
      </c>
      <c r="L966" s="202">
        <v>-185907.70972086967</v>
      </c>
      <c r="M966" s="221">
        <v>46145.473866204382</v>
      </c>
      <c r="N966" s="221">
        <v>46145.473866204382</v>
      </c>
      <c r="O966" s="221">
        <v>-181914.89732362478</v>
      </c>
      <c r="Q966" s="204">
        <f t="shared" si="14"/>
        <v>0</v>
      </c>
      <c r="R966" s="204">
        <f>IF(MAX(K967:L967)=K967,1,0)</f>
        <v>1</v>
      </c>
    </row>
    <row r="967" spans="1:18" x14ac:dyDescent="0.3">
      <c r="A967" s="110">
        <v>962</v>
      </c>
      <c r="C967" s="191">
        <v>1.6222269366749853</v>
      </c>
      <c r="D967" s="192">
        <v>133572.54874882774</v>
      </c>
      <c r="E967" s="192">
        <v>1.4262650634046719</v>
      </c>
      <c r="F967" s="192">
        <v>89761.062779285669</v>
      </c>
      <c r="G967" s="192">
        <v>-0.19596187327031345</v>
      </c>
      <c r="H967" s="203">
        <v>0.19596187327031345</v>
      </c>
      <c r="I967" s="192">
        <v>-43811.485969542075</v>
      </c>
      <c r="K967" s="202">
        <v>-144672.26772036555</v>
      </c>
      <c r="L967" s="202">
        <v>-196028.28581081468</v>
      </c>
      <c r="M967" s="221">
        <v>51356.018090449128</v>
      </c>
      <c r="N967" s="221">
        <v>51356.018090449143</v>
      </c>
      <c r="O967" s="221">
        <v>-223571.47968833559</v>
      </c>
      <c r="Q967" s="204">
        <f t="shared" ref="Q967:Q1005" si="15">IF(MAX(K967:L967)=L967,1,0)</f>
        <v>0</v>
      </c>
      <c r="R967" s="204">
        <f>IF(MAX(K968:L968)=K968,1,0)</f>
        <v>1</v>
      </c>
    </row>
    <row r="968" spans="1:18" x14ac:dyDescent="0.3">
      <c r="A968" s="110">
        <v>963</v>
      </c>
      <c r="C968" s="191">
        <v>1.0287924873041294</v>
      </c>
      <c r="D968" s="192">
        <v>77381.337106089661</v>
      </c>
      <c r="E968" s="192">
        <v>1.0631765051473738</v>
      </c>
      <c r="F968" s="192">
        <v>73527.176468959544</v>
      </c>
      <c r="G968" s="192">
        <v>3.4384017843244408E-2</v>
      </c>
      <c r="H968" s="203">
        <v>-3.4384017843244408E-2</v>
      </c>
      <c r="I968" s="192">
        <v>-3854.1606371301168</v>
      </c>
      <c r="K968" s="202">
        <v>-114459.47191713343</v>
      </c>
      <c r="L968" s="202">
        <v>-116989.84786729864</v>
      </c>
      <c r="M968" s="221">
        <v>2530.3759501652094</v>
      </c>
      <c r="N968" s="221">
        <v>2530.3759501652071</v>
      </c>
      <c r="O968" s="221">
        <v>112091.63090541387</v>
      </c>
      <c r="Q968" s="204">
        <f t="shared" si="15"/>
        <v>0</v>
      </c>
      <c r="R968" s="204">
        <f>IF(MAX(K969:L969)=K969,1,0)</f>
        <v>1</v>
      </c>
    </row>
    <row r="969" spans="1:18" x14ac:dyDescent="0.3">
      <c r="A969" s="110">
        <v>964</v>
      </c>
      <c r="C969" s="191">
        <v>1.4554976673613678</v>
      </c>
      <c r="D969" s="192">
        <v>116074.4695125826</v>
      </c>
      <c r="E969" s="192">
        <v>1.283290397843488</v>
      </c>
      <c r="F969" s="192">
        <v>84494.088828861612</v>
      </c>
      <c r="G969" s="192">
        <v>-0.17220726951787979</v>
      </c>
      <c r="H969" s="203">
        <v>0.17220726951787979</v>
      </c>
      <c r="I969" s="192">
        <v>-31580.380683720985</v>
      </c>
      <c r="K969" s="202">
        <v>-133900.76914583589</v>
      </c>
      <c r="L969" s="202">
        <v>-172111.12970599526</v>
      </c>
      <c r="M969" s="221">
        <v>38210.360560159374</v>
      </c>
      <c r="N969" s="221">
        <v>38210.360560159359</v>
      </c>
      <c r="O969" s="221">
        <v>-183385.87431375586</v>
      </c>
      <c r="Q969" s="204">
        <f t="shared" si="15"/>
        <v>0</v>
      </c>
      <c r="R969" s="204">
        <f>IF(MAX(K970:L970)=K970,1,0)</f>
        <v>1</v>
      </c>
    </row>
    <row r="970" spans="1:18" x14ac:dyDescent="0.3">
      <c r="A970" s="110">
        <v>965</v>
      </c>
      <c r="C970" s="191">
        <v>1.5266323092806204</v>
      </c>
      <c r="D970" s="192">
        <v>124663.29823326127</v>
      </c>
      <c r="E970" s="192">
        <v>1.3218519402615234</v>
      </c>
      <c r="F970" s="192">
        <v>81701.781065161078</v>
      </c>
      <c r="G970" s="192">
        <v>-0.20478036901909702</v>
      </c>
      <c r="H970" s="203">
        <v>0.20478036901909702</v>
      </c>
      <c r="I970" s="192">
        <v>-42961.517168100196</v>
      </c>
      <c r="K970" s="202">
        <v>-132593.08076522974</v>
      </c>
      <c r="L970" s="202">
        <v>-183438.64214056515</v>
      </c>
      <c r="M970" s="221">
        <v>50845.561375335412</v>
      </c>
      <c r="N970" s="221">
        <v>50845.561375335434</v>
      </c>
      <c r="O970" s="221">
        <v>-209793.14264295407</v>
      </c>
      <c r="Q970" s="204">
        <f t="shared" si="15"/>
        <v>0</v>
      </c>
      <c r="R970" s="204">
        <f>IF(MAX(K971:L971)=K971,1,0)</f>
        <v>1</v>
      </c>
    </row>
    <row r="971" spans="1:18" x14ac:dyDescent="0.3">
      <c r="A971" s="110">
        <v>966</v>
      </c>
      <c r="C971" s="191">
        <v>0.91144224658949347</v>
      </c>
      <c r="D971" s="192">
        <v>112434.36302531225</v>
      </c>
      <c r="E971" s="192">
        <v>0.75226216591241035</v>
      </c>
      <c r="F971" s="192">
        <v>79932.23620313115</v>
      </c>
      <c r="G971" s="192">
        <v>-0.15918008067708311</v>
      </c>
      <c r="H971" s="203">
        <v>0.15918008067708311</v>
      </c>
      <c r="I971" s="192">
        <v>-32502.126822181104</v>
      </c>
      <c r="K971" s="202">
        <v>-108894.32959075895</v>
      </c>
      <c r="L971" s="202">
        <v>-147524.88951900776</v>
      </c>
      <c r="M971" s="221">
        <v>38630.559928248811</v>
      </c>
      <c r="N971" s="221">
        <v>38630.559928248804</v>
      </c>
      <c r="O971" s="221">
        <v>-204184.63594145156</v>
      </c>
      <c r="Q971" s="204">
        <f t="shared" si="15"/>
        <v>0</v>
      </c>
      <c r="R971" s="204">
        <f>IF(MAX(K972:L972)=K972,1,0)</f>
        <v>1</v>
      </c>
    </row>
    <row r="972" spans="1:18" x14ac:dyDescent="0.3">
      <c r="A972" s="110">
        <v>967</v>
      </c>
      <c r="C972" s="191">
        <v>1.2969121335986806</v>
      </c>
      <c r="D972" s="192">
        <v>98884.364506583777</v>
      </c>
      <c r="E972" s="192">
        <v>1.2292203097217507</v>
      </c>
      <c r="F972" s="192">
        <v>82862.415339757354</v>
      </c>
      <c r="G972" s="192">
        <v>-6.7691823876929957E-2</v>
      </c>
      <c r="H972" s="203">
        <v>6.7691823876929957E-2</v>
      </c>
      <c r="I972" s="192">
        <v>-16021.949166826424</v>
      </c>
      <c r="K972" s="202">
        <v>-130187.39726404476</v>
      </c>
      <c r="L972" s="202">
        <v>-148815.48165013298</v>
      </c>
      <c r="M972" s="221">
        <v>18628.084386088216</v>
      </c>
      <c r="N972" s="221">
        <v>18628.084386088227</v>
      </c>
      <c r="O972" s="221">
        <v>-236689.57710396193</v>
      </c>
      <c r="Q972" s="204">
        <f t="shared" si="15"/>
        <v>0</v>
      </c>
      <c r="R972" s="204">
        <f>IF(MAX(K973:L973)=K973,1,0)</f>
        <v>1</v>
      </c>
    </row>
    <row r="973" spans="1:18" x14ac:dyDescent="0.3">
      <c r="A973" s="110">
        <v>968</v>
      </c>
      <c r="C973" s="191">
        <v>1.2682068105169186</v>
      </c>
      <c r="D973" s="192">
        <v>133178.82685434993</v>
      </c>
      <c r="E973" s="192">
        <v>1.1074510383586955</v>
      </c>
      <c r="F973" s="192">
        <v>98433.858148372601</v>
      </c>
      <c r="G973" s="192">
        <v>-0.16075577215822312</v>
      </c>
      <c r="H973" s="203">
        <v>0.16075577215822312</v>
      </c>
      <c r="I973" s="192">
        <v>-34744.968705977328</v>
      </c>
      <c r="K973" s="202">
        <v>-141070.72312518238</v>
      </c>
      <c r="L973" s="202">
        <v>-182004.78905925131</v>
      </c>
      <c r="M973" s="221">
        <v>40934.065934068931</v>
      </c>
      <c r="N973" s="221">
        <v>40934.065934068916</v>
      </c>
      <c r="O973" s="221">
        <v>-216135.12373154325</v>
      </c>
      <c r="Q973" s="204">
        <f t="shared" si="15"/>
        <v>0</v>
      </c>
      <c r="R973" s="204">
        <f>IF(MAX(K974:L974)=K974,1,0)</f>
        <v>1</v>
      </c>
    </row>
    <row r="974" spans="1:18" x14ac:dyDescent="0.3">
      <c r="A974" s="110">
        <v>969</v>
      </c>
      <c r="C974" s="191">
        <v>1.3181854615929365</v>
      </c>
      <c r="D974" s="192">
        <v>130830.64806995801</v>
      </c>
      <c r="E974" s="192">
        <v>1.1875452054594695</v>
      </c>
      <c r="F974" s="192">
        <v>100294.61550723322</v>
      </c>
      <c r="G974" s="192">
        <v>-0.13064025613346697</v>
      </c>
      <c r="H974" s="203">
        <v>0.13064025613346697</v>
      </c>
      <c r="I974" s="192">
        <v>-30536.032562724795</v>
      </c>
      <c r="K974" s="202">
        <v>-146015.1059174228</v>
      </c>
      <c r="L974" s="202">
        <v>-181580.78834128607</v>
      </c>
      <c r="M974" s="221">
        <v>35565.682423863269</v>
      </c>
      <c r="N974" s="221">
        <v>35565.682423863276</v>
      </c>
      <c r="O974" s="221">
        <v>-233741.3708951094</v>
      </c>
      <c r="Q974" s="204">
        <f t="shared" si="15"/>
        <v>0</v>
      </c>
      <c r="R974" s="204">
        <f>IF(MAX(K975:L975)=K975,1,0)</f>
        <v>1</v>
      </c>
    </row>
    <row r="975" spans="1:18" x14ac:dyDescent="0.3">
      <c r="A975" s="110">
        <v>970</v>
      </c>
      <c r="C975" s="191">
        <v>1.2657533228832865</v>
      </c>
      <c r="D975" s="192">
        <v>117610.67972380709</v>
      </c>
      <c r="E975" s="192">
        <v>1.0860353368310312</v>
      </c>
      <c r="F975" s="192">
        <v>77418.024183256348</v>
      </c>
      <c r="G975" s="192">
        <v>-0.17971798605225531</v>
      </c>
      <c r="H975" s="203">
        <v>0.17971798605225531</v>
      </c>
      <c r="I975" s="192">
        <v>-40192.655540550739</v>
      </c>
      <c r="K975" s="202">
        <v>-119230.38465125105</v>
      </c>
      <c r="L975" s="202">
        <v>-166342.18265481363</v>
      </c>
      <c r="M975" s="221">
        <v>47111.798003562581</v>
      </c>
      <c r="N975" s="221">
        <v>47111.798003562566</v>
      </c>
      <c r="O975" s="221">
        <v>-223642.92202152882</v>
      </c>
      <c r="Q975" s="204">
        <f t="shared" si="15"/>
        <v>0</v>
      </c>
      <c r="R975" s="204">
        <f>IF(MAX(K976:L976)=K976,1,0)</f>
        <v>1</v>
      </c>
    </row>
    <row r="976" spans="1:18" x14ac:dyDescent="0.3">
      <c r="A976" s="110">
        <v>971</v>
      </c>
      <c r="C976" s="191">
        <v>1.7767894325978832</v>
      </c>
      <c r="D976" s="192">
        <v>112135.33388753752</v>
      </c>
      <c r="E976" s="192">
        <v>1.6129549684622415</v>
      </c>
      <c r="F976" s="192">
        <v>72486.493217380688</v>
      </c>
      <c r="G976" s="192">
        <v>-0.16383446413564173</v>
      </c>
      <c r="H976" s="203">
        <v>0.16383446413564173</v>
      </c>
      <c r="I976" s="192">
        <v>-39648.840670156831</v>
      </c>
      <c r="K976" s="202">
        <v>-134585.25950317699</v>
      </c>
      <c r="L976" s="202">
        <v>-180541.72704255604</v>
      </c>
      <c r="M976" s="221">
        <v>45956.467539379053</v>
      </c>
      <c r="N976" s="221">
        <v>45956.467539379038</v>
      </c>
      <c r="O976" s="221">
        <v>-242005.4954818956</v>
      </c>
      <c r="Q976" s="204">
        <f t="shared" si="15"/>
        <v>0</v>
      </c>
      <c r="R976" s="204">
        <f>IF(MAX(K977:L977)=K977,1,0)</f>
        <v>1</v>
      </c>
    </row>
    <row r="977" spans="1:18" x14ac:dyDescent="0.3">
      <c r="A977" s="110">
        <v>972</v>
      </c>
      <c r="C977" s="191">
        <v>1.2687331071525234</v>
      </c>
      <c r="D977" s="192">
        <v>131219.82054883224</v>
      </c>
      <c r="E977" s="192">
        <v>1.2395837452664307</v>
      </c>
      <c r="F977" s="192">
        <v>105474.11395225182</v>
      </c>
      <c r="G977" s="192">
        <v>-2.9149361886092739E-2</v>
      </c>
      <c r="H977" s="203">
        <v>2.9149361886092739E-2</v>
      </c>
      <c r="I977" s="192">
        <v>-25745.706596580421</v>
      </c>
      <c r="K977" s="202">
        <v>-153198.08814500942</v>
      </c>
      <c r="L977" s="202">
        <v>-180066.0451742044</v>
      </c>
      <c r="M977" s="221">
        <v>26867.957029194979</v>
      </c>
      <c r="N977" s="221">
        <v>26867.957029194993</v>
      </c>
      <c r="O977" s="221">
        <v>-883233.96914097748</v>
      </c>
      <c r="Q977" s="204">
        <f t="shared" si="15"/>
        <v>0</v>
      </c>
      <c r="R977" s="204">
        <f>IF(MAX(K978:L978)=K978,1,0)</f>
        <v>1</v>
      </c>
    </row>
    <row r="978" spans="1:18" x14ac:dyDescent="0.3">
      <c r="A978" s="110">
        <v>973</v>
      </c>
      <c r="C978" s="191">
        <v>1.2766260633780697</v>
      </c>
      <c r="D978" s="192">
        <v>124906.55182262721</v>
      </c>
      <c r="E978" s="192">
        <v>1.1009598633670601</v>
      </c>
      <c r="F978" s="192">
        <v>92941.929344689459</v>
      </c>
      <c r="G978" s="192">
        <v>-0.17566620001100963</v>
      </c>
      <c r="H978" s="203">
        <v>0.17566620001100963</v>
      </c>
      <c r="I978" s="192">
        <v>-31964.622477937752</v>
      </c>
      <c r="K978" s="202">
        <v>-135328.88408432127</v>
      </c>
      <c r="L978" s="202">
        <v>-174056.65526268288</v>
      </c>
      <c r="M978" s="221">
        <v>38727.771178361611</v>
      </c>
      <c r="N978" s="221">
        <v>38727.771178361625</v>
      </c>
      <c r="O978" s="221">
        <v>-181962.28116697699</v>
      </c>
      <c r="Q978" s="204">
        <f t="shared" si="15"/>
        <v>0</v>
      </c>
      <c r="R978" s="204">
        <f>IF(MAX(K979:L979)=K979,1,0)</f>
        <v>1</v>
      </c>
    </row>
    <row r="979" spans="1:18" x14ac:dyDescent="0.3">
      <c r="A979" s="110">
        <v>974</v>
      </c>
      <c r="C979" s="191">
        <v>1.4176101831661099</v>
      </c>
      <c r="D979" s="192">
        <v>100792.36926200085</v>
      </c>
      <c r="E979" s="192">
        <v>1.3944087123438293</v>
      </c>
      <c r="F979" s="192">
        <v>76049.529721807456</v>
      </c>
      <c r="G979" s="192">
        <v>-2.3201470822280523E-2</v>
      </c>
      <c r="H979" s="203">
        <v>2.3201470822280523E-2</v>
      </c>
      <c r="I979" s="192">
        <v>-24742.839540193396</v>
      </c>
      <c r="K979" s="202">
        <v>-129734.26514704488</v>
      </c>
      <c r="L979" s="202">
        <v>-155370.36131389608</v>
      </c>
      <c r="M979" s="221">
        <v>25636.096166851203</v>
      </c>
      <c r="N979" s="221">
        <v>25636.096166851195</v>
      </c>
      <c r="O979" s="221">
        <v>-1066434.0950502451</v>
      </c>
      <c r="Q979" s="204">
        <f t="shared" si="15"/>
        <v>0</v>
      </c>
      <c r="R979" s="204">
        <f>IF(MAX(K980:L980)=K980,1,0)</f>
        <v>1</v>
      </c>
    </row>
    <row r="980" spans="1:18" x14ac:dyDescent="0.3">
      <c r="A980" s="110">
        <v>975</v>
      </c>
      <c r="C980" s="191">
        <v>1.0848881533216179</v>
      </c>
      <c r="D980" s="192">
        <v>119669.28205683293</v>
      </c>
      <c r="E980" s="192">
        <v>1.0515486462657808</v>
      </c>
      <c r="F980" s="192">
        <v>96671.467675570355</v>
      </c>
      <c r="G980" s="192">
        <v>-3.3339507055837103E-2</v>
      </c>
      <c r="H980" s="203">
        <v>3.3339507055837103E-2</v>
      </c>
      <c r="I980" s="192">
        <v>-22997.814381262579</v>
      </c>
      <c r="K980" s="202">
        <v>-137156.09055680293</v>
      </c>
      <c r="L980" s="202">
        <v>-161437.47595971523</v>
      </c>
      <c r="M980" s="221">
        <v>24281.385402912303</v>
      </c>
      <c r="N980" s="221">
        <v>24281.385402912307</v>
      </c>
      <c r="O980" s="221">
        <v>-689806.67118880234</v>
      </c>
      <c r="Q980" s="204">
        <f t="shared" si="15"/>
        <v>0</v>
      </c>
      <c r="R980" s="204">
        <f>IF(MAX(K981:L981)=K981,1,0)</f>
        <v>1</v>
      </c>
    </row>
    <row r="981" spans="1:18" x14ac:dyDescent="0.3">
      <c r="A981" s="110">
        <v>976</v>
      </c>
      <c r="C981" s="191">
        <v>1.6435206273881042</v>
      </c>
      <c r="D981" s="192">
        <v>125842.53730371939</v>
      </c>
      <c r="E981" s="192">
        <v>1.5274762891759479</v>
      </c>
      <c r="F981" s="192">
        <v>94232.022731255391</v>
      </c>
      <c r="G981" s="192">
        <v>-0.11604433821215632</v>
      </c>
      <c r="H981" s="203">
        <v>0.11604433821215632</v>
      </c>
      <c r="I981" s="192">
        <v>-31610.514572464002</v>
      </c>
      <c r="K981" s="202">
        <v>-153039.8598645294</v>
      </c>
      <c r="L981" s="202">
        <v>-189118.08145816141</v>
      </c>
      <c r="M981" s="221">
        <v>36078.221593632014</v>
      </c>
      <c r="N981" s="221">
        <v>36078.221593632021</v>
      </c>
      <c r="O981" s="221">
        <v>-272400.31749478856</v>
      </c>
      <c r="Q981" s="204">
        <f t="shared" si="15"/>
        <v>0</v>
      </c>
      <c r="R981" s="204">
        <f>IF(MAX(K982:L982)=K982,1,0)</f>
        <v>1</v>
      </c>
    </row>
    <row r="982" spans="1:18" x14ac:dyDescent="0.3">
      <c r="A982" s="110">
        <v>977</v>
      </c>
      <c r="C982" s="191">
        <v>1.3949143302351077</v>
      </c>
      <c r="D982" s="192">
        <v>124090.84882029616</v>
      </c>
      <c r="E982" s="192">
        <v>1.3419712936860124</v>
      </c>
      <c r="F982" s="192">
        <v>100989.64907734863</v>
      </c>
      <c r="G982" s="192">
        <v>-5.2943036549095268E-2</v>
      </c>
      <c r="H982" s="203">
        <v>5.2943036549095268E-2</v>
      </c>
      <c r="I982" s="192">
        <v>-23101.19974294753</v>
      </c>
      <c r="K982" s="202">
        <v>-152655.54388426011</v>
      </c>
      <c r="L982" s="202">
        <v>-177795.0505343478</v>
      </c>
      <c r="M982" s="221">
        <v>25139.506650087686</v>
      </c>
      <c r="N982" s="221">
        <v>25139.5066500877</v>
      </c>
      <c r="O982" s="221">
        <v>-436340.66439550114</v>
      </c>
      <c r="Q982" s="204">
        <f t="shared" si="15"/>
        <v>0</v>
      </c>
      <c r="R982" s="204">
        <f>IF(MAX(K983:L983)=K983,1,0)</f>
        <v>1</v>
      </c>
    </row>
    <row r="983" spans="1:18" x14ac:dyDescent="0.3">
      <c r="A983" s="110">
        <v>978</v>
      </c>
      <c r="C983" s="191">
        <v>1.0982204854760791</v>
      </c>
      <c r="D983" s="192">
        <v>119599.68895194899</v>
      </c>
      <c r="E983" s="192">
        <v>0.9021252513726149</v>
      </c>
      <c r="F983" s="192">
        <v>88271.403463037364</v>
      </c>
      <c r="G983" s="192">
        <v>-0.19609523410346419</v>
      </c>
      <c r="H983" s="203">
        <v>0.19609523410346419</v>
      </c>
      <c r="I983" s="192">
        <v>-31328.285488911628</v>
      </c>
      <c r="K983" s="202">
        <v>-123003.22564088303</v>
      </c>
      <c r="L983" s="202">
        <v>-161881.17764277803</v>
      </c>
      <c r="M983" s="221">
        <v>38877.952001894999</v>
      </c>
      <c r="N983" s="221">
        <v>38877.952001894999</v>
      </c>
      <c r="O983" s="221">
        <v>-159760.56548310671</v>
      </c>
      <c r="Q983" s="204">
        <f t="shared" si="15"/>
        <v>0</v>
      </c>
      <c r="R983" s="204">
        <f>IF(MAX(K984:L984)=K984,1,0)</f>
        <v>1</v>
      </c>
    </row>
    <row r="984" spans="1:18" x14ac:dyDescent="0.3">
      <c r="A984" s="110">
        <v>979</v>
      </c>
      <c r="C984" s="191">
        <v>1.265331671411859</v>
      </c>
      <c r="D984" s="192">
        <v>88682.205189013359</v>
      </c>
      <c r="E984" s="192">
        <v>1.0237970690606419</v>
      </c>
      <c r="F984" s="192">
        <v>59231.807156890827</v>
      </c>
      <c r="G984" s="192">
        <v>-0.24153460235121704</v>
      </c>
      <c r="H984" s="203">
        <v>0.24153460235121704</v>
      </c>
      <c r="I984" s="192">
        <v>-29450.398032122532</v>
      </c>
      <c r="K984" s="202">
        <v>-98647.994315725547</v>
      </c>
      <c r="L984" s="202">
        <v>-137397.47453836992</v>
      </c>
      <c r="M984" s="221">
        <v>38749.480222644372</v>
      </c>
      <c r="N984" s="221">
        <v>38749.480222644386</v>
      </c>
      <c r="O984" s="221">
        <v>-121930.3476414469</v>
      </c>
      <c r="Q984" s="204">
        <f t="shared" si="15"/>
        <v>0</v>
      </c>
      <c r="R984" s="204">
        <f>IF(MAX(K985:L985)=K985,1,0)</f>
        <v>1</v>
      </c>
    </row>
    <row r="985" spans="1:18" x14ac:dyDescent="0.3">
      <c r="A985" s="110">
        <v>980</v>
      </c>
      <c r="C985" s="191">
        <v>1.2516197489305678</v>
      </c>
      <c r="D985" s="192">
        <v>112210.69497061534</v>
      </c>
      <c r="E985" s="192">
        <v>1.2215455227075058</v>
      </c>
      <c r="F985" s="192">
        <v>91826.157461541879</v>
      </c>
      <c r="G985" s="192">
        <v>-3.0074226223061995E-2</v>
      </c>
      <c r="H985" s="203">
        <v>3.0074226223061995E-2</v>
      </c>
      <c r="I985" s="192">
        <v>-20384.53750907346</v>
      </c>
      <c r="K985" s="202">
        <v>-138855.66008578084</v>
      </c>
      <c r="L985" s="202">
        <v>-160398.05530444218</v>
      </c>
      <c r="M985" s="221">
        <v>21542.395218661346</v>
      </c>
      <c r="N985" s="221">
        <v>21542.395218661346</v>
      </c>
      <c r="O985" s="221">
        <v>-677807.54716282163</v>
      </c>
      <c r="Q985" s="204">
        <f t="shared" si="15"/>
        <v>0</v>
      </c>
      <c r="R985" s="204">
        <f>IF(MAX(K986:L986)=K986,1,0)</f>
        <v>1</v>
      </c>
    </row>
    <row r="986" spans="1:18" x14ac:dyDescent="0.3">
      <c r="A986" s="110">
        <v>981</v>
      </c>
      <c r="C986" s="191">
        <v>1.300978948627117</v>
      </c>
      <c r="D986" s="192">
        <v>121636.69747037155</v>
      </c>
      <c r="E986" s="192">
        <v>1.1875622391669189</v>
      </c>
      <c r="F986" s="192">
        <v>92309.276036459938</v>
      </c>
      <c r="G986" s="192">
        <v>-0.11341670946019811</v>
      </c>
      <c r="H986" s="203">
        <v>0.11341670946019811</v>
      </c>
      <c r="I986" s="192">
        <v>-29327.421433911615</v>
      </c>
      <c r="K986" s="202">
        <v>-138030.42224438631</v>
      </c>
      <c r="L986" s="202">
        <v>-171724.38699251556</v>
      </c>
      <c r="M986" s="221">
        <v>33693.964748129249</v>
      </c>
      <c r="N986" s="221">
        <v>33693.964748129241</v>
      </c>
      <c r="O986" s="221">
        <v>-258581.13476836175</v>
      </c>
      <c r="Q986" s="204">
        <f t="shared" si="15"/>
        <v>0</v>
      </c>
      <c r="R986" s="204">
        <f>IF(MAX(K987:L987)=K987,1,0)</f>
        <v>1</v>
      </c>
    </row>
    <row r="987" spans="1:18" x14ac:dyDescent="0.3">
      <c r="A987" s="110">
        <v>982</v>
      </c>
      <c r="C987" s="191">
        <v>1.1723253136395224</v>
      </c>
      <c r="D987" s="192">
        <v>161831.80968664979</v>
      </c>
      <c r="E987" s="192">
        <v>0.93364593534620166</v>
      </c>
      <c r="F987" s="192">
        <v>108145.29315417635</v>
      </c>
      <c r="G987" s="192">
        <v>-0.23867937829332075</v>
      </c>
      <c r="H987" s="203">
        <v>0.23867937829332075</v>
      </c>
      <c r="I987" s="192">
        <v>-53686.516532473441</v>
      </c>
      <c r="K987" s="202">
        <v>-144090.66166500511</v>
      </c>
      <c r="L987" s="202">
        <v>-206966.33426177141</v>
      </c>
      <c r="M987" s="221">
        <v>62875.672596766293</v>
      </c>
      <c r="N987" s="221">
        <v>62875.672596766293</v>
      </c>
      <c r="O987" s="221">
        <v>-224931.5249451352</v>
      </c>
      <c r="Q987" s="204">
        <f t="shared" si="15"/>
        <v>0</v>
      </c>
      <c r="R987" s="204">
        <f>IF(MAX(K988:L988)=K988,1,0)</f>
        <v>1</v>
      </c>
    </row>
    <row r="988" spans="1:18" x14ac:dyDescent="0.3">
      <c r="A988" s="110">
        <v>983</v>
      </c>
      <c r="C988" s="191">
        <v>0.94365262002668027</v>
      </c>
      <c r="D988" s="192">
        <v>107240.84980429117</v>
      </c>
      <c r="E988" s="192">
        <v>0.80977833869061111</v>
      </c>
      <c r="F988" s="192">
        <v>78642.041742008078</v>
      </c>
      <c r="G988" s="192">
        <v>-0.13387428133606916</v>
      </c>
      <c r="H988" s="203">
        <v>0.13387428133606916</v>
      </c>
      <c r="I988" s="192">
        <v>-28598.808062283089</v>
      </c>
      <c r="K988" s="202">
        <v>-109818.50778159661</v>
      </c>
      <c r="L988" s="202">
        <v>-143571.47567531836</v>
      </c>
      <c r="M988" s="221">
        <v>33752.967893721754</v>
      </c>
      <c r="N988" s="221">
        <v>33752.967893721754</v>
      </c>
      <c r="O988" s="221">
        <v>-213624.36292367859</v>
      </c>
      <c r="Q988" s="204">
        <f t="shared" si="15"/>
        <v>0</v>
      </c>
      <c r="R988" s="204">
        <f>IF(MAX(K989:L989)=K989,1,0)</f>
        <v>1</v>
      </c>
    </row>
    <row r="989" spans="1:18" x14ac:dyDescent="0.3">
      <c r="A989" s="110">
        <v>984</v>
      </c>
      <c r="C989" s="191">
        <v>1.0641027081462688</v>
      </c>
      <c r="D989" s="192">
        <v>98187.314448917066</v>
      </c>
      <c r="E989" s="192">
        <v>1.020379734683069</v>
      </c>
      <c r="F989" s="192">
        <v>83949.880912285706</v>
      </c>
      <c r="G989" s="192">
        <v>-4.3722973463199866E-2</v>
      </c>
      <c r="H989" s="203">
        <v>4.3722973463199866E-2</v>
      </c>
      <c r="I989" s="192">
        <v>-14237.433536631361</v>
      </c>
      <c r="K989" s="202">
        <v>-123234.50069758386</v>
      </c>
      <c r="L989" s="202">
        <v>-139155.26871254842</v>
      </c>
      <c r="M989" s="221">
        <v>15920.76801496456</v>
      </c>
      <c r="N989" s="221">
        <v>15920.768014964555</v>
      </c>
      <c r="O989" s="221">
        <v>-325628.2089006257</v>
      </c>
      <c r="Q989" s="204">
        <f t="shared" si="15"/>
        <v>0</v>
      </c>
      <c r="R989" s="204">
        <f>IF(MAX(K990:L990)=K990,1,0)</f>
        <v>1</v>
      </c>
    </row>
    <row r="990" spans="1:18" x14ac:dyDescent="0.3">
      <c r="A990" s="110">
        <v>985</v>
      </c>
      <c r="C990" s="191">
        <v>1.1831350694113847</v>
      </c>
      <c r="D990" s="192">
        <v>149320.09842594538</v>
      </c>
      <c r="E990" s="192">
        <v>1.0587767858462847</v>
      </c>
      <c r="F990" s="192">
        <v>120821.45061734755</v>
      </c>
      <c r="G990" s="192">
        <v>-0.12435828356510004</v>
      </c>
      <c r="H990" s="203">
        <v>0.12435828356510004</v>
      </c>
      <c r="I990" s="192">
        <v>-28498.647808597831</v>
      </c>
      <c r="K990" s="202">
        <v>-161584.35687242952</v>
      </c>
      <c r="L990" s="202">
        <v>-194870.7985982837</v>
      </c>
      <c r="M990" s="221">
        <v>33286.44172585418</v>
      </c>
      <c r="N990" s="221">
        <v>33286.44172585418</v>
      </c>
      <c r="O990" s="221">
        <v>-229165.65741822208</v>
      </c>
      <c r="Q990" s="204">
        <f t="shared" si="15"/>
        <v>0</v>
      </c>
      <c r="R990" s="204">
        <f>IF(MAX(K991:L991)=K991,1,0)</f>
        <v>1</v>
      </c>
    </row>
    <row r="991" spans="1:18" x14ac:dyDescent="0.3">
      <c r="A991" s="110">
        <v>986</v>
      </c>
      <c r="C991" s="191">
        <v>1.490548144701243</v>
      </c>
      <c r="D991" s="192">
        <v>124821.24220910184</v>
      </c>
      <c r="E991" s="192">
        <v>1.2777089883630199</v>
      </c>
      <c r="F991" s="192">
        <v>88285.824516518245</v>
      </c>
      <c r="G991" s="192">
        <v>-0.21283915633822303</v>
      </c>
      <c r="H991" s="203">
        <v>0.21283915633822303</v>
      </c>
      <c r="I991" s="192">
        <v>-36535.417692583593</v>
      </c>
      <c r="K991" s="202">
        <v>-137477.62056849452</v>
      </c>
      <c r="L991" s="202">
        <v>-182207.34578009968</v>
      </c>
      <c r="M991" s="221">
        <v>44729.725211605168</v>
      </c>
      <c r="N991" s="221">
        <v>44729.725211605182</v>
      </c>
      <c r="O991" s="221">
        <v>-171657.40703522196</v>
      </c>
      <c r="Q991" s="204">
        <f t="shared" si="15"/>
        <v>0</v>
      </c>
      <c r="R991" s="204">
        <f>IF(MAX(K992:L992)=K992,1,0)</f>
        <v>1</v>
      </c>
    </row>
    <row r="992" spans="1:18" x14ac:dyDescent="0.3">
      <c r="A992" s="110">
        <v>987</v>
      </c>
      <c r="C992" s="191">
        <v>1.2292821004923684</v>
      </c>
      <c r="D992" s="192">
        <v>86944.330617057989</v>
      </c>
      <c r="E992" s="192">
        <v>1.2302598121983295</v>
      </c>
      <c r="F992" s="192">
        <v>72842.557944954053</v>
      </c>
      <c r="G992" s="192">
        <v>9.7771170596105961E-4</v>
      </c>
      <c r="H992" s="203">
        <v>-9.7771170596105961E-4</v>
      </c>
      <c r="I992" s="192">
        <v>-14101.772672103936</v>
      </c>
      <c r="K992" s="202">
        <v>-120207.56071458974</v>
      </c>
      <c r="L992" s="202">
        <v>-134271.69148601417</v>
      </c>
      <c r="M992" s="221">
        <v>14064.130771424432</v>
      </c>
      <c r="N992" s="221">
        <v>14064.130771424436</v>
      </c>
      <c r="O992" s="221">
        <v>14423242.133776378</v>
      </c>
      <c r="Q992" s="204">
        <f t="shared" si="15"/>
        <v>0</v>
      </c>
      <c r="R992" s="204">
        <f>IF(MAX(K993:L993)=K993,1,0)</f>
        <v>1</v>
      </c>
    </row>
    <row r="993" spans="1:18" x14ac:dyDescent="0.3">
      <c r="A993" s="110">
        <v>988</v>
      </c>
      <c r="C993" s="191">
        <v>1.1945310453475073</v>
      </c>
      <c r="D993" s="192">
        <v>125082.74273977587</v>
      </c>
      <c r="E993" s="192">
        <v>1.065910997704236</v>
      </c>
      <c r="F993" s="192">
        <v>90200.221979670838</v>
      </c>
      <c r="G993" s="192">
        <v>-0.12862004764327128</v>
      </c>
      <c r="H993" s="203">
        <v>0.12862004764327128</v>
      </c>
      <c r="I993" s="192">
        <v>-34882.520760105035</v>
      </c>
      <c r="K993" s="202">
        <v>-131237.79539128393</v>
      </c>
      <c r="L993" s="202">
        <v>-171072.18798565492</v>
      </c>
      <c r="M993" s="221">
        <v>39834.392594370991</v>
      </c>
      <c r="N993" s="221">
        <v>39834.392594370976</v>
      </c>
      <c r="O993" s="221">
        <v>-271205.93872622395</v>
      </c>
      <c r="Q993" s="204">
        <f t="shared" si="15"/>
        <v>0</v>
      </c>
      <c r="R993" s="204">
        <f>IF(MAX(K994:L994)=K994,1,0)</f>
        <v>1</v>
      </c>
    </row>
    <row r="994" spans="1:18" x14ac:dyDescent="0.3">
      <c r="A994" s="110">
        <v>989</v>
      </c>
      <c r="C994" s="191">
        <v>1.4254902709522352</v>
      </c>
      <c r="D994" s="192">
        <v>140956.9331026639</v>
      </c>
      <c r="E994" s="192">
        <v>1.3089674450688946</v>
      </c>
      <c r="F994" s="192">
        <v>106497.89382662023</v>
      </c>
      <c r="G994" s="192">
        <v>-0.11652282588334062</v>
      </c>
      <c r="H994" s="203">
        <v>0.11652282588334062</v>
      </c>
      <c r="I994" s="192">
        <v>-34459.039276043666</v>
      </c>
      <c r="K994" s="202">
        <v>-156893.14046177268</v>
      </c>
      <c r="L994" s="202">
        <v>-195838.30853432495</v>
      </c>
      <c r="M994" s="221">
        <v>38945.168072552275</v>
      </c>
      <c r="N994" s="221">
        <v>38945.168072552282</v>
      </c>
      <c r="O994" s="221">
        <v>-295727.80281301355</v>
      </c>
      <c r="Q994" s="204">
        <f t="shared" si="15"/>
        <v>0</v>
      </c>
      <c r="R994" s="204">
        <f>IF(MAX(K995:L995)=K995,1,0)</f>
        <v>1</v>
      </c>
    </row>
    <row r="995" spans="1:18" x14ac:dyDescent="0.3">
      <c r="A995" s="110">
        <v>990</v>
      </c>
      <c r="C995" s="191">
        <v>1.0962814685952063</v>
      </c>
      <c r="D995" s="192">
        <v>98099.613356482572</v>
      </c>
      <c r="E995" s="192">
        <v>0.92268277928321074</v>
      </c>
      <c r="F995" s="192">
        <v>63929.571958953915</v>
      </c>
      <c r="G995" s="192">
        <v>-0.17359868931199551</v>
      </c>
      <c r="H995" s="203">
        <v>0.17359868931199551</v>
      </c>
      <c r="I995" s="192">
        <v>-34170.041397528657</v>
      </c>
      <c r="K995" s="202">
        <v>-99452.858961357531</v>
      </c>
      <c r="L995" s="202">
        <v>-140306.44989739801</v>
      </c>
      <c r="M995" s="221">
        <v>40853.590936040477</v>
      </c>
      <c r="N995" s="221">
        <v>40853.590936040484</v>
      </c>
      <c r="O995" s="221">
        <v>-196833.52180221523</v>
      </c>
      <c r="Q995" s="204">
        <f t="shared" si="15"/>
        <v>0</v>
      </c>
      <c r="R995" s="204">
        <f>IF(MAX(K996:L996)=K996,1,0)</f>
        <v>1</v>
      </c>
    </row>
    <row r="996" spans="1:18" x14ac:dyDescent="0.3">
      <c r="A996" s="110">
        <v>991</v>
      </c>
      <c r="C996" s="191">
        <v>1.6202947459740398</v>
      </c>
      <c r="D996" s="192">
        <v>134903.81532301678</v>
      </c>
      <c r="E996" s="192">
        <v>1.4670571692750312</v>
      </c>
      <c r="F996" s="192">
        <v>104505.0761688464</v>
      </c>
      <c r="G996" s="192">
        <v>-0.15323757669900862</v>
      </c>
      <c r="H996" s="203">
        <v>0.15323757669900862</v>
      </c>
      <c r="I996" s="192">
        <v>-30398.739154170384</v>
      </c>
      <c r="K996" s="202">
        <v>-160986.77718593509</v>
      </c>
      <c r="L996" s="202">
        <v>-197285.16304301732</v>
      </c>
      <c r="M996" s="221">
        <v>36298.385857082234</v>
      </c>
      <c r="N996" s="221">
        <v>36298.385857082219</v>
      </c>
      <c r="O996" s="221">
        <v>-198376.53276049916</v>
      </c>
      <c r="Q996" s="204">
        <f t="shared" si="15"/>
        <v>0</v>
      </c>
      <c r="R996" s="204">
        <f>IF(MAX(K997:L997)=K997,1,0)</f>
        <v>1</v>
      </c>
    </row>
    <row r="997" spans="1:18" x14ac:dyDescent="0.3">
      <c r="A997" s="110">
        <v>992</v>
      </c>
      <c r="C997" s="191">
        <v>1.6681055254107446</v>
      </c>
      <c r="D997" s="192">
        <v>165605.81772544413</v>
      </c>
      <c r="E997" s="192">
        <v>1.4750759290669861</v>
      </c>
      <c r="F997" s="192">
        <v>93781.885183177656</v>
      </c>
      <c r="G997" s="192">
        <v>-0.19302959634375849</v>
      </c>
      <c r="H997" s="203">
        <v>0.19302959634375849</v>
      </c>
      <c r="I997" s="192">
        <v>-71823.93254226647</v>
      </c>
      <c r="K997" s="202">
        <v>-150572.30845225661</v>
      </c>
      <c r="L997" s="202">
        <v>-229827.8804537578</v>
      </c>
      <c r="M997" s="221">
        <v>79255.57200150119</v>
      </c>
      <c r="N997" s="221">
        <v>79255.572001501176</v>
      </c>
      <c r="O997" s="221">
        <v>-372087.66895185428</v>
      </c>
      <c r="Q997" s="204">
        <f t="shared" si="15"/>
        <v>0</v>
      </c>
      <c r="R997" s="204">
        <f>IF(MAX(K998:L998)=K998,1,0)</f>
        <v>1</v>
      </c>
    </row>
    <row r="998" spans="1:18" x14ac:dyDescent="0.3">
      <c r="A998" s="110">
        <v>993</v>
      </c>
      <c r="C998" s="191">
        <v>1.4686184364471435</v>
      </c>
      <c r="D998" s="192">
        <v>120334.84265646688</v>
      </c>
      <c r="E998" s="192">
        <v>1.4460775131910704</v>
      </c>
      <c r="F998" s="192">
        <v>106892.52867399319</v>
      </c>
      <c r="G998" s="192">
        <v>-2.2540923256073153E-2</v>
      </c>
      <c r="H998" s="203">
        <v>2.2540923256073153E-2</v>
      </c>
      <c r="I998" s="192">
        <v>-13442.313982473686</v>
      </c>
      <c r="K998" s="202">
        <v>-162566.5129318494</v>
      </c>
      <c r="L998" s="202">
        <v>-176876.65245968191</v>
      </c>
      <c r="M998" s="221">
        <v>14310.139527832507</v>
      </c>
      <c r="N998" s="221">
        <v>14310.139527832504</v>
      </c>
      <c r="O998" s="221">
        <v>-596351.52605614555</v>
      </c>
      <c r="Q998" s="204">
        <f t="shared" si="15"/>
        <v>0</v>
      </c>
      <c r="R998" s="204">
        <f>IF(MAX(K999:L999)=K999,1,0)</f>
        <v>1</v>
      </c>
    </row>
    <row r="999" spans="1:18" x14ac:dyDescent="0.3">
      <c r="A999" s="110">
        <v>994</v>
      </c>
      <c r="C999" s="191">
        <v>1.1652800138553323</v>
      </c>
      <c r="D999" s="192">
        <v>96390.790291285011</v>
      </c>
      <c r="E999" s="192">
        <v>1.0083507614252212</v>
      </c>
      <c r="F999" s="192">
        <v>73246.723833098105</v>
      </c>
      <c r="G999" s="192">
        <v>-0.15692925243011113</v>
      </c>
      <c r="H999" s="203">
        <v>0.15692925243011113</v>
      </c>
      <c r="I999" s="192">
        <v>-23144.066458186906</v>
      </c>
      <c r="K999" s="202">
        <v>-112068.22814796912</v>
      </c>
      <c r="L999" s="202">
        <v>-141254.07082471531</v>
      </c>
      <c r="M999" s="221">
        <v>29185.842676746193</v>
      </c>
      <c r="N999" s="221">
        <v>29185.842676746186</v>
      </c>
      <c r="O999" s="221">
        <v>-147480.89409585495</v>
      </c>
      <c r="Q999" s="204">
        <f t="shared" si="15"/>
        <v>0</v>
      </c>
      <c r="R999" s="204">
        <f>IF(MAX(K1000:L1000)=K1000,1,0)</f>
        <v>1</v>
      </c>
    </row>
    <row r="1000" spans="1:18" x14ac:dyDescent="0.3">
      <c r="A1000" s="110">
        <v>995</v>
      </c>
      <c r="C1000" s="191">
        <v>1.4042330363671895</v>
      </c>
      <c r="D1000" s="192">
        <v>87509.899878948563</v>
      </c>
      <c r="E1000" s="192">
        <v>1.2415223842311487</v>
      </c>
      <c r="F1000" s="192">
        <v>67391.139485347448</v>
      </c>
      <c r="G1000" s="192">
        <v>-0.16271065213604086</v>
      </c>
      <c r="H1000" s="203">
        <v>0.16271065213604086</v>
      </c>
      <c r="I1000" s="192">
        <v>-20118.760393601115</v>
      </c>
      <c r="K1000" s="202">
        <v>-115189.75127824667</v>
      </c>
      <c r="L1000" s="202">
        <v>-141572.87177908537</v>
      </c>
      <c r="M1000" s="221">
        <v>26383.120500838704</v>
      </c>
      <c r="N1000" s="221">
        <v>26383.12050083869</v>
      </c>
      <c r="O1000" s="221">
        <v>-123647.4694771674</v>
      </c>
      <c r="Q1000" s="204">
        <f t="shared" si="15"/>
        <v>0</v>
      </c>
      <c r="R1000" s="204">
        <f>IF(MAX(K1001:L1001)=K1001,1,0)</f>
        <v>1</v>
      </c>
    </row>
    <row r="1001" spans="1:18" x14ac:dyDescent="0.3">
      <c r="A1001" s="110">
        <v>996</v>
      </c>
      <c r="C1001" s="191">
        <v>1.7743623827717336</v>
      </c>
      <c r="D1001" s="192">
        <v>111320.44535111016</v>
      </c>
      <c r="E1001" s="192">
        <v>1.5988710073563956</v>
      </c>
      <c r="F1001" s="192">
        <v>76082.650624216039</v>
      </c>
      <c r="G1001" s="192">
        <v>-0.17549137541533799</v>
      </c>
      <c r="H1001" s="203">
        <v>0.17549137541533799</v>
      </c>
      <c r="I1001" s="192">
        <v>-35237.794726894121</v>
      </c>
      <c r="K1001" s="202">
        <v>-137639.18440743728</v>
      </c>
      <c r="L1001" s="202">
        <v>-179633.39708782191</v>
      </c>
      <c r="M1001" s="221">
        <v>41994.212680384633</v>
      </c>
      <c r="N1001" s="221">
        <v>41994.212680384633</v>
      </c>
      <c r="O1001" s="221">
        <v>-200795.02279525885</v>
      </c>
      <c r="Q1001" s="204">
        <f t="shared" si="15"/>
        <v>0</v>
      </c>
      <c r="R1001" s="204">
        <f>IF(MAX(K1002:L1002)=K1002,1,0)</f>
        <v>1</v>
      </c>
    </row>
    <row r="1002" spans="1:18" x14ac:dyDescent="0.3">
      <c r="A1002" s="110">
        <v>997</v>
      </c>
      <c r="C1002" s="191">
        <v>1.5079912655022623</v>
      </c>
      <c r="D1002" s="192">
        <v>141164.74285420784</v>
      </c>
      <c r="E1002" s="192">
        <v>1.3084146180874223</v>
      </c>
      <c r="F1002" s="192">
        <v>104162.10865758393</v>
      </c>
      <c r="G1002" s="192">
        <v>-0.19957664741483994</v>
      </c>
      <c r="H1002" s="203">
        <v>0.19957664741483994</v>
      </c>
      <c r="I1002" s="192">
        <v>-37002.634196623912</v>
      </c>
      <c r="K1002" s="202">
        <v>-154536.0714539497</v>
      </c>
      <c r="L1002" s="202">
        <v>-199222.40657604494</v>
      </c>
      <c r="M1002" s="221">
        <v>44686.335122095246</v>
      </c>
      <c r="N1002" s="221">
        <v>44686.335122095246</v>
      </c>
      <c r="O1002" s="221">
        <v>-185405.63074852267</v>
      </c>
      <c r="Q1002" s="204">
        <f t="shared" si="15"/>
        <v>0</v>
      </c>
      <c r="R1002" s="204">
        <f>IF(MAX(K1003:L1003)=K1003,1,0)</f>
        <v>1</v>
      </c>
    </row>
    <row r="1003" spans="1:18" x14ac:dyDescent="0.3">
      <c r="A1003" s="110">
        <v>998</v>
      </c>
      <c r="C1003" s="191">
        <v>1.3677763728276149</v>
      </c>
      <c r="D1003" s="192">
        <v>111329.04287602004</v>
      </c>
      <c r="E1003" s="192">
        <v>1.3201822592499788</v>
      </c>
      <c r="F1003" s="192">
        <v>96187.41615106634</v>
      </c>
      <c r="G1003" s="192">
        <v>-4.7594113577636099E-2</v>
      </c>
      <c r="H1003" s="203">
        <v>4.7594113577636099E-2</v>
      </c>
      <c r="I1003" s="192">
        <v>-15141.626724953705</v>
      </c>
      <c r="K1003" s="202">
        <v>-147014.43313219052</v>
      </c>
      <c r="L1003" s="202">
        <v>-163988.4332298832</v>
      </c>
      <c r="M1003" s="221">
        <v>16974.000097692682</v>
      </c>
      <c r="N1003" s="221">
        <v>16974.000097692693</v>
      </c>
      <c r="O1003" s="221">
        <v>-318140.74444845994</v>
      </c>
      <c r="Q1003" s="204">
        <f t="shared" si="15"/>
        <v>0</v>
      </c>
      <c r="R1003" s="204">
        <f>IF(MAX(K1004:L1004)=K1004,1,0)</f>
        <v>1</v>
      </c>
    </row>
    <row r="1004" spans="1:18" x14ac:dyDescent="0.3">
      <c r="A1004" s="110">
        <v>999</v>
      </c>
      <c r="C1004" s="191">
        <v>1.3693243024434452</v>
      </c>
      <c r="D1004" s="192">
        <v>132918.42269974705</v>
      </c>
      <c r="E1004" s="192">
        <v>1.2240705415717001</v>
      </c>
      <c r="F1004" s="192">
        <v>98991.424092528687</v>
      </c>
      <c r="G1004" s="192">
        <v>-0.14525376087174502</v>
      </c>
      <c r="H1004" s="203">
        <v>0.14525376087174502</v>
      </c>
      <c r="I1004" s="192">
        <v>-33926.998607218367</v>
      </c>
      <c r="K1004" s="202">
        <v>-146118.13994303913</v>
      </c>
      <c r="L1004" s="202">
        <v>-185637.4083438197</v>
      </c>
      <c r="M1004" s="221">
        <v>39519.268400780566</v>
      </c>
      <c r="N1004" s="221">
        <v>39519.268400780551</v>
      </c>
      <c r="O1004" s="221">
        <v>-233570.53479100586</v>
      </c>
      <c r="Q1004" s="204">
        <f t="shared" si="15"/>
        <v>0</v>
      </c>
      <c r="R1004" s="204">
        <f>IF(MAX(K1005:L1005)=K1005,1,0)</f>
        <v>1</v>
      </c>
    </row>
    <row r="1005" spans="1:18" x14ac:dyDescent="0.3">
      <c r="A1005" s="110">
        <v>1000</v>
      </c>
      <c r="C1005" s="191">
        <v>1.4580215248238206</v>
      </c>
      <c r="D1005" s="192">
        <v>144441.75181498745</v>
      </c>
      <c r="E1005" s="192">
        <v>1.284989012636536</v>
      </c>
      <c r="F1005" s="192">
        <v>106802.14229699584</v>
      </c>
      <c r="G1005" s="192">
        <v>-0.17303251218728466</v>
      </c>
      <c r="H1005" s="203">
        <v>0.17303251218728466</v>
      </c>
      <c r="I1005" s="192">
        <v>-37639.609517991616</v>
      </c>
      <c r="K1005" s="202">
        <v>-156274.21928350246</v>
      </c>
      <c r="L1005" s="202">
        <v>-200575.58052070456</v>
      </c>
      <c r="M1005" s="221">
        <v>44301.361237202102</v>
      </c>
      <c r="N1005" s="221">
        <v>44301.361237202073</v>
      </c>
      <c r="O1005" s="221">
        <v>-217529.11659313916</v>
      </c>
      <c r="Q1005" s="204">
        <f t="shared" si="15"/>
        <v>0</v>
      </c>
    </row>
    <row r="1007" spans="1:18" x14ac:dyDescent="0.3">
      <c r="C1007" s="201">
        <f t="shared" ref="C1007:I1007" si="16">AVERAGE(C6:C1005)</f>
        <v>1.3143100818558477</v>
      </c>
      <c r="D1007" s="201">
        <f t="shared" si="16"/>
        <v>122233.88902188819</v>
      </c>
      <c r="E1007" s="201">
        <f t="shared" si="16"/>
        <v>1.182784806667714</v>
      </c>
      <c r="F1007" s="201">
        <f t="shared" si="16"/>
        <v>91167.995745500957</v>
      </c>
      <c r="G1007" s="201">
        <f t="shared" si="16"/>
        <v>-0.13152527518813201</v>
      </c>
      <c r="H1007" s="201">
        <f t="shared" si="16"/>
        <v>0.13152527518813201</v>
      </c>
      <c r="I1007" s="202">
        <f t="shared" si="16"/>
        <v>-31065.893276387455</v>
      </c>
      <c r="N1007" s="226">
        <f>PERCENTILE(N6:N1005, 0.025)</f>
        <v>11647.591062295214</v>
      </c>
      <c r="O1007" s="226">
        <f>PERCENTILE(O6:O1005, 0.025)</f>
        <v>-856147.04018160084</v>
      </c>
    </row>
    <row r="1008" spans="1:18" x14ac:dyDescent="0.3">
      <c r="C1008" s="192">
        <f t="shared" ref="C1008:G1008" si="17">PERCENTILE(C6:C1005,0.025)</f>
        <v>0.98892481090759443</v>
      </c>
      <c r="D1008" s="226">
        <f t="shared" si="17"/>
        <v>83124.679523353159</v>
      </c>
      <c r="E1008" s="192">
        <f t="shared" si="17"/>
        <v>0.83366702212629806</v>
      </c>
      <c r="F1008" s="226">
        <f t="shared" si="17"/>
        <v>63923.159800281639</v>
      </c>
      <c r="G1008" s="192">
        <f t="shared" si="17"/>
        <v>-0.24695260483208009</v>
      </c>
      <c r="H1008" s="192">
        <f>PERCENTILE(H6:H1005,0.025)</f>
        <v>-1.1132909614939552E-2</v>
      </c>
      <c r="I1008" s="226">
        <f>PERCENTILE(I6:I1005,0.025)</f>
        <v>-53279.15712597048</v>
      </c>
      <c r="N1008" s="226">
        <f>PERCENTILE(N6:N1005, 0.975)</f>
        <v>61790.276750231053</v>
      </c>
      <c r="O1008" s="226">
        <f>PERCENTILE(O6:O1005, 0.975)</f>
        <v>400455.13678021467</v>
      </c>
    </row>
    <row r="1009" spans="1:15" x14ac:dyDescent="0.3">
      <c r="C1009" s="192">
        <f>PERCENTILE(C6:C1005,0.975)</f>
        <v>1.77131181692138</v>
      </c>
      <c r="D1009" s="226">
        <f t="shared" ref="D1009:G1009" si="18">PERCENTILE(D6:D1005,0.975)</f>
        <v>164129.78283511431</v>
      </c>
      <c r="E1009" s="192">
        <f t="shared" si="18"/>
        <v>1.6338212297431571</v>
      </c>
      <c r="F1009" s="226">
        <f t="shared" si="18"/>
        <v>122226.33610569395</v>
      </c>
      <c r="G1009" s="192">
        <f t="shared" si="18"/>
        <v>1.1132909614939493E-2</v>
      </c>
      <c r="H1009" s="192">
        <f>PERCENTILE(H6:H1005,0.975)</f>
        <v>0.24695260483208006</v>
      </c>
      <c r="I1009" s="226">
        <f>PERCENTILE(I6:I1005,0.975)</f>
        <v>-11522.076355687843</v>
      </c>
      <c r="N1009" s="226">
        <f>(H1010*Threshold)-Simulation!I1010</f>
        <v>23329205279.107227</v>
      </c>
      <c r="O1009" s="228">
        <f>O1007/A1012</f>
        <v>-57865.367184725139</v>
      </c>
    </row>
    <row r="1010" spans="1:15" x14ac:dyDescent="0.3">
      <c r="C1010" s="192">
        <f>C1008*South_African_births</f>
        <v>436529.69057804852</v>
      </c>
      <c r="D1010" s="226">
        <f t="shared" ref="C1010:I1011" si="19">D1008*South_African_births</f>
        <v>36692769997.778336</v>
      </c>
      <c r="E1010" s="227">
        <f t="shared" si="19"/>
        <v>367996.03286313027</v>
      </c>
      <c r="F1010" s="226">
        <f t="shared" si="19"/>
        <v>28216864275.837738</v>
      </c>
      <c r="G1010" s="192">
        <f t="shared" si="19"/>
        <v>-109009.44438420414</v>
      </c>
      <c r="H1010" s="192">
        <f t="shared" si="19"/>
        <v>-4914.2720820026525</v>
      </c>
      <c r="I1010" s="226">
        <f t="shared" si="19"/>
        <v>-23518404754.264328</v>
      </c>
      <c r="N1010" s="226">
        <f>(H1011*Threshold)-Simulation!I1011</f>
        <v>9282921083.4233074</v>
      </c>
      <c r="O1010" s="228">
        <f>O1008/A1012</f>
        <v>27066.009041952937</v>
      </c>
    </row>
    <row r="1011" spans="1:15" x14ac:dyDescent="0.3">
      <c r="C1011" s="192">
        <f t="shared" si="19"/>
        <v>781889.77648188651</v>
      </c>
      <c r="D1011" s="226">
        <f t="shared" si="19"/>
        <v>72449919878.0336</v>
      </c>
      <c r="E1011" s="227">
        <f t="shared" si="19"/>
        <v>721198.88995915768</v>
      </c>
      <c r="F1011" s="226">
        <f t="shared" si="19"/>
        <v>53952963958.644867</v>
      </c>
      <c r="G1011" s="192">
        <f t="shared" si="19"/>
        <v>4914.272082002627</v>
      </c>
      <c r="H1011" s="192">
        <f t="shared" si="19"/>
        <v>109009.44438420412</v>
      </c>
      <c r="I1011" s="226">
        <f t="shared" si="19"/>
        <v>-5086057474.6314487</v>
      </c>
      <c r="N1011" s="228">
        <f>N1009/A1012</f>
        <v>1576777079.4570799</v>
      </c>
    </row>
    <row r="1012" spans="1:15" x14ac:dyDescent="0.3">
      <c r="A1012" s="110">
        <v>14.795500000000001</v>
      </c>
      <c r="D1012" s="228">
        <f t="shared" ref="D1012:I1012" si="20">D1010/$A$1012</f>
        <v>2479995268.681581</v>
      </c>
      <c r="E1012" s="228"/>
      <c r="F1012" s="228">
        <f t="shared" si="20"/>
        <v>1907124752.5151389</v>
      </c>
      <c r="G1012" s="228"/>
      <c r="H1012" s="228"/>
      <c r="I1012" s="228">
        <f t="shared" si="20"/>
        <v>-1589564715.9112113</v>
      </c>
      <c r="N1012" s="228">
        <f>N1010/A1012</f>
        <v>627415165.65329373</v>
      </c>
    </row>
    <row r="1013" spans="1:15" x14ac:dyDescent="0.3">
      <c r="D1013" s="228">
        <f t="shared" ref="D1013:I1013" si="21">D1011/$A$1012</f>
        <v>4896753734.448555</v>
      </c>
      <c r="E1013" s="228"/>
      <c r="F1013" s="228">
        <f t="shared" si="21"/>
        <v>3646579294.9643383</v>
      </c>
      <c r="G1013" s="228"/>
      <c r="H1013" s="228"/>
      <c r="I1013" s="228">
        <f t="shared" si="21"/>
        <v>-343757052.79520452</v>
      </c>
    </row>
    <row r="1014" spans="1:15" x14ac:dyDescent="0.3">
      <c r="L1014" s="229"/>
    </row>
  </sheetData>
  <mergeCells count="1">
    <mergeCell ref="U3:V3"/>
  </mergeCells>
  <pageMargins left="0.75" right="0.75" top="1" bottom="1" header="0.5" footer="0.5"/>
  <pageSetup paperSize="9" orientation="portrait" horizontalDpi="4294967293"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tabColor theme="5" tint="0.79998168889431442"/>
  </sheetPr>
  <dimension ref="A1:IW133"/>
  <sheetViews>
    <sheetView topLeftCell="A67" zoomScale="70" zoomScaleNormal="70" workbookViewId="0">
      <selection activeCell="Q19" sqref="Q19"/>
    </sheetView>
  </sheetViews>
  <sheetFormatPr defaultColWidth="8.77734375" defaultRowHeight="14.4" x14ac:dyDescent="0.3"/>
  <cols>
    <col min="2" max="2" width="15.77734375" bestFit="1" customWidth="1"/>
    <col min="3" max="3" width="13.44140625" bestFit="1" customWidth="1"/>
    <col min="4" max="4" width="9" bestFit="1" customWidth="1"/>
    <col min="5" max="5" width="15.77734375" bestFit="1" customWidth="1"/>
    <col min="9" max="9" width="12" style="46" customWidth="1"/>
    <col min="10" max="10" width="10.5546875" bestFit="1" customWidth="1"/>
    <col min="11" max="11" width="9" bestFit="1" customWidth="1"/>
    <col min="12" max="12" width="15.77734375" bestFit="1" customWidth="1"/>
  </cols>
  <sheetData>
    <row r="1" spans="1:257" ht="15" thickBot="1" x14ac:dyDescent="0.35">
      <c r="A1" s="156"/>
      <c r="B1" s="243" t="s">
        <v>778</v>
      </c>
      <c r="C1" s="244"/>
      <c r="D1" s="244"/>
      <c r="E1" s="244"/>
      <c r="F1" s="244"/>
      <c r="G1" s="244"/>
      <c r="H1" s="244"/>
      <c r="I1" s="244"/>
      <c r="J1" s="244"/>
      <c r="K1" s="244"/>
      <c r="L1" s="244"/>
      <c r="M1" s="245"/>
      <c r="N1" s="156"/>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0"/>
      <c r="DL1" s="110"/>
      <c r="DM1" s="110"/>
      <c r="DN1" s="110"/>
      <c r="DO1" s="110"/>
      <c r="DP1" s="110"/>
      <c r="DQ1" s="110"/>
      <c r="DR1" s="110"/>
      <c r="DS1" s="110"/>
      <c r="DT1" s="110"/>
      <c r="DU1" s="110"/>
      <c r="DV1" s="110"/>
      <c r="DW1" s="110"/>
      <c r="DX1" s="110"/>
      <c r="DY1" s="110"/>
      <c r="DZ1" s="110"/>
      <c r="EA1" s="110"/>
      <c r="EB1" s="110"/>
      <c r="EC1" s="110"/>
      <c r="ED1" s="110"/>
      <c r="EE1" s="110"/>
      <c r="EF1" s="110"/>
      <c r="EG1" s="110"/>
      <c r="EH1" s="110"/>
      <c r="EI1" s="110"/>
      <c r="EJ1" s="110"/>
      <c r="EK1" s="110"/>
      <c r="EL1" s="110"/>
      <c r="EM1" s="110"/>
      <c r="EN1" s="110"/>
      <c r="EO1" s="110"/>
      <c r="EP1" s="110"/>
      <c r="EQ1" s="110"/>
      <c r="ER1" s="110"/>
      <c r="ES1" s="110"/>
      <c r="ET1" s="110"/>
      <c r="EU1" s="110"/>
      <c r="EV1" s="110"/>
      <c r="EW1" s="110"/>
      <c r="EX1" s="110"/>
      <c r="EY1" s="110"/>
      <c r="EZ1" s="110"/>
      <c r="FA1" s="110"/>
      <c r="FB1" s="110"/>
      <c r="FC1" s="110"/>
      <c r="FD1" s="110"/>
      <c r="FE1" s="110"/>
      <c r="FF1" s="110"/>
      <c r="FG1" s="110"/>
      <c r="FH1" s="110"/>
      <c r="FI1" s="110"/>
      <c r="FJ1" s="110"/>
      <c r="FK1" s="110"/>
      <c r="FL1" s="110"/>
      <c r="FM1" s="110"/>
      <c r="FN1" s="110"/>
      <c r="FO1" s="110"/>
      <c r="FP1" s="110"/>
      <c r="FQ1" s="110"/>
      <c r="FR1" s="110"/>
      <c r="FS1" s="110"/>
      <c r="FT1" s="110"/>
      <c r="FU1" s="110"/>
      <c r="FV1" s="110"/>
      <c r="FW1" s="110"/>
      <c r="FX1" s="110"/>
      <c r="FY1" s="110"/>
      <c r="FZ1" s="110"/>
      <c r="GA1" s="110"/>
      <c r="GB1" s="110"/>
      <c r="GC1" s="110"/>
      <c r="GD1" s="110"/>
      <c r="GE1" s="110"/>
      <c r="GF1" s="110"/>
      <c r="GG1" s="110"/>
      <c r="GH1" s="110"/>
      <c r="GI1" s="110"/>
      <c r="GJ1" s="110"/>
      <c r="GK1" s="110"/>
      <c r="GL1" s="110"/>
      <c r="GM1" s="110"/>
      <c r="GN1" s="110"/>
      <c r="GO1" s="110"/>
      <c r="GP1" s="110"/>
      <c r="GQ1" s="110"/>
      <c r="GR1" s="110"/>
      <c r="GS1" s="110"/>
      <c r="GT1" s="110"/>
      <c r="GU1" s="110"/>
      <c r="GV1" s="110"/>
      <c r="GW1" s="110"/>
      <c r="GX1" s="110"/>
      <c r="GY1" s="110"/>
      <c r="GZ1" s="110"/>
      <c r="HA1" s="110"/>
      <c r="HB1" s="110"/>
      <c r="HC1" s="110"/>
      <c r="HD1" s="110"/>
      <c r="HE1" s="110"/>
      <c r="HF1" s="110"/>
      <c r="HG1" s="110"/>
      <c r="HH1" s="110"/>
      <c r="HI1" s="110"/>
      <c r="HJ1" s="110"/>
      <c r="HK1" s="110"/>
      <c r="HL1" s="110"/>
      <c r="HM1" s="110"/>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row>
    <row r="2" spans="1:257" ht="15" thickBot="1" x14ac:dyDescent="0.35">
      <c r="A2" s="156"/>
      <c r="B2" s="157"/>
      <c r="C2" s="158"/>
      <c r="D2" s="158"/>
      <c r="E2" s="158"/>
      <c r="F2" s="156"/>
      <c r="G2" s="156"/>
      <c r="H2" s="156"/>
      <c r="I2" s="174"/>
      <c r="J2" s="156"/>
      <c r="K2" s="156"/>
      <c r="L2" s="156"/>
      <c r="M2" s="156"/>
      <c r="N2" s="156"/>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c r="CY2" s="110"/>
      <c r="CZ2" s="110"/>
      <c r="DA2" s="110"/>
      <c r="DB2" s="110"/>
      <c r="DC2" s="110"/>
      <c r="DD2" s="110"/>
      <c r="DE2" s="110"/>
      <c r="DF2" s="110"/>
      <c r="DG2" s="110"/>
      <c r="DH2" s="110"/>
      <c r="DI2" s="110"/>
      <c r="DJ2" s="110"/>
      <c r="DK2" s="110"/>
      <c r="DL2" s="110"/>
      <c r="DM2" s="110"/>
      <c r="DN2" s="110"/>
      <c r="DO2" s="110"/>
      <c r="DP2" s="110"/>
      <c r="DQ2" s="110"/>
      <c r="DR2" s="110"/>
      <c r="DS2" s="110"/>
      <c r="DT2" s="110"/>
      <c r="DU2" s="110"/>
      <c r="DV2" s="110"/>
      <c r="DW2" s="110"/>
      <c r="DX2" s="110"/>
      <c r="DY2" s="110"/>
      <c r="DZ2" s="110"/>
      <c r="EA2" s="110"/>
      <c r="EB2" s="110"/>
      <c r="EC2" s="110"/>
      <c r="ED2" s="110"/>
      <c r="EE2" s="110"/>
      <c r="EF2" s="110"/>
      <c r="EG2" s="110"/>
      <c r="EH2" s="110"/>
      <c r="EI2" s="110"/>
      <c r="EJ2" s="110"/>
      <c r="EK2" s="110"/>
      <c r="EL2" s="110"/>
      <c r="EM2" s="110"/>
      <c r="EN2" s="110"/>
      <c r="EO2" s="110"/>
      <c r="EP2" s="110"/>
      <c r="EQ2" s="110"/>
      <c r="ER2" s="110"/>
      <c r="ES2" s="110"/>
      <c r="ET2" s="110"/>
      <c r="EU2" s="110"/>
      <c r="EV2" s="110"/>
      <c r="EW2" s="110"/>
      <c r="EX2" s="110"/>
      <c r="EY2" s="110"/>
      <c r="EZ2" s="110"/>
      <c r="FA2" s="110"/>
      <c r="FB2" s="110"/>
      <c r="FC2" s="110"/>
      <c r="FD2" s="110"/>
      <c r="FE2" s="110"/>
      <c r="FF2" s="110"/>
      <c r="FG2" s="110"/>
      <c r="FH2" s="110"/>
      <c r="FI2" s="110"/>
      <c r="FJ2" s="110"/>
      <c r="FK2" s="110"/>
      <c r="FL2" s="110"/>
      <c r="FM2" s="110"/>
      <c r="FN2" s="110"/>
      <c r="FO2" s="110"/>
      <c r="FP2" s="110"/>
      <c r="FQ2" s="110"/>
      <c r="FR2" s="110"/>
      <c r="FS2" s="110"/>
      <c r="FT2" s="110"/>
      <c r="FU2" s="110"/>
      <c r="FV2" s="110"/>
      <c r="FW2" s="110"/>
      <c r="FX2" s="110"/>
      <c r="FY2" s="110"/>
      <c r="FZ2" s="110"/>
      <c r="GA2" s="110"/>
      <c r="GB2" s="110"/>
      <c r="GC2" s="110"/>
      <c r="GD2" s="110"/>
      <c r="GE2" s="110"/>
      <c r="GF2" s="110"/>
      <c r="GG2" s="110"/>
      <c r="GH2" s="110"/>
      <c r="GI2" s="110"/>
      <c r="GJ2" s="110"/>
      <c r="GK2" s="110"/>
      <c r="GL2" s="110"/>
      <c r="GM2" s="110"/>
      <c r="GN2" s="110"/>
      <c r="GO2" s="110"/>
      <c r="GP2" s="110"/>
      <c r="GQ2" s="110"/>
      <c r="GR2" s="110"/>
      <c r="GS2" s="110"/>
      <c r="GT2" s="110"/>
      <c r="GU2" s="110"/>
      <c r="GV2" s="110"/>
      <c r="GW2" s="110"/>
      <c r="GX2" s="110"/>
      <c r="GY2" s="110"/>
      <c r="GZ2" s="110"/>
      <c r="HA2" s="110"/>
      <c r="HB2" s="110"/>
      <c r="HC2" s="110"/>
      <c r="HD2" s="110"/>
      <c r="HE2" s="110"/>
      <c r="HF2" s="110"/>
      <c r="HG2" s="110"/>
      <c r="HH2" s="110"/>
      <c r="HI2" s="110"/>
      <c r="HJ2" s="110"/>
      <c r="HK2" s="110"/>
      <c r="HL2" s="110"/>
      <c r="HM2" s="110"/>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row>
    <row r="3" spans="1:257" ht="16.8" thickBot="1" x14ac:dyDescent="0.4">
      <c r="A3" s="156"/>
      <c r="B3" s="159" t="s">
        <v>786</v>
      </c>
      <c r="C3" s="160">
        <f>'Parameter Values'!C5</f>
        <v>-240790.60632569823</v>
      </c>
      <c r="D3" s="158"/>
      <c r="E3" s="158"/>
      <c r="F3" s="156"/>
      <c r="G3" s="156"/>
      <c r="H3" s="156"/>
      <c r="I3" s="182" t="s">
        <v>785</v>
      </c>
      <c r="J3" s="156"/>
      <c r="K3" s="156"/>
      <c r="L3" s="156"/>
      <c r="M3" s="156"/>
      <c r="N3" s="156"/>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c r="CY3" s="110"/>
      <c r="CZ3" s="110"/>
      <c r="DA3" s="110"/>
      <c r="DB3" s="110"/>
      <c r="DC3" s="110"/>
      <c r="DD3" s="110"/>
      <c r="DE3" s="110"/>
      <c r="DF3" s="110"/>
      <c r="DG3" s="110"/>
      <c r="DH3" s="110"/>
      <c r="DI3" s="110"/>
      <c r="DJ3" s="110"/>
      <c r="DK3" s="110"/>
      <c r="DL3" s="110"/>
      <c r="DM3" s="110"/>
      <c r="DN3" s="110"/>
      <c r="DO3" s="110"/>
      <c r="DP3" s="110"/>
      <c r="DQ3" s="110"/>
      <c r="DR3" s="110"/>
      <c r="DS3" s="110"/>
      <c r="DT3" s="110"/>
      <c r="DU3" s="110"/>
      <c r="DV3" s="110"/>
      <c r="DW3" s="110"/>
      <c r="DX3" s="110"/>
      <c r="DY3" s="110"/>
      <c r="DZ3" s="110"/>
      <c r="EA3" s="110"/>
      <c r="EB3" s="110"/>
      <c r="EC3" s="110"/>
      <c r="ED3" s="110"/>
      <c r="EE3" s="110"/>
      <c r="EF3" s="110"/>
      <c r="EG3" s="110"/>
      <c r="EH3" s="110"/>
      <c r="EI3" s="110"/>
      <c r="EJ3" s="110"/>
      <c r="EK3" s="110"/>
      <c r="EL3" s="110"/>
      <c r="EM3" s="110"/>
      <c r="EN3" s="110"/>
      <c r="EO3" s="110"/>
      <c r="EP3" s="110"/>
      <c r="EQ3" s="110"/>
      <c r="ER3" s="110"/>
      <c r="ES3" s="110"/>
      <c r="ET3" s="110"/>
      <c r="EU3" s="110"/>
      <c r="EV3" s="110"/>
      <c r="EW3" s="110"/>
      <c r="EX3" s="110"/>
      <c r="EY3" s="110"/>
      <c r="EZ3" s="110"/>
      <c r="FA3" s="110"/>
      <c r="FB3" s="110"/>
      <c r="FC3" s="110"/>
      <c r="FD3" s="110"/>
      <c r="FE3" s="110"/>
      <c r="FF3" s="110"/>
      <c r="FG3" s="110"/>
      <c r="FH3" s="110"/>
      <c r="FI3" s="110"/>
      <c r="FJ3" s="110"/>
      <c r="FK3" s="110"/>
      <c r="FL3" s="110"/>
      <c r="FM3" s="110"/>
      <c r="FN3" s="110"/>
      <c r="FO3" s="110"/>
      <c r="FP3" s="110"/>
      <c r="FQ3" s="110"/>
      <c r="FR3" s="110"/>
      <c r="FS3" s="110"/>
      <c r="FT3" s="110"/>
      <c r="FU3" s="110"/>
      <c r="FV3" s="110"/>
      <c r="FW3" s="110"/>
      <c r="FX3" s="110"/>
      <c r="FY3" s="110"/>
      <c r="FZ3" s="110"/>
      <c r="GA3" s="110"/>
      <c r="GB3" s="110"/>
      <c r="GC3" s="110"/>
      <c r="GD3" s="110"/>
      <c r="GE3" s="110"/>
      <c r="GF3" s="110"/>
      <c r="GG3" s="110"/>
      <c r="GH3" s="110"/>
      <c r="GI3" s="110"/>
      <c r="GJ3" s="110"/>
      <c r="GK3" s="110"/>
      <c r="GL3" s="110"/>
      <c r="GM3" s="110"/>
      <c r="GN3" s="110"/>
      <c r="GO3" s="110"/>
      <c r="GP3" s="110"/>
      <c r="GQ3" s="110"/>
      <c r="GR3" s="110"/>
      <c r="GS3" s="110"/>
      <c r="GT3" s="110"/>
      <c r="GU3" s="110"/>
      <c r="GV3" s="110"/>
      <c r="GW3" s="110"/>
      <c r="GX3" s="110"/>
      <c r="GY3" s="110"/>
      <c r="GZ3" s="110"/>
      <c r="HA3" s="110"/>
      <c r="HB3" s="110"/>
      <c r="HC3" s="110"/>
      <c r="HD3" s="110"/>
      <c r="HE3" s="110"/>
      <c r="HF3" s="110"/>
      <c r="HG3" s="110"/>
      <c r="HH3" s="110"/>
      <c r="HI3" s="110"/>
      <c r="HJ3" s="110"/>
      <c r="HK3" s="110"/>
      <c r="HL3" s="110"/>
      <c r="HM3" s="110"/>
      <c r="HN3" s="110"/>
      <c r="HO3" s="110"/>
      <c r="HP3" s="110"/>
      <c r="HQ3" s="110"/>
      <c r="HR3" s="110"/>
      <c r="HS3" s="110"/>
      <c r="HT3" s="110"/>
      <c r="HU3" s="110"/>
      <c r="HV3" s="110"/>
      <c r="HW3" s="110"/>
      <c r="HX3" s="110"/>
      <c r="HY3" s="110"/>
      <c r="HZ3" s="110"/>
      <c r="IA3" s="110"/>
      <c r="IB3" s="110"/>
      <c r="IC3" s="110"/>
      <c r="ID3" s="110"/>
      <c r="IE3" s="110"/>
      <c r="IF3" s="110"/>
      <c r="IG3" s="110"/>
      <c r="IH3" s="110"/>
      <c r="II3" s="110"/>
      <c r="IJ3" s="110"/>
      <c r="IK3" s="110"/>
      <c r="IL3" s="110"/>
      <c r="IM3" s="110"/>
      <c r="IN3" s="110"/>
      <c r="IO3" s="110"/>
      <c r="IP3" s="110"/>
      <c r="IQ3" s="110"/>
      <c r="IR3" s="110"/>
      <c r="IS3" s="110"/>
      <c r="IT3" s="110"/>
      <c r="IU3" s="110"/>
      <c r="IV3" s="110"/>
      <c r="IW3" s="110"/>
    </row>
    <row r="4" spans="1:257" ht="16.2" x14ac:dyDescent="0.35">
      <c r="A4" s="162"/>
      <c r="B4" s="163"/>
      <c r="C4" s="163"/>
      <c r="D4" s="163"/>
      <c r="E4" s="163"/>
      <c r="F4" s="163"/>
      <c r="G4" s="163"/>
      <c r="H4" s="163"/>
      <c r="I4" s="180"/>
      <c r="J4" s="163"/>
      <c r="K4" s="163"/>
      <c r="L4" s="163"/>
      <c r="M4" s="163"/>
      <c r="N4" s="162"/>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c r="CY4" s="110"/>
      <c r="CZ4" s="110"/>
      <c r="DA4" s="110"/>
      <c r="DB4" s="110"/>
      <c r="DC4" s="110"/>
      <c r="DD4" s="110"/>
      <c r="DE4" s="110"/>
      <c r="DF4" s="110"/>
      <c r="DG4" s="110"/>
      <c r="DH4" s="110"/>
      <c r="DI4" s="110"/>
      <c r="DJ4" s="110"/>
      <c r="DK4" s="110"/>
      <c r="DL4" s="110"/>
      <c r="DM4" s="110"/>
      <c r="DN4" s="110"/>
      <c r="DO4" s="110"/>
      <c r="DP4" s="110"/>
      <c r="DQ4" s="110"/>
      <c r="DR4" s="110"/>
      <c r="DS4" s="110"/>
      <c r="DT4" s="110"/>
      <c r="DU4" s="110"/>
      <c r="DV4" s="110"/>
      <c r="DW4" s="110"/>
      <c r="DX4" s="110"/>
      <c r="DY4" s="110"/>
      <c r="DZ4" s="110"/>
      <c r="EA4" s="110"/>
      <c r="EB4" s="110"/>
      <c r="EC4" s="110"/>
      <c r="ED4" s="110"/>
      <c r="EE4" s="110"/>
      <c r="EF4" s="110"/>
      <c r="EG4" s="110"/>
      <c r="EH4" s="110"/>
      <c r="EI4" s="110"/>
      <c r="EJ4" s="110"/>
      <c r="EK4" s="110"/>
      <c r="EL4" s="110"/>
      <c r="EM4" s="110"/>
      <c r="EN4" s="110"/>
      <c r="EO4" s="110"/>
      <c r="EP4" s="110"/>
      <c r="EQ4" s="110"/>
      <c r="ER4" s="110"/>
      <c r="ES4" s="110"/>
      <c r="ET4" s="110"/>
      <c r="EU4" s="110"/>
      <c r="EV4" s="110"/>
      <c r="EW4" s="110"/>
      <c r="EX4" s="110"/>
      <c r="EY4" s="110"/>
      <c r="EZ4" s="110"/>
      <c r="FA4" s="110"/>
      <c r="FB4" s="110"/>
      <c r="FC4" s="110"/>
      <c r="FD4" s="110"/>
      <c r="FE4" s="110"/>
      <c r="FF4" s="110"/>
      <c r="FG4" s="110"/>
      <c r="FH4" s="110"/>
      <c r="FI4" s="110"/>
      <c r="FJ4" s="110"/>
      <c r="FK4" s="110"/>
      <c r="FL4" s="110"/>
      <c r="FM4" s="110"/>
      <c r="FN4" s="110"/>
      <c r="FO4" s="110"/>
      <c r="FP4" s="110"/>
      <c r="FQ4" s="110"/>
      <c r="FR4" s="110"/>
      <c r="FS4" s="110"/>
      <c r="FT4" s="110"/>
      <c r="FU4" s="110"/>
      <c r="FV4" s="110"/>
      <c r="FW4" s="110"/>
      <c r="FX4" s="110"/>
      <c r="FY4" s="110"/>
      <c r="FZ4" s="110"/>
      <c r="GA4" s="110"/>
      <c r="GB4" s="110"/>
      <c r="GC4" s="110"/>
      <c r="GD4" s="110"/>
      <c r="GE4" s="110"/>
      <c r="GF4" s="110"/>
      <c r="GG4" s="110"/>
      <c r="GH4" s="110"/>
      <c r="GI4" s="110"/>
      <c r="GJ4" s="110"/>
      <c r="GK4" s="110"/>
      <c r="GL4" s="110"/>
      <c r="GM4" s="110"/>
      <c r="GN4" s="110"/>
      <c r="GO4" s="110"/>
      <c r="GP4" s="110"/>
      <c r="GQ4" s="110"/>
      <c r="GR4" s="110"/>
      <c r="GS4" s="110"/>
      <c r="GT4" s="110"/>
      <c r="GU4" s="110"/>
      <c r="GV4" s="110"/>
      <c r="GW4" s="110"/>
      <c r="GX4" s="110"/>
      <c r="GY4" s="110"/>
      <c r="GZ4" s="110"/>
      <c r="HA4" s="110"/>
      <c r="HB4" s="110"/>
      <c r="HC4" s="110"/>
      <c r="HD4" s="110"/>
      <c r="HE4" s="110"/>
      <c r="HF4" s="110"/>
      <c r="HG4" s="110"/>
      <c r="HH4" s="110"/>
      <c r="HI4" s="110"/>
      <c r="HJ4" s="110"/>
      <c r="HK4" s="110"/>
      <c r="HL4" s="110"/>
      <c r="HM4" s="110"/>
      <c r="HN4" s="110"/>
      <c r="HO4" s="110"/>
      <c r="HP4" s="110"/>
      <c r="HQ4" s="110"/>
      <c r="HR4" s="110"/>
      <c r="HS4" s="110"/>
      <c r="HT4" s="110"/>
      <c r="HU4" s="110"/>
      <c r="HV4" s="110"/>
      <c r="HW4" s="110"/>
      <c r="HX4" s="110"/>
      <c r="HY4" s="110"/>
      <c r="HZ4" s="110"/>
      <c r="IA4" s="110"/>
      <c r="IB4" s="110"/>
      <c r="IC4" s="110"/>
      <c r="ID4" s="110"/>
      <c r="IE4" s="110"/>
      <c r="IF4" s="110"/>
      <c r="IG4" s="110"/>
      <c r="IH4" s="110"/>
      <c r="II4" s="110"/>
      <c r="IJ4" s="110"/>
      <c r="IK4" s="110"/>
      <c r="IL4" s="110"/>
      <c r="IM4" s="110"/>
      <c r="IN4" s="110"/>
      <c r="IO4" s="110"/>
      <c r="IP4" s="110"/>
      <c r="IQ4" s="110"/>
      <c r="IR4" s="110"/>
      <c r="IS4" s="110"/>
      <c r="IT4" s="110"/>
      <c r="IU4" s="110"/>
      <c r="IV4" s="110"/>
      <c r="IW4" s="110"/>
    </row>
    <row r="5" spans="1:257" ht="15" thickBot="1" x14ac:dyDescent="0.35">
      <c r="A5" s="156"/>
      <c r="B5" s="164" t="s">
        <v>779</v>
      </c>
      <c r="C5" s="165" t="s">
        <v>780</v>
      </c>
      <c r="D5" s="166" t="s">
        <v>781</v>
      </c>
      <c r="E5" s="167" t="s">
        <v>782</v>
      </c>
      <c r="F5" s="156"/>
      <c r="G5" s="156"/>
      <c r="H5" s="156"/>
      <c r="I5" s="165" t="s">
        <v>779</v>
      </c>
      <c r="J5" s="165" t="s">
        <v>780</v>
      </c>
      <c r="K5" s="166" t="s">
        <v>781</v>
      </c>
      <c r="L5" s="167" t="s">
        <v>782</v>
      </c>
      <c r="M5" s="156"/>
      <c r="N5" s="156"/>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c r="CY5" s="110"/>
      <c r="CZ5" s="110"/>
      <c r="DA5" s="110"/>
      <c r="DB5" s="110"/>
      <c r="DC5" s="110"/>
      <c r="DD5" s="110"/>
      <c r="DE5" s="110"/>
      <c r="DF5" s="110"/>
      <c r="DG5" s="110"/>
      <c r="DH5" s="110"/>
      <c r="DI5" s="110"/>
      <c r="DJ5" s="110"/>
      <c r="DK5" s="110"/>
      <c r="DL5" s="110"/>
      <c r="DM5" s="110"/>
      <c r="DN5" s="110"/>
      <c r="DO5" s="110"/>
      <c r="DP5" s="110"/>
      <c r="DQ5" s="110"/>
      <c r="DR5" s="110"/>
      <c r="DS5" s="110"/>
      <c r="DT5" s="110"/>
      <c r="DU5" s="110"/>
      <c r="DV5" s="110"/>
      <c r="DW5" s="110"/>
      <c r="DX5" s="110"/>
      <c r="DY5" s="110"/>
      <c r="DZ5" s="110"/>
      <c r="EA5" s="110"/>
      <c r="EB5" s="110"/>
      <c r="EC5" s="110"/>
      <c r="ED5" s="110"/>
      <c r="EE5" s="110"/>
      <c r="EF5" s="110"/>
      <c r="EG5" s="110"/>
      <c r="EH5" s="110"/>
      <c r="EI5" s="110"/>
      <c r="EJ5" s="110"/>
      <c r="EK5" s="110"/>
      <c r="EL5" s="110"/>
      <c r="EM5" s="110"/>
      <c r="EN5" s="110"/>
      <c r="EO5" s="110"/>
      <c r="EP5" s="110"/>
      <c r="EQ5" s="110"/>
      <c r="ER5" s="110"/>
      <c r="ES5" s="110"/>
      <c r="ET5" s="110"/>
      <c r="EU5" s="110"/>
      <c r="EV5" s="110"/>
      <c r="EW5" s="110"/>
      <c r="EX5" s="110"/>
      <c r="EY5" s="110"/>
      <c r="EZ5" s="110"/>
      <c r="FA5" s="110"/>
      <c r="FB5" s="110"/>
      <c r="FC5" s="110"/>
      <c r="FD5" s="110"/>
      <c r="FE5" s="110"/>
      <c r="FF5" s="110"/>
      <c r="FG5" s="110"/>
      <c r="FH5" s="110"/>
      <c r="FI5" s="110"/>
      <c r="FJ5" s="110"/>
      <c r="FK5" s="110"/>
      <c r="FL5" s="110"/>
      <c r="FM5" s="110"/>
      <c r="FN5" s="110"/>
      <c r="FO5" s="110"/>
      <c r="FP5" s="110"/>
      <c r="FQ5" s="110"/>
      <c r="FR5" s="110"/>
      <c r="FS5" s="110"/>
      <c r="FT5" s="110"/>
      <c r="FU5" s="110"/>
      <c r="FV5" s="110"/>
      <c r="FW5" s="110"/>
      <c r="FX5" s="110"/>
      <c r="FY5" s="110"/>
      <c r="FZ5" s="110"/>
      <c r="GA5" s="110"/>
      <c r="GB5" s="110"/>
      <c r="GC5" s="110"/>
      <c r="GD5" s="110"/>
      <c r="GE5" s="110"/>
      <c r="GF5" s="110"/>
      <c r="GG5" s="110"/>
      <c r="GH5" s="110"/>
      <c r="GI5" s="110"/>
      <c r="GJ5" s="110"/>
      <c r="GK5" s="110"/>
      <c r="GL5" s="110"/>
      <c r="GM5" s="110"/>
      <c r="GN5" s="110"/>
      <c r="GO5" s="110"/>
      <c r="GP5" s="110"/>
      <c r="GQ5" s="110"/>
      <c r="GR5" s="110"/>
      <c r="GS5" s="110"/>
      <c r="GT5" s="110"/>
      <c r="GU5" s="110"/>
      <c r="GV5" s="110"/>
      <c r="GW5" s="110"/>
      <c r="GX5" s="110"/>
      <c r="GY5" s="110"/>
      <c r="GZ5" s="110"/>
      <c r="HA5" s="110"/>
      <c r="HB5" s="110"/>
      <c r="HC5" s="110"/>
      <c r="HD5" s="110"/>
      <c r="HE5" s="110"/>
      <c r="HF5" s="110"/>
      <c r="HG5" s="110"/>
      <c r="HH5" s="110"/>
      <c r="HI5" s="110"/>
      <c r="HJ5" s="110"/>
      <c r="HK5" s="110"/>
      <c r="HL5" s="110"/>
      <c r="HM5" s="110"/>
      <c r="HN5" s="110"/>
      <c r="HO5" s="110"/>
      <c r="HP5" s="110"/>
      <c r="HQ5" s="110"/>
      <c r="HR5" s="110"/>
      <c r="HS5" s="110"/>
      <c r="HT5" s="110"/>
      <c r="HU5" s="110"/>
      <c r="HV5" s="110"/>
      <c r="HW5" s="110"/>
      <c r="HX5" s="110"/>
      <c r="HY5" s="110"/>
      <c r="HZ5" s="110"/>
      <c r="IA5" s="110"/>
      <c r="IB5" s="110"/>
      <c r="IC5" s="110"/>
      <c r="ID5" s="110"/>
      <c r="IE5" s="110"/>
      <c r="IF5" s="110"/>
      <c r="IG5" s="110"/>
      <c r="IH5" s="110"/>
      <c r="II5" s="110"/>
      <c r="IJ5" s="110"/>
      <c r="IK5" s="110"/>
      <c r="IL5" s="110"/>
      <c r="IM5" s="110"/>
      <c r="IN5" s="110"/>
      <c r="IO5" s="110"/>
      <c r="IP5" s="110"/>
      <c r="IQ5" s="110"/>
      <c r="IR5" s="110"/>
      <c r="IS5" s="110"/>
      <c r="IT5" s="110"/>
      <c r="IU5" s="110"/>
      <c r="IV5" s="110"/>
      <c r="IW5" s="110"/>
    </row>
    <row r="6" spans="1:257" ht="15" thickBot="1" x14ac:dyDescent="0.35">
      <c r="A6" s="156"/>
      <c r="B6" s="115" t="str">
        <f>'Parameter Values'!B160</f>
        <v>c_grant</v>
      </c>
      <c r="C6" s="168">
        <f>'Parameter Values'!D160</f>
        <v>-249673.30107746136</v>
      </c>
      <c r="D6" s="169">
        <f>'Parameter Values'!F160</f>
        <v>-231907.91157393428</v>
      </c>
      <c r="E6" s="170">
        <f>ABS(D6-C6)</f>
        <v>17765.389503527083</v>
      </c>
      <c r="F6" s="156"/>
      <c r="G6" s="156"/>
      <c r="H6" s="156"/>
      <c r="I6" s="174" t="s">
        <v>752</v>
      </c>
      <c r="J6" s="168">
        <v>-801078.51772080769</v>
      </c>
      <c r="K6" s="169">
        <v>-194624.11162654698</v>
      </c>
      <c r="L6" s="170">
        <v>606454.40609426075</v>
      </c>
      <c r="M6" s="156"/>
      <c r="N6" s="156"/>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c r="CY6" s="110"/>
      <c r="CZ6" s="110"/>
      <c r="DA6" s="110"/>
      <c r="DB6" s="110"/>
      <c r="DC6" s="110"/>
      <c r="DD6" s="110"/>
      <c r="DE6" s="110"/>
      <c r="DF6" s="110"/>
      <c r="DG6" s="110"/>
      <c r="DH6" s="110"/>
      <c r="DI6" s="110"/>
      <c r="DJ6" s="110"/>
      <c r="DK6" s="110"/>
      <c r="DL6" s="110"/>
      <c r="DM6" s="110"/>
      <c r="DN6" s="110"/>
      <c r="DO6" s="110"/>
      <c r="DP6" s="110"/>
      <c r="DQ6" s="110"/>
      <c r="DR6" s="110"/>
      <c r="DS6" s="110"/>
      <c r="DT6" s="110"/>
      <c r="DU6" s="110"/>
      <c r="DV6" s="110"/>
      <c r="DW6" s="110"/>
      <c r="DX6" s="110"/>
      <c r="DY6" s="110"/>
      <c r="DZ6" s="110"/>
      <c r="EA6" s="110"/>
      <c r="EB6" s="110"/>
      <c r="EC6" s="110"/>
      <c r="ED6" s="110"/>
      <c r="EE6" s="110"/>
      <c r="EF6" s="110"/>
      <c r="EG6" s="110"/>
      <c r="EH6" s="110"/>
      <c r="EI6" s="110"/>
      <c r="EJ6" s="110"/>
      <c r="EK6" s="110"/>
      <c r="EL6" s="110"/>
      <c r="EM6" s="110"/>
      <c r="EN6" s="110"/>
      <c r="EO6" s="110"/>
      <c r="EP6" s="110"/>
      <c r="EQ6" s="110"/>
      <c r="ER6" s="110"/>
      <c r="ES6" s="110"/>
      <c r="ET6" s="110"/>
      <c r="EU6" s="110"/>
      <c r="EV6" s="110"/>
      <c r="EW6" s="110"/>
      <c r="EX6" s="110"/>
      <c r="EY6" s="110"/>
      <c r="EZ6" s="110"/>
      <c r="FA6" s="110"/>
      <c r="FB6" s="110"/>
      <c r="FC6" s="110"/>
      <c r="FD6" s="110"/>
      <c r="FE6" s="110"/>
      <c r="FF6" s="110"/>
      <c r="FG6" s="110"/>
      <c r="FH6" s="110"/>
      <c r="FI6" s="110"/>
      <c r="FJ6" s="110"/>
      <c r="FK6" s="110"/>
      <c r="FL6" s="110"/>
      <c r="FM6" s="110"/>
      <c r="FN6" s="110"/>
      <c r="FO6" s="110"/>
      <c r="FP6" s="110"/>
      <c r="FQ6" s="110"/>
      <c r="FR6" s="110"/>
      <c r="FS6" s="110"/>
      <c r="FT6" s="110"/>
      <c r="FU6" s="110"/>
      <c r="FV6" s="110"/>
      <c r="FW6" s="110"/>
      <c r="FX6" s="110"/>
      <c r="FY6" s="110"/>
      <c r="FZ6" s="110"/>
      <c r="GA6" s="110"/>
      <c r="GB6" s="110"/>
      <c r="GC6" s="110"/>
      <c r="GD6" s="110"/>
      <c r="GE6" s="110"/>
      <c r="GF6" s="110"/>
      <c r="GG6" s="110"/>
      <c r="GH6" s="110"/>
      <c r="GI6" s="110"/>
      <c r="GJ6" s="110"/>
      <c r="GK6" s="110"/>
      <c r="GL6" s="110"/>
      <c r="GM6" s="110"/>
      <c r="GN6" s="110"/>
      <c r="GO6" s="110"/>
      <c r="GP6" s="110"/>
      <c r="GQ6" s="110"/>
      <c r="GR6" s="110"/>
      <c r="GS6" s="110"/>
      <c r="GT6" s="110"/>
      <c r="GU6" s="110"/>
      <c r="GV6" s="110"/>
      <c r="GW6" s="110"/>
      <c r="GX6" s="110"/>
      <c r="GY6" s="110"/>
      <c r="GZ6" s="110"/>
      <c r="HA6" s="110"/>
      <c r="HB6" s="110"/>
      <c r="HC6" s="110"/>
      <c r="HD6" s="110"/>
      <c r="HE6" s="110"/>
      <c r="HF6" s="110"/>
      <c r="HG6" s="110"/>
      <c r="HH6" s="110"/>
      <c r="HI6" s="110"/>
      <c r="HJ6" s="110"/>
      <c r="HK6" s="110"/>
      <c r="HL6" s="110"/>
      <c r="HM6" s="110"/>
      <c r="HN6" s="110"/>
      <c r="HO6" s="110"/>
      <c r="HP6" s="110"/>
      <c r="HQ6" s="110"/>
      <c r="HR6" s="110"/>
      <c r="HS6" s="110"/>
      <c r="HT6" s="110"/>
      <c r="HU6" s="110"/>
      <c r="HV6" s="110"/>
      <c r="HW6" s="110"/>
      <c r="HX6" s="110"/>
      <c r="HY6" s="110"/>
      <c r="HZ6" s="110"/>
      <c r="IA6" s="110"/>
      <c r="IB6" s="110"/>
      <c r="IC6" s="110"/>
      <c r="ID6" s="110"/>
      <c r="IE6" s="110"/>
      <c r="IF6" s="110"/>
      <c r="IG6" s="110"/>
      <c r="IH6" s="110"/>
      <c r="II6" s="110"/>
      <c r="IJ6" s="110"/>
      <c r="IK6" s="110"/>
      <c r="IL6" s="110"/>
      <c r="IM6" s="110"/>
      <c r="IN6" s="110"/>
      <c r="IO6" s="110"/>
      <c r="IP6" s="110"/>
      <c r="IQ6" s="110"/>
      <c r="IR6" s="110"/>
      <c r="IS6" s="110"/>
      <c r="IT6" s="110"/>
      <c r="IU6" s="110"/>
      <c r="IV6" s="110"/>
      <c r="IW6" s="110"/>
    </row>
    <row r="7" spans="1:257" ht="15" thickBot="1" x14ac:dyDescent="0.35">
      <c r="A7" s="156"/>
      <c r="B7" s="115" t="str">
        <f>'Parameter Values'!B161</f>
        <v xml:space="preserve">e_ANC </v>
      </c>
      <c r="C7" s="168">
        <f>'Parameter Values'!D161</f>
        <v>-277644.45471415465</v>
      </c>
      <c r="D7" s="169">
        <f>'Parameter Values'!F161</f>
        <v>-213336.59136355156</v>
      </c>
      <c r="E7" s="170">
        <f t="shared" ref="E7:E45" si="0">ABS(D7-C7)</f>
        <v>64307.863350603089</v>
      </c>
      <c r="F7" s="156"/>
      <c r="G7" s="156"/>
      <c r="H7" s="156"/>
      <c r="I7" s="181" t="s">
        <v>316</v>
      </c>
      <c r="J7" s="168">
        <v>3600</v>
      </c>
      <c r="K7" s="173">
        <v>-255203.56184252127</v>
      </c>
      <c r="L7" s="170">
        <v>258803.56184252127</v>
      </c>
      <c r="M7" s="156"/>
      <c r="N7" s="156"/>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c r="DU7" s="110"/>
      <c r="DV7" s="110"/>
      <c r="DW7" s="110"/>
      <c r="DX7" s="110"/>
      <c r="DY7" s="110"/>
      <c r="DZ7" s="110"/>
      <c r="EA7" s="110"/>
      <c r="EB7" s="110"/>
      <c r="EC7" s="110"/>
      <c r="ED7" s="110"/>
      <c r="EE7" s="110"/>
      <c r="EF7" s="110"/>
      <c r="EG7" s="110"/>
      <c r="EH7" s="110"/>
      <c r="EI7" s="110"/>
      <c r="EJ7" s="110"/>
      <c r="EK7" s="110"/>
      <c r="EL7" s="110"/>
      <c r="EM7" s="110"/>
      <c r="EN7" s="110"/>
      <c r="EO7" s="110"/>
      <c r="EP7" s="110"/>
      <c r="EQ7" s="110"/>
      <c r="ER7" s="110"/>
      <c r="ES7" s="110"/>
      <c r="ET7" s="110"/>
      <c r="EU7" s="110"/>
      <c r="EV7" s="110"/>
      <c r="EW7" s="110"/>
      <c r="EX7" s="110"/>
      <c r="EY7" s="110"/>
      <c r="EZ7" s="110"/>
      <c r="FA7" s="110"/>
      <c r="FB7" s="110"/>
      <c r="FC7" s="110"/>
      <c r="FD7" s="110"/>
      <c r="FE7" s="110"/>
      <c r="FF7" s="110"/>
      <c r="FG7" s="110"/>
      <c r="FH7" s="110"/>
      <c r="FI7" s="110"/>
      <c r="FJ7" s="110"/>
      <c r="FK7" s="110"/>
      <c r="FL7" s="110"/>
      <c r="FM7" s="110"/>
      <c r="FN7" s="110"/>
      <c r="FO7" s="110"/>
      <c r="FP7" s="110"/>
      <c r="FQ7" s="110"/>
      <c r="FR7" s="110"/>
      <c r="FS7" s="110"/>
      <c r="FT7" s="110"/>
      <c r="FU7" s="110"/>
      <c r="FV7" s="110"/>
      <c r="FW7" s="110"/>
      <c r="FX7" s="110"/>
      <c r="FY7" s="110"/>
      <c r="FZ7" s="110"/>
      <c r="GA7" s="110"/>
      <c r="GB7" s="110"/>
      <c r="GC7" s="110"/>
      <c r="GD7" s="110"/>
      <c r="GE7" s="110"/>
      <c r="GF7" s="110"/>
      <c r="GG7" s="110"/>
      <c r="GH7" s="110"/>
      <c r="GI7" s="110"/>
      <c r="GJ7" s="110"/>
      <c r="GK7" s="110"/>
      <c r="GL7" s="110"/>
      <c r="GM7" s="110"/>
      <c r="GN7" s="110"/>
      <c r="GO7" s="110"/>
      <c r="GP7" s="110"/>
      <c r="GQ7" s="110"/>
      <c r="GR7" s="110"/>
      <c r="GS7" s="110"/>
      <c r="GT7" s="110"/>
      <c r="GU7" s="110"/>
      <c r="GV7" s="110"/>
      <c r="GW7" s="110"/>
      <c r="GX7" s="110"/>
      <c r="GY7" s="110"/>
      <c r="GZ7" s="110"/>
      <c r="HA7" s="110"/>
      <c r="HB7" s="110"/>
      <c r="HC7" s="110"/>
      <c r="HD7" s="110"/>
      <c r="HE7" s="110"/>
      <c r="HF7" s="110"/>
      <c r="HG7" s="110"/>
      <c r="HH7" s="110"/>
      <c r="HI7" s="110"/>
      <c r="HJ7" s="110"/>
      <c r="HK7" s="110"/>
      <c r="HL7" s="110"/>
      <c r="HM7" s="110"/>
      <c r="HN7" s="110"/>
      <c r="HO7" s="110"/>
      <c r="HP7" s="110"/>
      <c r="HQ7" s="110"/>
      <c r="HR7" s="110"/>
      <c r="HS7" s="110"/>
      <c r="HT7" s="110"/>
      <c r="HU7" s="110"/>
      <c r="HV7" s="110"/>
      <c r="HW7" s="110"/>
      <c r="HX7" s="110"/>
      <c r="HY7" s="110"/>
      <c r="HZ7" s="110"/>
      <c r="IA7" s="110"/>
      <c r="IB7" s="110"/>
      <c r="IC7" s="110"/>
      <c r="ID7" s="110"/>
      <c r="IE7" s="110"/>
      <c r="IF7" s="110"/>
      <c r="IG7" s="110"/>
      <c r="IH7" s="110"/>
      <c r="II7" s="110"/>
      <c r="IJ7" s="110"/>
      <c r="IK7" s="110"/>
      <c r="IL7" s="110"/>
      <c r="IM7" s="110"/>
      <c r="IN7" s="110"/>
      <c r="IO7" s="110"/>
      <c r="IP7" s="110"/>
      <c r="IQ7" s="110"/>
      <c r="IR7" s="110"/>
      <c r="IS7" s="110"/>
      <c r="IT7" s="110"/>
      <c r="IU7" s="110"/>
      <c r="IV7" s="110"/>
      <c r="IW7" s="110"/>
    </row>
    <row r="8" spans="1:257" ht="15" thickBot="1" x14ac:dyDescent="0.35">
      <c r="A8" s="156"/>
      <c r="B8" s="115" t="str">
        <f>'Parameter Values'!B162</f>
        <v>e_preterm</v>
      </c>
      <c r="C8" s="168">
        <f>'Parameter Values'!D162</f>
        <v>-232948.46787898667</v>
      </c>
      <c r="D8" s="169">
        <f>'Parameter Values'!F162</f>
        <v>-250414.06944827695</v>
      </c>
      <c r="E8" s="170">
        <f t="shared" si="0"/>
        <v>17465.601569290273</v>
      </c>
      <c r="F8" s="156"/>
      <c r="G8" s="156"/>
      <c r="H8" s="156"/>
      <c r="I8" s="174" t="s">
        <v>281</v>
      </c>
      <c r="J8" s="168">
        <v>-88675.624253114278</v>
      </c>
      <c r="K8" s="169">
        <v>-268100.0486089433</v>
      </c>
      <c r="L8" s="170">
        <v>179424.42435582902</v>
      </c>
      <c r="M8" s="156"/>
      <c r="N8" s="156"/>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c r="CY8" s="110"/>
      <c r="CZ8" s="110"/>
      <c r="DA8" s="110"/>
      <c r="DB8" s="110"/>
      <c r="DC8" s="110"/>
      <c r="DD8" s="110"/>
      <c r="DE8" s="110"/>
      <c r="DF8" s="110"/>
      <c r="DG8" s="110"/>
      <c r="DH8" s="110"/>
      <c r="DI8" s="110"/>
      <c r="DJ8" s="110"/>
      <c r="DK8" s="110"/>
      <c r="DL8" s="110"/>
      <c r="DM8" s="110"/>
      <c r="DN8" s="110"/>
      <c r="DO8" s="110"/>
      <c r="DP8" s="110"/>
      <c r="DQ8" s="110"/>
      <c r="DR8" s="110"/>
      <c r="DS8" s="110"/>
      <c r="DT8" s="110"/>
      <c r="DU8" s="110"/>
      <c r="DV8" s="110"/>
      <c r="DW8" s="110"/>
      <c r="DX8" s="110"/>
      <c r="DY8" s="110"/>
      <c r="DZ8" s="110"/>
      <c r="EA8" s="110"/>
      <c r="EB8" s="110"/>
      <c r="EC8" s="110"/>
      <c r="ED8" s="110"/>
      <c r="EE8" s="110"/>
      <c r="EF8" s="110"/>
      <c r="EG8" s="110"/>
      <c r="EH8" s="110"/>
      <c r="EI8" s="110"/>
      <c r="EJ8" s="110"/>
      <c r="EK8" s="110"/>
      <c r="EL8" s="110"/>
      <c r="EM8" s="110"/>
      <c r="EN8" s="110"/>
      <c r="EO8" s="110"/>
      <c r="EP8" s="110"/>
      <c r="EQ8" s="110"/>
      <c r="ER8" s="110"/>
      <c r="ES8" s="110"/>
      <c r="ET8" s="110"/>
      <c r="EU8" s="110"/>
      <c r="EV8" s="110"/>
      <c r="EW8" s="110"/>
      <c r="EX8" s="110"/>
      <c r="EY8" s="110"/>
      <c r="EZ8" s="110"/>
      <c r="FA8" s="110"/>
      <c r="FB8" s="110"/>
      <c r="FC8" s="110"/>
      <c r="FD8" s="110"/>
      <c r="FE8" s="110"/>
      <c r="FF8" s="110"/>
      <c r="FG8" s="110"/>
      <c r="FH8" s="110"/>
      <c r="FI8" s="110"/>
      <c r="FJ8" s="110"/>
      <c r="FK8" s="110"/>
      <c r="FL8" s="110"/>
      <c r="FM8" s="110"/>
      <c r="FN8" s="110"/>
      <c r="FO8" s="110"/>
      <c r="FP8" s="110"/>
      <c r="FQ8" s="110"/>
      <c r="FR8" s="110"/>
      <c r="FS8" s="110"/>
      <c r="FT8" s="110"/>
      <c r="FU8" s="110"/>
      <c r="FV8" s="110"/>
      <c r="FW8" s="110"/>
      <c r="FX8" s="110"/>
      <c r="FY8" s="110"/>
      <c r="FZ8" s="110"/>
      <c r="GA8" s="110"/>
      <c r="GB8" s="110"/>
      <c r="GC8" s="110"/>
      <c r="GD8" s="110"/>
      <c r="GE8" s="110"/>
      <c r="GF8" s="110"/>
      <c r="GG8" s="110"/>
      <c r="GH8" s="110"/>
      <c r="GI8" s="110"/>
      <c r="GJ8" s="110"/>
      <c r="GK8" s="110"/>
      <c r="GL8" s="110"/>
      <c r="GM8" s="110"/>
      <c r="GN8" s="110"/>
      <c r="GO8" s="110"/>
      <c r="GP8" s="110"/>
      <c r="GQ8" s="110"/>
      <c r="GR8" s="110"/>
      <c r="GS8" s="110"/>
      <c r="GT8" s="110"/>
      <c r="GU8" s="110"/>
      <c r="GV8" s="110"/>
      <c r="GW8" s="110"/>
      <c r="GX8" s="110"/>
      <c r="GY8" s="110"/>
      <c r="GZ8" s="110"/>
      <c r="HA8" s="110"/>
      <c r="HB8" s="110"/>
      <c r="HC8" s="110"/>
      <c r="HD8" s="110"/>
      <c r="HE8" s="110"/>
      <c r="HF8" s="110"/>
      <c r="HG8" s="110"/>
      <c r="HH8" s="110"/>
      <c r="HI8" s="110"/>
      <c r="HJ8" s="110"/>
      <c r="HK8" s="110"/>
      <c r="HL8" s="110"/>
      <c r="HM8" s="110"/>
      <c r="HN8" s="110"/>
      <c r="HO8" s="110"/>
      <c r="HP8" s="110"/>
      <c r="HQ8" s="110"/>
      <c r="HR8" s="110"/>
      <c r="HS8" s="110"/>
      <c r="HT8" s="110"/>
      <c r="HU8" s="110"/>
      <c r="HV8" s="110"/>
      <c r="HW8" s="110"/>
      <c r="HX8" s="110"/>
      <c r="HY8" s="110"/>
      <c r="HZ8" s="110"/>
      <c r="IA8" s="110"/>
      <c r="IB8" s="110"/>
      <c r="IC8" s="110"/>
      <c r="ID8" s="110"/>
      <c r="IE8" s="110"/>
      <c r="IF8" s="110"/>
      <c r="IG8" s="110"/>
      <c r="IH8" s="110"/>
      <c r="II8" s="110"/>
      <c r="IJ8" s="110"/>
      <c r="IK8" s="110"/>
      <c r="IL8" s="110"/>
      <c r="IM8" s="110"/>
      <c r="IN8" s="110"/>
      <c r="IO8" s="110"/>
      <c r="IP8" s="110"/>
      <c r="IQ8" s="110"/>
      <c r="IR8" s="110"/>
      <c r="IS8" s="110"/>
      <c r="IT8" s="110"/>
      <c r="IU8" s="110"/>
      <c r="IV8" s="110"/>
      <c r="IW8" s="110"/>
    </row>
    <row r="9" spans="1:257" ht="15" thickBot="1" x14ac:dyDescent="0.35">
      <c r="A9" s="156"/>
      <c r="B9" s="115" t="str">
        <f>'Parameter Values'!B163</f>
        <v>e_LBW</v>
      </c>
      <c r="C9" s="168">
        <f>'Parameter Values'!D163</f>
        <v>-288221.87664273253</v>
      </c>
      <c r="D9" s="169">
        <f>'Parameter Values'!F163</f>
        <v>-168165.56081032936</v>
      </c>
      <c r="E9" s="170">
        <f t="shared" si="0"/>
        <v>120056.31583240317</v>
      </c>
      <c r="F9" s="156"/>
      <c r="G9" s="156"/>
      <c r="H9" s="156"/>
      <c r="I9" s="181" t="s">
        <v>315</v>
      </c>
      <c r="J9" s="172">
        <v>-289136.76349978091</v>
      </c>
      <c r="K9" s="169">
        <v>-167927.17501233166</v>
      </c>
      <c r="L9" s="170">
        <v>121209.58848744925</v>
      </c>
      <c r="M9" s="156"/>
      <c r="N9" s="156"/>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10"/>
      <c r="DS9" s="110"/>
      <c r="DT9" s="110"/>
      <c r="DU9" s="110"/>
      <c r="DV9" s="110"/>
      <c r="DW9" s="110"/>
      <c r="DX9" s="110"/>
      <c r="DY9" s="110"/>
      <c r="DZ9" s="110"/>
      <c r="EA9" s="110"/>
      <c r="EB9" s="110"/>
      <c r="EC9" s="110"/>
      <c r="ED9" s="110"/>
      <c r="EE9" s="110"/>
      <c r="EF9" s="110"/>
      <c r="EG9" s="110"/>
      <c r="EH9" s="110"/>
      <c r="EI9" s="110"/>
      <c r="EJ9" s="110"/>
      <c r="EK9" s="110"/>
      <c r="EL9" s="110"/>
      <c r="EM9" s="110"/>
      <c r="EN9" s="110"/>
      <c r="EO9" s="110"/>
      <c r="EP9" s="110"/>
      <c r="EQ9" s="110"/>
      <c r="ER9" s="110"/>
      <c r="ES9" s="110"/>
      <c r="ET9" s="110"/>
      <c r="EU9" s="110"/>
      <c r="EV9" s="110"/>
      <c r="EW9" s="110"/>
      <c r="EX9" s="110"/>
      <c r="EY9" s="110"/>
      <c r="EZ9" s="110"/>
      <c r="FA9" s="110"/>
      <c r="FB9" s="110"/>
      <c r="FC9" s="110"/>
      <c r="FD9" s="110"/>
      <c r="FE9" s="110"/>
      <c r="FF9" s="110"/>
      <c r="FG9" s="110"/>
      <c r="FH9" s="110"/>
      <c r="FI9" s="110"/>
      <c r="FJ9" s="110"/>
      <c r="FK9" s="110"/>
      <c r="FL9" s="110"/>
      <c r="FM9" s="110"/>
      <c r="FN9" s="110"/>
      <c r="FO9" s="110"/>
      <c r="FP9" s="110"/>
      <c r="FQ9" s="110"/>
      <c r="FR9" s="110"/>
      <c r="FS9" s="110"/>
      <c r="FT9" s="110"/>
      <c r="FU9" s="110"/>
      <c r="FV9" s="110"/>
      <c r="FW9" s="110"/>
      <c r="FX9" s="110"/>
      <c r="FY9" s="110"/>
      <c r="FZ9" s="110"/>
      <c r="GA9" s="110"/>
      <c r="GB9" s="110"/>
      <c r="GC9" s="110"/>
      <c r="GD9" s="110"/>
      <c r="GE9" s="110"/>
      <c r="GF9" s="110"/>
      <c r="GG9" s="110"/>
      <c r="GH9" s="110"/>
      <c r="GI9" s="110"/>
      <c r="GJ9" s="110"/>
      <c r="GK9" s="110"/>
      <c r="GL9" s="110"/>
      <c r="GM9" s="110"/>
      <c r="GN9" s="110"/>
      <c r="GO9" s="110"/>
      <c r="GP9" s="110"/>
      <c r="GQ9" s="110"/>
      <c r="GR9" s="110"/>
      <c r="GS9" s="110"/>
      <c r="GT9" s="110"/>
      <c r="GU9" s="110"/>
      <c r="GV9" s="110"/>
      <c r="GW9" s="110"/>
      <c r="GX9" s="110"/>
      <c r="GY9" s="110"/>
      <c r="GZ9" s="110"/>
      <c r="HA9" s="110"/>
      <c r="HB9" s="110"/>
      <c r="HC9" s="110"/>
      <c r="HD9" s="110"/>
      <c r="HE9" s="110"/>
      <c r="HF9" s="110"/>
      <c r="HG9" s="110"/>
      <c r="HH9" s="110"/>
      <c r="HI9" s="110"/>
      <c r="HJ9" s="110"/>
      <c r="HK9" s="110"/>
      <c r="HL9" s="110"/>
      <c r="HM9" s="110"/>
      <c r="HN9" s="110"/>
      <c r="HO9" s="110"/>
      <c r="HP9" s="110"/>
      <c r="HQ9" s="110"/>
      <c r="HR9" s="110"/>
      <c r="HS9" s="110"/>
      <c r="HT9" s="110"/>
      <c r="HU9" s="110"/>
      <c r="HV9" s="110"/>
      <c r="HW9" s="110"/>
      <c r="HX9" s="110"/>
      <c r="HY9" s="110"/>
      <c r="HZ9" s="110"/>
      <c r="IA9" s="110"/>
      <c r="IB9" s="110"/>
      <c r="IC9" s="110"/>
      <c r="ID9" s="110"/>
      <c r="IE9" s="110"/>
      <c r="IF9" s="110"/>
      <c r="IG9" s="110"/>
      <c r="IH9" s="110"/>
      <c r="II9" s="110"/>
      <c r="IJ9" s="110"/>
      <c r="IK9" s="110"/>
      <c r="IL9" s="110"/>
      <c r="IM9" s="110"/>
      <c r="IN9" s="110"/>
      <c r="IO9" s="110"/>
      <c r="IP9" s="110"/>
      <c r="IQ9" s="110"/>
      <c r="IR9" s="110"/>
      <c r="IS9" s="110"/>
      <c r="IT9" s="110"/>
      <c r="IU9" s="110"/>
      <c r="IV9" s="110"/>
      <c r="IW9" s="110"/>
    </row>
    <row r="10" spans="1:257" ht="15" thickBot="1" x14ac:dyDescent="0.35">
      <c r="A10" s="156"/>
      <c r="B10" s="115" t="str">
        <f>'Parameter Values'!B164</f>
        <v>e_SGA</v>
      </c>
      <c r="C10" s="168">
        <v>3600</v>
      </c>
      <c r="D10" s="169">
        <f>'Parameter Values'!F164</f>
        <v>-255550.66211207933</v>
      </c>
      <c r="E10" s="170">
        <f t="shared" si="0"/>
        <v>259150.66211207933</v>
      </c>
      <c r="F10" s="156"/>
      <c r="G10" s="156"/>
      <c r="H10" s="156"/>
      <c r="I10" s="174" t="s">
        <v>755</v>
      </c>
      <c r="J10" s="168">
        <v>-183388.41858737409</v>
      </c>
      <c r="K10" s="169">
        <v>-291595.29979281506</v>
      </c>
      <c r="L10" s="170">
        <v>108206.88120544096</v>
      </c>
      <c r="M10" s="156"/>
      <c r="N10" s="156"/>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110"/>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110"/>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110"/>
      <c r="IM10" s="110"/>
      <c r="IN10" s="110"/>
      <c r="IO10" s="110"/>
      <c r="IP10" s="110"/>
      <c r="IQ10" s="110"/>
      <c r="IR10" s="110"/>
      <c r="IS10" s="110"/>
      <c r="IT10" s="110"/>
      <c r="IU10" s="110"/>
      <c r="IV10" s="110"/>
      <c r="IW10" s="110"/>
    </row>
    <row r="11" spans="1:257" ht="15" thickBot="1" x14ac:dyDescent="0.35">
      <c r="A11" s="156"/>
      <c r="B11" s="115" t="str">
        <f>'Parameter Values'!B165</f>
        <v>e_mortality</v>
      </c>
      <c r="C11" s="168">
        <f>'Parameter Values'!D165</f>
        <v>-264099.68182576657</v>
      </c>
      <c r="D11" s="169">
        <f>'Parameter Values'!F165</f>
        <v>-222450.24290708321</v>
      </c>
      <c r="E11" s="170">
        <f t="shared" si="0"/>
        <v>41649.438918683358</v>
      </c>
      <c r="F11" s="156"/>
      <c r="G11" s="156"/>
      <c r="H11" s="156"/>
      <c r="I11" s="181" t="s">
        <v>364</v>
      </c>
      <c r="J11" s="168">
        <v>-297894.36527852417</v>
      </c>
      <c r="K11" s="173">
        <v>-205327.49934148978</v>
      </c>
      <c r="L11" s="170">
        <v>92566.865937034396</v>
      </c>
      <c r="M11" s="156"/>
      <c r="N11" s="156"/>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c r="DH11" s="110"/>
      <c r="DI11" s="110"/>
      <c r="DJ11" s="110"/>
      <c r="DK11" s="110"/>
      <c r="DL11" s="110"/>
      <c r="DM11" s="110"/>
      <c r="DN11" s="110"/>
      <c r="DO11" s="110"/>
      <c r="DP11" s="110"/>
      <c r="DQ11" s="110"/>
      <c r="DR11" s="110"/>
      <c r="DS11" s="110"/>
      <c r="DT11" s="110"/>
      <c r="DU11" s="110"/>
      <c r="DV11" s="110"/>
      <c r="DW11" s="110"/>
      <c r="DX11" s="110"/>
      <c r="DY11" s="110"/>
      <c r="DZ11" s="110"/>
      <c r="EA11" s="110"/>
      <c r="EB11" s="110"/>
      <c r="EC11" s="110"/>
      <c r="ED11" s="110"/>
      <c r="EE11" s="110"/>
      <c r="EF11" s="110"/>
      <c r="EG11" s="110"/>
      <c r="EH11" s="110"/>
      <c r="EI11" s="110"/>
      <c r="EJ11" s="110"/>
      <c r="EK11" s="110"/>
      <c r="EL11" s="110"/>
      <c r="EM11" s="110"/>
      <c r="EN11" s="110"/>
      <c r="EO11" s="110"/>
      <c r="EP11" s="110"/>
      <c r="EQ11" s="110"/>
      <c r="ER11" s="110"/>
      <c r="ES11" s="110"/>
      <c r="ET11" s="110"/>
      <c r="EU11" s="110"/>
      <c r="EV11" s="110"/>
      <c r="EW11" s="110"/>
      <c r="EX11" s="110"/>
      <c r="EY11" s="110"/>
      <c r="EZ11" s="110"/>
      <c r="FA11" s="110"/>
      <c r="FB11" s="110"/>
      <c r="FC11" s="110"/>
      <c r="FD11" s="110"/>
      <c r="FE11" s="110"/>
      <c r="FF11" s="110"/>
      <c r="FG11" s="110"/>
      <c r="FH11" s="110"/>
      <c r="FI11" s="110"/>
      <c r="FJ11" s="110"/>
      <c r="FK11" s="110"/>
      <c r="FL11" s="110"/>
      <c r="FM11" s="110"/>
      <c r="FN11" s="110"/>
      <c r="FO11" s="110"/>
      <c r="FP11" s="110"/>
      <c r="FQ11" s="110"/>
      <c r="FR11" s="110"/>
      <c r="FS11" s="110"/>
      <c r="FT11" s="110"/>
      <c r="FU11" s="110"/>
      <c r="FV11" s="110"/>
      <c r="FW11" s="110"/>
      <c r="FX11" s="110"/>
      <c r="FY11" s="110"/>
      <c r="FZ11" s="110"/>
      <c r="GA11" s="110"/>
      <c r="GB11" s="110"/>
      <c r="GC11" s="110"/>
      <c r="GD11" s="110"/>
      <c r="GE11" s="110"/>
      <c r="GF11" s="110"/>
      <c r="GG11" s="110"/>
      <c r="GH11" s="110"/>
      <c r="GI11" s="110"/>
      <c r="GJ11" s="110"/>
      <c r="GK11" s="110"/>
      <c r="GL11" s="110"/>
      <c r="GM11" s="110"/>
      <c r="GN11" s="110"/>
      <c r="GO11" s="110"/>
      <c r="GP11" s="110"/>
      <c r="GQ11" s="110"/>
      <c r="GR11" s="110"/>
      <c r="GS11" s="110"/>
      <c r="GT11" s="110"/>
      <c r="GU11" s="110"/>
      <c r="GV11" s="110"/>
      <c r="GW11" s="110"/>
      <c r="GX11" s="110"/>
      <c r="GY11" s="110"/>
      <c r="GZ11" s="110"/>
      <c r="HA11" s="110"/>
      <c r="HB11" s="110"/>
      <c r="HC11" s="110"/>
      <c r="HD11" s="110"/>
      <c r="HE11" s="110"/>
      <c r="HF11" s="110"/>
      <c r="HG11" s="110"/>
      <c r="HH11" s="110"/>
      <c r="HI11" s="110"/>
      <c r="HJ11" s="110"/>
      <c r="HK11" s="110"/>
      <c r="HL11" s="110"/>
      <c r="HM11" s="110"/>
      <c r="HN11" s="110"/>
      <c r="HO11" s="110"/>
      <c r="HP11" s="110"/>
      <c r="HQ11" s="110"/>
      <c r="HR11" s="110"/>
      <c r="HS11" s="110"/>
      <c r="HT11" s="110"/>
      <c r="HU11" s="110"/>
      <c r="HV11" s="110"/>
      <c r="HW11" s="110"/>
      <c r="HX11" s="110"/>
      <c r="HY11" s="110"/>
      <c r="HZ11" s="110"/>
      <c r="IA11" s="110"/>
      <c r="IB11" s="110"/>
      <c r="IC11" s="110"/>
      <c r="ID11" s="110"/>
      <c r="IE11" s="110"/>
      <c r="IF11" s="110"/>
      <c r="IG11" s="110"/>
      <c r="IH11" s="110"/>
      <c r="II11" s="110"/>
      <c r="IJ11" s="110"/>
      <c r="IK11" s="110"/>
      <c r="IL11" s="110"/>
      <c r="IM11" s="110"/>
      <c r="IN11" s="110"/>
      <c r="IO11" s="110"/>
      <c r="IP11" s="110"/>
      <c r="IQ11" s="110"/>
      <c r="IR11" s="110"/>
      <c r="IS11" s="110"/>
      <c r="IT11" s="110"/>
      <c r="IU11" s="110"/>
      <c r="IV11" s="110"/>
      <c r="IW11" s="110"/>
    </row>
    <row r="12" spans="1:257" ht="15" thickBot="1" x14ac:dyDescent="0.35">
      <c r="A12" s="156"/>
      <c r="B12" s="115" t="str">
        <f>'Parameter Values'!B166</f>
        <v>dw_CLD</v>
      </c>
      <c r="C12" s="168">
        <f>'Parameter Values'!D166</f>
        <v>-252641.92486355494</v>
      </c>
      <c r="D12" s="169">
        <f>'Parameter Values'!F166</f>
        <v>-227399.83631267253</v>
      </c>
      <c r="E12" s="170">
        <f t="shared" si="0"/>
        <v>25242.088550882414</v>
      </c>
      <c r="F12" s="156"/>
      <c r="G12" s="156"/>
      <c r="H12" s="156"/>
      <c r="I12" s="174" t="s">
        <v>758</v>
      </c>
      <c r="J12" s="168">
        <v>-291005.1620643934</v>
      </c>
      <c r="K12" s="169">
        <v>-205737.41966569857</v>
      </c>
      <c r="L12" s="170">
        <v>85267.742398694827</v>
      </c>
      <c r="M12" s="156"/>
      <c r="N12" s="156"/>
      <c r="O12" s="110"/>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10"/>
      <c r="DB12" s="110"/>
      <c r="DC12" s="110"/>
      <c r="DD12" s="110"/>
      <c r="DE12" s="110"/>
      <c r="DF12" s="110"/>
      <c r="DG12" s="110"/>
      <c r="DH12" s="110"/>
      <c r="DI12" s="110"/>
      <c r="DJ12" s="110"/>
      <c r="DK12" s="110"/>
      <c r="DL12" s="110"/>
      <c r="DM12" s="110"/>
      <c r="DN12" s="110"/>
      <c r="DO12" s="110"/>
      <c r="DP12" s="110"/>
      <c r="DQ12" s="110"/>
      <c r="DR12" s="110"/>
      <c r="DS12" s="110"/>
      <c r="DT12" s="110"/>
      <c r="DU12" s="110"/>
      <c r="DV12" s="110"/>
      <c r="DW12" s="110"/>
      <c r="DX12" s="110"/>
      <c r="DY12" s="110"/>
      <c r="DZ12" s="110"/>
      <c r="EA12" s="110"/>
      <c r="EB12" s="110"/>
      <c r="EC12" s="110"/>
      <c r="ED12" s="110"/>
      <c r="EE12" s="110"/>
      <c r="EF12" s="110"/>
      <c r="EG12" s="110"/>
      <c r="EH12" s="110"/>
      <c r="EI12" s="110"/>
      <c r="EJ12" s="110"/>
      <c r="EK12" s="110"/>
      <c r="EL12" s="110"/>
      <c r="EM12" s="110"/>
      <c r="EN12" s="110"/>
      <c r="EO12" s="110"/>
      <c r="EP12" s="110"/>
      <c r="EQ12" s="110"/>
      <c r="ER12" s="110"/>
      <c r="ES12" s="110"/>
      <c r="ET12" s="110"/>
      <c r="EU12" s="110"/>
      <c r="EV12" s="110"/>
      <c r="EW12" s="110"/>
      <c r="EX12" s="110"/>
      <c r="EY12" s="110"/>
      <c r="EZ12" s="110"/>
      <c r="FA12" s="110"/>
      <c r="FB12" s="110"/>
      <c r="FC12" s="110"/>
      <c r="FD12" s="110"/>
      <c r="FE12" s="110"/>
      <c r="FF12" s="110"/>
      <c r="FG12" s="110"/>
      <c r="FH12" s="110"/>
      <c r="FI12" s="110"/>
      <c r="FJ12" s="110"/>
      <c r="FK12" s="110"/>
      <c r="FL12" s="110"/>
      <c r="FM12" s="110"/>
      <c r="FN12" s="110"/>
      <c r="FO12" s="110"/>
      <c r="FP12" s="110"/>
      <c r="FQ12" s="110"/>
      <c r="FR12" s="110"/>
      <c r="FS12" s="110"/>
      <c r="FT12" s="110"/>
      <c r="FU12" s="110"/>
      <c r="FV12" s="110"/>
      <c r="FW12" s="110"/>
      <c r="FX12" s="110"/>
      <c r="FY12" s="110"/>
      <c r="FZ12" s="110"/>
      <c r="GA12" s="110"/>
      <c r="GB12" s="110"/>
      <c r="GC12" s="110"/>
      <c r="GD12" s="110"/>
      <c r="GE12" s="110"/>
      <c r="GF12" s="110"/>
      <c r="GG12" s="110"/>
      <c r="GH12" s="110"/>
      <c r="GI12" s="110"/>
      <c r="GJ12" s="110"/>
      <c r="GK12" s="110"/>
      <c r="GL12" s="110"/>
      <c r="GM12" s="110"/>
      <c r="GN12" s="110"/>
      <c r="GO12" s="110"/>
      <c r="GP12" s="110"/>
      <c r="GQ12" s="110"/>
      <c r="GR12" s="110"/>
      <c r="GS12" s="110"/>
      <c r="GT12" s="110"/>
      <c r="GU12" s="110"/>
      <c r="GV12" s="110"/>
      <c r="GW12" s="110"/>
      <c r="GX12" s="110"/>
      <c r="GY12" s="110"/>
      <c r="GZ12" s="110"/>
      <c r="HA12" s="110"/>
      <c r="HB12" s="110"/>
      <c r="HC12" s="110"/>
      <c r="HD12" s="110"/>
      <c r="HE12" s="110"/>
      <c r="HF12" s="110"/>
      <c r="HG12" s="110"/>
      <c r="HH12" s="110"/>
      <c r="HI12" s="110"/>
      <c r="HJ12" s="110"/>
      <c r="HK12" s="110"/>
      <c r="HL12" s="110"/>
      <c r="HM12" s="110"/>
      <c r="HN12" s="110"/>
      <c r="HO12" s="110"/>
      <c r="HP12" s="110"/>
      <c r="HQ12" s="110"/>
      <c r="HR12" s="110"/>
      <c r="HS12" s="110"/>
      <c r="HT12" s="110"/>
      <c r="HU12" s="110"/>
      <c r="HV12" s="110"/>
      <c r="HW12" s="110"/>
      <c r="HX12" s="110"/>
      <c r="HY12" s="110"/>
      <c r="HZ12" s="110"/>
      <c r="IA12" s="110"/>
      <c r="IB12" s="110"/>
      <c r="IC12" s="110"/>
      <c r="ID12" s="110"/>
      <c r="IE12" s="110"/>
      <c r="IF12" s="110"/>
      <c r="IG12" s="110"/>
      <c r="IH12" s="110"/>
      <c r="II12" s="110"/>
      <c r="IJ12" s="110"/>
      <c r="IK12" s="110"/>
      <c r="IL12" s="110"/>
      <c r="IM12" s="110"/>
      <c r="IN12" s="110"/>
      <c r="IO12" s="110"/>
      <c r="IP12" s="110"/>
      <c r="IQ12" s="110"/>
      <c r="IR12" s="110"/>
      <c r="IS12" s="110"/>
      <c r="IT12" s="110"/>
      <c r="IU12" s="110"/>
      <c r="IV12" s="110"/>
      <c r="IW12" s="110"/>
    </row>
    <row r="13" spans="1:257" ht="15" thickBot="1" x14ac:dyDescent="0.35">
      <c r="A13" s="156"/>
      <c r="B13" s="115" t="str">
        <f>'Parameter Values'!B167</f>
        <v>dw_motor</v>
      </c>
      <c r="C13" s="168">
        <f>'Parameter Values'!D167</f>
        <v>-241001.70192445241</v>
      </c>
      <c r="D13" s="169">
        <f>'Parameter Values'!F167</f>
        <v>-240526.08713253637</v>
      </c>
      <c r="E13" s="170">
        <f t="shared" si="0"/>
        <v>475.61479191604303</v>
      </c>
      <c r="F13" s="156"/>
      <c r="G13" s="156"/>
      <c r="H13" s="156"/>
      <c r="I13" s="174" t="s">
        <v>314</v>
      </c>
      <c r="J13" s="168">
        <v>-276700.18883215514</v>
      </c>
      <c r="K13" s="169">
        <v>-214350.44392411612</v>
      </c>
      <c r="L13" s="170">
        <v>62349.744908039022</v>
      </c>
      <c r="M13" s="156"/>
      <c r="N13" s="156"/>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10"/>
      <c r="DB13" s="110"/>
      <c r="DC13" s="110"/>
      <c r="DD13" s="110"/>
      <c r="DE13" s="110"/>
      <c r="DF13" s="110"/>
      <c r="DG13" s="110"/>
      <c r="DH13" s="110"/>
      <c r="DI13" s="110"/>
      <c r="DJ13" s="110"/>
      <c r="DK13" s="110"/>
      <c r="DL13" s="110"/>
      <c r="DM13" s="110"/>
      <c r="DN13" s="110"/>
      <c r="DO13" s="110"/>
      <c r="DP13" s="110"/>
      <c r="DQ13" s="110"/>
      <c r="DR13" s="110"/>
      <c r="DS13" s="110"/>
      <c r="DT13" s="110"/>
      <c r="DU13" s="110"/>
      <c r="DV13" s="110"/>
      <c r="DW13" s="110"/>
      <c r="DX13" s="110"/>
      <c r="DY13" s="110"/>
      <c r="DZ13" s="110"/>
      <c r="EA13" s="110"/>
      <c r="EB13" s="110"/>
      <c r="EC13" s="110"/>
      <c r="ED13" s="110"/>
      <c r="EE13" s="110"/>
      <c r="EF13" s="110"/>
      <c r="EG13" s="110"/>
      <c r="EH13" s="110"/>
      <c r="EI13" s="110"/>
      <c r="EJ13" s="110"/>
      <c r="EK13" s="110"/>
      <c r="EL13" s="110"/>
      <c r="EM13" s="110"/>
      <c r="EN13" s="110"/>
      <c r="EO13" s="110"/>
      <c r="EP13" s="110"/>
      <c r="EQ13" s="110"/>
      <c r="ER13" s="110"/>
      <c r="ES13" s="110"/>
      <c r="ET13" s="110"/>
      <c r="EU13" s="110"/>
      <c r="EV13" s="110"/>
      <c r="EW13" s="110"/>
      <c r="EX13" s="110"/>
      <c r="EY13" s="110"/>
      <c r="EZ13" s="110"/>
      <c r="FA13" s="110"/>
      <c r="FB13" s="110"/>
      <c r="FC13" s="110"/>
      <c r="FD13" s="110"/>
      <c r="FE13" s="110"/>
      <c r="FF13" s="110"/>
      <c r="FG13" s="110"/>
      <c r="FH13" s="110"/>
      <c r="FI13" s="110"/>
      <c r="FJ13" s="110"/>
      <c r="FK13" s="110"/>
      <c r="FL13" s="110"/>
      <c r="FM13" s="110"/>
      <c r="FN13" s="110"/>
      <c r="FO13" s="110"/>
      <c r="FP13" s="110"/>
      <c r="FQ13" s="110"/>
      <c r="FR13" s="110"/>
      <c r="FS13" s="110"/>
      <c r="FT13" s="110"/>
      <c r="FU13" s="110"/>
      <c r="FV13" s="110"/>
      <c r="FW13" s="110"/>
      <c r="FX13" s="110"/>
      <c r="FY13" s="110"/>
      <c r="FZ13" s="110"/>
      <c r="GA13" s="110"/>
      <c r="GB13" s="110"/>
      <c r="GC13" s="110"/>
      <c r="GD13" s="110"/>
      <c r="GE13" s="110"/>
      <c r="GF13" s="110"/>
      <c r="GG13" s="110"/>
      <c r="GH13" s="110"/>
      <c r="GI13" s="110"/>
      <c r="GJ13" s="110"/>
      <c r="GK13" s="110"/>
      <c r="GL13" s="110"/>
      <c r="GM13" s="110"/>
      <c r="GN13" s="110"/>
      <c r="GO13" s="110"/>
      <c r="GP13" s="110"/>
      <c r="GQ13" s="110"/>
      <c r="GR13" s="110"/>
      <c r="GS13" s="110"/>
      <c r="GT13" s="110"/>
      <c r="GU13" s="110"/>
      <c r="GV13" s="110"/>
      <c r="GW13" s="110"/>
      <c r="GX13" s="110"/>
      <c r="GY13" s="110"/>
      <c r="GZ13" s="110"/>
      <c r="HA13" s="110"/>
      <c r="HB13" s="110"/>
      <c r="HC13" s="110"/>
      <c r="HD13" s="110"/>
      <c r="HE13" s="110"/>
      <c r="HF13" s="110"/>
      <c r="HG13" s="110"/>
      <c r="HH13" s="110"/>
      <c r="HI13" s="110"/>
      <c r="HJ13" s="110"/>
      <c r="HK13" s="110"/>
      <c r="HL13" s="110"/>
      <c r="HM13" s="110"/>
      <c r="HN13" s="110"/>
      <c r="HO13" s="110"/>
      <c r="HP13" s="110"/>
      <c r="HQ13" s="110"/>
      <c r="HR13" s="110"/>
      <c r="HS13" s="110"/>
      <c r="HT13" s="110"/>
      <c r="HU13" s="110"/>
      <c r="HV13" s="110"/>
      <c r="HW13" s="110"/>
      <c r="HX13" s="110"/>
      <c r="HY13" s="110"/>
      <c r="HZ13" s="110"/>
      <c r="IA13" s="110"/>
      <c r="IB13" s="110"/>
      <c r="IC13" s="110"/>
      <c r="ID13" s="110"/>
      <c r="IE13" s="110"/>
      <c r="IF13" s="110"/>
      <c r="IG13" s="110"/>
      <c r="IH13" s="110"/>
      <c r="II13" s="110"/>
      <c r="IJ13" s="110"/>
      <c r="IK13" s="110"/>
      <c r="IL13" s="110"/>
      <c r="IM13" s="110"/>
      <c r="IN13" s="110"/>
      <c r="IO13" s="110"/>
      <c r="IP13" s="110"/>
      <c r="IQ13" s="110"/>
      <c r="IR13" s="110"/>
      <c r="IS13" s="110"/>
      <c r="IT13" s="110"/>
      <c r="IU13" s="110"/>
      <c r="IV13" s="110"/>
      <c r="IW13" s="110"/>
    </row>
    <row r="14" spans="1:257" ht="15" thickBot="1" x14ac:dyDescent="0.35">
      <c r="A14" s="156"/>
      <c r="B14" s="115" t="str">
        <f>'Parameter Values'!B168</f>
        <v>ANC</v>
      </c>
      <c r="C14" s="168">
        <f>'Parameter Values'!D168</f>
        <v>-252739.5522758443</v>
      </c>
      <c r="D14" s="169">
        <f>'Parameter Values'!F168</f>
        <v>-228121.68520577005</v>
      </c>
      <c r="E14" s="170">
        <f t="shared" si="0"/>
        <v>24617.867070074251</v>
      </c>
      <c r="F14" s="156"/>
      <c r="G14" s="156"/>
      <c r="H14" s="156"/>
      <c r="I14" s="181" t="s">
        <v>759</v>
      </c>
      <c r="J14" s="168">
        <v>-269694.33449112851</v>
      </c>
      <c r="K14" s="173">
        <v>-217984.44617636976</v>
      </c>
      <c r="L14" s="170">
        <v>51709.888314758748</v>
      </c>
      <c r="M14" s="156"/>
      <c r="N14" s="156"/>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10"/>
      <c r="CB14" s="110"/>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10"/>
      <c r="DB14" s="110"/>
      <c r="DC14" s="110"/>
      <c r="DD14" s="110"/>
      <c r="DE14" s="110"/>
      <c r="DF14" s="110"/>
      <c r="DG14" s="110"/>
      <c r="DH14" s="110"/>
      <c r="DI14" s="110"/>
      <c r="DJ14" s="110"/>
      <c r="DK14" s="110"/>
      <c r="DL14" s="110"/>
      <c r="DM14" s="110"/>
      <c r="DN14" s="110"/>
      <c r="DO14" s="110"/>
      <c r="DP14" s="110"/>
      <c r="DQ14" s="110"/>
      <c r="DR14" s="110"/>
      <c r="DS14" s="110"/>
      <c r="DT14" s="110"/>
      <c r="DU14" s="110"/>
      <c r="DV14" s="110"/>
      <c r="DW14" s="110"/>
      <c r="DX14" s="110"/>
      <c r="DY14" s="110"/>
      <c r="DZ14" s="110"/>
      <c r="EA14" s="110"/>
      <c r="EB14" s="110"/>
      <c r="EC14" s="110"/>
      <c r="ED14" s="110"/>
      <c r="EE14" s="110"/>
      <c r="EF14" s="110"/>
      <c r="EG14" s="110"/>
      <c r="EH14" s="110"/>
      <c r="EI14" s="110"/>
      <c r="EJ14" s="110"/>
      <c r="EK14" s="110"/>
      <c r="EL14" s="110"/>
      <c r="EM14" s="110"/>
      <c r="EN14" s="110"/>
      <c r="EO14" s="110"/>
      <c r="EP14" s="110"/>
      <c r="EQ14" s="110"/>
      <c r="ER14" s="110"/>
      <c r="ES14" s="110"/>
      <c r="ET14" s="110"/>
      <c r="EU14" s="110"/>
      <c r="EV14" s="110"/>
      <c r="EW14" s="110"/>
      <c r="EX14" s="110"/>
      <c r="EY14" s="110"/>
      <c r="EZ14" s="110"/>
      <c r="FA14" s="110"/>
      <c r="FB14" s="110"/>
      <c r="FC14" s="110"/>
      <c r="FD14" s="110"/>
      <c r="FE14" s="110"/>
      <c r="FF14" s="110"/>
      <c r="FG14" s="110"/>
      <c r="FH14" s="110"/>
      <c r="FI14" s="110"/>
      <c r="FJ14" s="110"/>
      <c r="FK14" s="110"/>
      <c r="FL14" s="110"/>
      <c r="FM14" s="110"/>
      <c r="FN14" s="110"/>
      <c r="FO14" s="110"/>
      <c r="FP14" s="110"/>
      <c r="FQ14" s="110"/>
      <c r="FR14" s="110"/>
      <c r="FS14" s="110"/>
      <c r="FT14" s="110"/>
      <c r="FU14" s="110"/>
      <c r="FV14" s="110"/>
      <c r="FW14" s="110"/>
      <c r="FX14" s="110"/>
      <c r="FY14" s="110"/>
      <c r="FZ14" s="110"/>
      <c r="GA14" s="110"/>
      <c r="GB14" s="110"/>
      <c r="GC14" s="110"/>
      <c r="GD14" s="110"/>
      <c r="GE14" s="110"/>
      <c r="GF14" s="110"/>
      <c r="GG14" s="110"/>
      <c r="GH14" s="110"/>
      <c r="GI14" s="110"/>
      <c r="GJ14" s="110"/>
      <c r="GK14" s="110"/>
      <c r="GL14" s="110"/>
      <c r="GM14" s="110"/>
      <c r="GN14" s="110"/>
      <c r="GO14" s="110"/>
      <c r="GP14" s="110"/>
      <c r="GQ14" s="110"/>
      <c r="GR14" s="110"/>
      <c r="GS14" s="110"/>
      <c r="GT14" s="110"/>
      <c r="GU14" s="110"/>
      <c r="GV14" s="110"/>
      <c r="GW14" s="110"/>
      <c r="GX14" s="110"/>
      <c r="GY14" s="110"/>
      <c r="GZ14" s="110"/>
      <c r="HA14" s="110"/>
      <c r="HB14" s="110"/>
      <c r="HC14" s="110"/>
      <c r="HD14" s="110"/>
      <c r="HE14" s="110"/>
      <c r="HF14" s="110"/>
      <c r="HG14" s="110"/>
      <c r="HH14" s="110"/>
      <c r="HI14" s="110"/>
      <c r="HJ14" s="110"/>
      <c r="HK14" s="110"/>
      <c r="HL14" s="110"/>
      <c r="HM14" s="110"/>
      <c r="HN14" s="110"/>
      <c r="HO14" s="110"/>
      <c r="HP14" s="110"/>
      <c r="HQ14" s="110"/>
      <c r="HR14" s="110"/>
      <c r="HS14" s="110"/>
      <c r="HT14" s="110"/>
      <c r="HU14" s="110"/>
      <c r="HV14" s="110"/>
      <c r="HW14" s="110"/>
      <c r="HX14" s="110"/>
      <c r="HY14" s="110"/>
      <c r="HZ14" s="110"/>
      <c r="IA14" s="110"/>
      <c r="IB14" s="110"/>
      <c r="IC14" s="110"/>
      <c r="ID14" s="110"/>
      <c r="IE14" s="110"/>
      <c r="IF14" s="110"/>
      <c r="IG14" s="110"/>
      <c r="IH14" s="110"/>
      <c r="II14" s="110"/>
      <c r="IJ14" s="110"/>
      <c r="IK14" s="110"/>
      <c r="IL14" s="110"/>
      <c r="IM14" s="110"/>
      <c r="IN14" s="110"/>
      <c r="IO14" s="110"/>
      <c r="IP14" s="110"/>
      <c r="IQ14" s="110"/>
      <c r="IR14" s="110"/>
      <c r="IS14" s="110"/>
      <c r="IT14" s="110"/>
      <c r="IU14" s="110"/>
      <c r="IV14" s="110"/>
      <c r="IW14" s="110"/>
    </row>
    <row r="15" spans="1:257" ht="15" thickBot="1" x14ac:dyDescent="0.35">
      <c r="A15" s="156"/>
      <c r="B15" s="115" t="str">
        <f>'Parameter Values'!B169</f>
        <v>Live birth with ANC</v>
      </c>
      <c r="C15" s="168">
        <f>'Parameter Values'!D169</f>
        <v>-299722.23099884705</v>
      </c>
      <c r="D15" s="169">
        <f>'Parameter Values'!F169</f>
        <v>-204100.95405053452</v>
      </c>
      <c r="E15" s="170">
        <f t="shared" si="0"/>
        <v>95621.27694831253</v>
      </c>
      <c r="F15" s="156"/>
      <c r="G15" s="156"/>
      <c r="H15" s="156"/>
      <c r="I15" s="181" t="s">
        <v>754</v>
      </c>
      <c r="J15" s="168">
        <v>-212204.48054564363</v>
      </c>
      <c r="K15" s="173">
        <v>-263557.42593032826</v>
      </c>
      <c r="L15" s="170">
        <v>51352.94538468463</v>
      </c>
      <c r="M15" s="156"/>
      <c r="N15" s="156"/>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c r="BY15" s="110"/>
      <c r="BZ15" s="110"/>
      <c r="CA15" s="110"/>
      <c r="CB15" s="110"/>
      <c r="CC15" s="110"/>
      <c r="CD15" s="110"/>
      <c r="CE15" s="110"/>
      <c r="CF15" s="110"/>
      <c r="CG15" s="110"/>
      <c r="CH15" s="110"/>
      <c r="CI15" s="110"/>
      <c r="CJ15" s="110"/>
      <c r="CK15" s="110"/>
      <c r="CL15" s="110"/>
      <c r="CM15" s="110"/>
      <c r="CN15" s="110"/>
      <c r="CO15" s="110"/>
      <c r="CP15" s="110"/>
      <c r="CQ15" s="110"/>
      <c r="CR15" s="110"/>
      <c r="CS15" s="110"/>
      <c r="CT15" s="110"/>
      <c r="CU15" s="110"/>
      <c r="CV15" s="110"/>
      <c r="CW15" s="110"/>
      <c r="CX15" s="110"/>
      <c r="CY15" s="110"/>
      <c r="CZ15" s="110"/>
      <c r="DA15" s="110"/>
      <c r="DB15" s="110"/>
      <c r="DC15" s="110"/>
      <c r="DD15" s="110"/>
      <c r="DE15" s="110"/>
      <c r="DF15" s="110"/>
      <c r="DG15" s="110"/>
      <c r="DH15" s="110"/>
      <c r="DI15" s="110"/>
      <c r="DJ15" s="110"/>
      <c r="DK15" s="110"/>
      <c r="DL15" s="110"/>
      <c r="DM15" s="110"/>
      <c r="DN15" s="110"/>
      <c r="DO15" s="110"/>
      <c r="DP15" s="110"/>
      <c r="DQ15" s="110"/>
      <c r="DR15" s="110"/>
      <c r="DS15" s="110"/>
      <c r="DT15" s="110"/>
      <c r="DU15" s="110"/>
      <c r="DV15" s="110"/>
      <c r="DW15" s="110"/>
      <c r="DX15" s="110"/>
      <c r="DY15" s="110"/>
      <c r="DZ15" s="110"/>
      <c r="EA15" s="110"/>
      <c r="EB15" s="110"/>
      <c r="EC15" s="110"/>
      <c r="ED15" s="110"/>
      <c r="EE15" s="110"/>
      <c r="EF15" s="110"/>
      <c r="EG15" s="110"/>
      <c r="EH15" s="110"/>
      <c r="EI15" s="110"/>
      <c r="EJ15" s="110"/>
      <c r="EK15" s="110"/>
      <c r="EL15" s="110"/>
      <c r="EM15" s="110"/>
      <c r="EN15" s="110"/>
      <c r="EO15" s="110"/>
      <c r="EP15" s="110"/>
      <c r="EQ15" s="110"/>
      <c r="ER15" s="110"/>
      <c r="ES15" s="110"/>
      <c r="ET15" s="110"/>
      <c r="EU15" s="110"/>
      <c r="EV15" s="110"/>
      <c r="EW15" s="110"/>
      <c r="EX15" s="110"/>
      <c r="EY15" s="110"/>
      <c r="EZ15" s="110"/>
      <c r="FA15" s="110"/>
      <c r="FB15" s="110"/>
      <c r="FC15" s="110"/>
      <c r="FD15" s="110"/>
      <c r="FE15" s="110"/>
      <c r="FF15" s="110"/>
      <c r="FG15" s="110"/>
      <c r="FH15" s="110"/>
      <c r="FI15" s="110"/>
      <c r="FJ15" s="110"/>
      <c r="FK15" s="110"/>
      <c r="FL15" s="110"/>
      <c r="FM15" s="110"/>
      <c r="FN15" s="110"/>
      <c r="FO15" s="110"/>
      <c r="FP15" s="110"/>
      <c r="FQ15" s="110"/>
      <c r="FR15" s="110"/>
      <c r="FS15" s="110"/>
      <c r="FT15" s="110"/>
      <c r="FU15" s="110"/>
      <c r="FV15" s="110"/>
      <c r="FW15" s="110"/>
      <c r="FX15" s="110"/>
      <c r="FY15" s="110"/>
      <c r="FZ15" s="110"/>
      <c r="GA15" s="110"/>
      <c r="GB15" s="110"/>
      <c r="GC15" s="110"/>
      <c r="GD15" s="110"/>
      <c r="GE15" s="110"/>
      <c r="GF15" s="110"/>
      <c r="GG15" s="110"/>
      <c r="GH15" s="110"/>
      <c r="GI15" s="110"/>
      <c r="GJ15" s="110"/>
      <c r="GK15" s="110"/>
      <c r="GL15" s="110"/>
      <c r="GM15" s="110"/>
      <c r="GN15" s="110"/>
      <c r="GO15" s="110"/>
      <c r="GP15" s="110"/>
      <c r="GQ15" s="110"/>
      <c r="GR15" s="110"/>
      <c r="GS15" s="110"/>
      <c r="GT15" s="110"/>
      <c r="GU15" s="110"/>
      <c r="GV15" s="110"/>
      <c r="GW15" s="110"/>
      <c r="GX15" s="110"/>
      <c r="GY15" s="110"/>
      <c r="GZ15" s="110"/>
      <c r="HA15" s="110"/>
      <c r="HB15" s="110"/>
      <c r="HC15" s="110"/>
      <c r="HD15" s="110"/>
      <c r="HE15" s="110"/>
      <c r="HF15" s="110"/>
      <c r="HG15" s="110"/>
      <c r="HH15" s="110"/>
      <c r="HI15" s="110"/>
      <c r="HJ15" s="110"/>
      <c r="HK15" s="110"/>
      <c r="HL15" s="110"/>
      <c r="HM15" s="110"/>
      <c r="HN15" s="110"/>
      <c r="HO15" s="110"/>
      <c r="HP15" s="110"/>
      <c r="HQ15" s="110"/>
      <c r="HR15" s="110"/>
      <c r="HS15" s="110"/>
      <c r="HT15" s="110"/>
      <c r="HU15" s="110"/>
      <c r="HV15" s="110"/>
      <c r="HW15" s="110"/>
      <c r="HX15" s="110"/>
      <c r="HY15" s="110"/>
      <c r="HZ15" s="110"/>
      <c r="IA15" s="110"/>
      <c r="IB15" s="110"/>
      <c r="IC15" s="110"/>
      <c r="ID15" s="110"/>
      <c r="IE15" s="110"/>
      <c r="IF15" s="110"/>
      <c r="IG15" s="110"/>
      <c r="IH15" s="110"/>
      <c r="II15" s="110"/>
      <c r="IJ15" s="110"/>
      <c r="IK15" s="110"/>
      <c r="IL15" s="110"/>
      <c r="IM15" s="110"/>
      <c r="IN15" s="110"/>
      <c r="IO15" s="110"/>
      <c r="IP15" s="110"/>
      <c r="IQ15" s="110"/>
      <c r="IR15" s="110"/>
      <c r="IS15" s="110"/>
      <c r="IT15" s="110"/>
      <c r="IU15" s="110"/>
      <c r="IV15" s="110"/>
      <c r="IW15" s="110"/>
    </row>
    <row r="16" spans="1:257" ht="15" thickBot="1" x14ac:dyDescent="0.35">
      <c r="A16" s="156"/>
      <c r="B16" s="115" t="str">
        <f>'Parameter Values'!B170</f>
        <v>Live birth no ANC</v>
      </c>
      <c r="C16" s="168">
        <f>'Parameter Values'!D170</f>
        <v>-243364.41675441913</v>
      </c>
      <c r="D16" s="169">
        <f>'Parameter Values'!F170</f>
        <v>-238499.86148495637</v>
      </c>
      <c r="E16" s="170">
        <f t="shared" si="0"/>
        <v>4864.5552694627549</v>
      </c>
      <c r="F16" s="156"/>
      <c r="G16" s="156"/>
      <c r="H16" s="156"/>
      <c r="I16" s="181" t="s">
        <v>753</v>
      </c>
      <c r="J16" s="168">
        <v>-271941.24312013824</v>
      </c>
      <c r="K16" s="169">
        <v>-220880.41694045483</v>
      </c>
      <c r="L16" s="170">
        <v>51060.826179683412</v>
      </c>
      <c r="M16" s="156"/>
      <c r="N16" s="156"/>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c r="BY16" s="110"/>
      <c r="BZ16" s="110"/>
      <c r="CA16" s="110"/>
      <c r="CB16" s="110"/>
      <c r="CC16" s="110"/>
      <c r="CD16" s="110"/>
      <c r="CE16" s="110"/>
      <c r="CF16" s="110"/>
      <c r="CG16" s="110"/>
      <c r="CH16" s="110"/>
      <c r="CI16" s="110"/>
      <c r="CJ16" s="110"/>
      <c r="CK16" s="110"/>
      <c r="CL16" s="110"/>
      <c r="CM16" s="110"/>
      <c r="CN16" s="110"/>
      <c r="CO16" s="110"/>
      <c r="CP16" s="110"/>
      <c r="CQ16" s="110"/>
      <c r="CR16" s="110"/>
      <c r="CS16" s="110"/>
      <c r="CT16" s="110"/>
      <c r="CU16" s="110"/>
      <c r="CV16" s="110"/>
      <c r="CW16" s="110"/>
      <c r="CX16" s="110"/>
      <c r="CY16" s="110"/>
      <c r="CZ16" s="110"/>
      <c r="DA16" s="110"/>
      <c r="DB16" s="110"/>
      <c r="DC16" s="110"/>
      <c r="DD16" s="110"/>
      <c r="DE16" s="110"/>
      <c r="DF16" s="110"/>
      <c r="DG16" s="110"/>
      <c r="DH16" s="110"/>
      <c r="DI16" s="110"/>
      <c r="DJ16" s="110"/>
      <c r="DK16" s="110"/>
      <c r="DL16" s="110"/>
      <c r="DM16" s="110"/>
      <c r="DN16" s="110"/>
      <c r="DO16" s="110"/>
      <c r="DP16" s="110"/>
      <c r="DQ16" s="110"/>
      <c r="DR16" s="110"/>
      <c r="DS16" s="110"/>
      <c r="DT16" s="110"/>
      <c r="DU16" s="110"/>
      <c r="DV16" s="110"/>
      <c r="DW16" s="110"/>
      <c r="DX16" s="110"/>
      <c r="DY16" s="110"/>
      <c r="DZ16" s="110"/>
      <c r="EA16" s="110"/>
      <c r="EB16" s="110"/>
      <c r="EC16" s="110"/>
      <c r="ED16" s="110"/>
      <c r="EE16" s="110"/>
      <c r="EF16" s="110"/>
      <c r="EG16" s="110"/>
      <c r="EH16" s="110"/>
      <c r="EI16" s="110"/>
      <c r="EJ16" s="110"/>
      <c r="EK16" s="110"/>
      <c r="EL16" s="110"/>
      <c r="EM16" s="110"/>
      <c r="EN16" s="110"/>
      <c r="EO16" s="110"/>
      <c r="EP16" s="110"/>
      <c r="EQ16" s="110"/>
      <c r="ER16" s="110"/>
      <c r="ES16" s="110"/>
      <c r="ET16" s="110"/>
      <c r="EU16" s="110"/>
      <c r="EV16" s="110"/>
      <c r="EW16" s="110"/>
      <c r="EX16" s="110"/>
      <c r="EY16" s="110"/>
      <c r="EZ16" s="110"/>
      <c r="FA16" s="110"/>
      <c r="FB16" s="110"/>
      <c r="FC16" s="110"/>
      <c r="FD16" s="110"/>
      <c r="FE16" s="110"/>
      <c r="FF16" s="110"/>
      <c r="FG16" s="110"/>
      <c r="FH16" s="110"/>
      <c r="FI16" s="110"/>
      <c r="FJ16" s="110"/>
      <c r="FK16" s="110"/>
      <c r="FL16" s="110"/>
      <c r="FM16" s="110"/>
      <c r="FN16" s="110"/>
      <c r="FO16" s="110"/>
      <c r="FP16" s="110"/>
      <c r="FQ16" s="110"/>
      <c r="FR16" s="110"/>
      <c r="FS16" s="110"/>
      <c r="FT16" s="110"/>
      <c r="FU16" s="110"/>
      <c r="FV16" s="110"/>
      <c r="FW16" s="110"/>
      <c r="FX16" s="110"/>
      <c r="FY16" s="110"/>
      <c r="FZ16" s="110"/>
      <c r="GA16" s="110"/>
      <c r="GB16" s="110"/>
      <c r="GC16" s="110"/>
      <c r="GD16" s="110"/>
      <c r="GE16" s="110"/>
      <c r="GF16" s="110"/>
      <c r="GG16" s="110"/>
      <c r="GH16" s="110"/>
      <c r="GI16" s="110"/>
      <c r="GJ16" s="110"/>
      <c r="GK16" s="110"/>
      <c r="GL16" s="110"/>
      <c r="GM16" s="110"/>
      <c r="GN16" s="110"/>
      <c r="GO16" s="110"/>
      <c r="GP16" s="110"/>
      <c r="GQ16" s="110"/>
      <c r="GR16" s="110"/>
      <c r="GS16" s="110"/>
      <c r="GT16" s="110"/>
      <c r="GU16" s="110"/>
      <c r="GV16" s="110"/>
      <c r="GW16" s="110"/>
      <c r="GX16" s="110"/>
      <c r="GY16" s="110"/>
      <c r="GZ16" s="110"/>
      <c r="HA16" s="110"/>
      <c r="HB16" s="110"/>
      <c r="HC16" s="110"/>
      <c r="HD16" s="110"/>
      <c r="HE16" s="110"/>
      <c r="HF16" s="110"/>
      <c r="HG16" s="110"/>
      <c r="HH16" s="110"/>
      <c r="HI16" s="110"/>
      <c r="HJ16" s="110"/>
      <c r="HK16" s="110"/>
      <c r="HL16" s="110"/>
      <c r="HM16" s="110"/>
      <c r="HN16" s="110"/>
      <c r="HO16" s="110"/>
      <c r="HP16" s="110"/>
      <c r="HQ16" s="110"/>
      <c r="HR16" s="110"/>
      <c r="HS16" s="110"/>
      <c r="HT16" s="110"/>
      <c r="HU16" s="110"/>
      <c r="HV16" s="110"/>
      <c r="HW16" s="110"/>
      <c r="HX16" s="110"/>
      <c r="HY16" s="110"/>
      <c r="HZ16" s="110"/>
      <c r="IA16" s="110"/>
      <c r="IB16" s="110"/>
      <c r="IC16" s="110"/>
      <c r="ID16" s="110"/>
      <c r="IE16" s="110"/>
      <c r="IF16" s="110"/>
      <c r="IG16" s="110"/>
      <c r="IH16" s="110"/>
      <c r="II16" s="110"/>
      <c r="IJ16" s="110"/>
      <c r="IK16" s="110"/>
      <c r="IL16" s="110"/>
      <c r="IM16" s="110"/>
      <c r="IN16" s="110"/>
      <c r="IO16" s="110"/>
      <c r="IP16" s="110"/>
      <c r="IQ16" s="110"/>
      <c r="IR16" s="110"/>
      <c r="IS16" s="110"/>
      <c r="IT16" s="110"/>
      <c r="IU16" s="110"/>
      <c r="IV16" s="110"/>
      <c r="IW16" s="110"/>
    </row>
    <row r="17" spans="1:257" ht="15" thickBot="1" x14ac:dyDescent="0.35">
      <c r="A17" s="156"/>
      <c r="B17" s="115" t="str">
        <f>'Parameter Values'!B171</f>
        <v>Term with ANC</v>
      </c>
      <c r="C17" s="168">
        <f>'Parameter Values'!D171</f>
        <v>-954339.96335247904</v>
      </c>
      <c r="D17" s="169">
        <f>'Parameter Values'!F171</f>
        <v>-192319.76641001648</v>
      </c>
      <c r="E17" s="170">
        <f t="shared" si="0"/>
        <v>762020.19694246259</v>
      </c>
      <c r="F17" s="156"/>
      <c r="G17" s="156"/>
      <c r="H17" s="156"/>
      <c r="I17" s="181" t="s">
        <v>756</v>
      </c>
      <c r="J17" s="168">
        <v>-268399.95923899498</v>
      </c>
      <c r="K17" s="173">
        <v>-218827.27167887584</v>
      </c>
      <c r="L17" s="170">
        <v>49572.687560119142</v>
      </c>
      <c r="M17" s="156"/>
      <c r="N17" s="156"/>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c r="BY17" s="110"/>
      <c r="BZ17" s="110"/>
      <c r="CA17" s="110"/>
      <c r="CB17" s="110"/>
      <c r="CC17" s="110"/>
      <c r="CD17" s="110"/>
      <c r="CE17" s="110"/>
      <c r="CF17" s="110"/>
      <c r="CG17" s="110"/>
      <c r="CH17" s="110"/>
      <c r="CI17" s="110"/>
      <c r="CJ17" s="110"/>
      <c r="CK17" s="110"/>
      <c r="CL17" s="110"/>
      <c r="CM17" s="110"/>
      <c r="CN17" s="110"/>
      <c r="CO17" s="110"/>
      <c r="CP17" s="110"/>
      <c r="CQ17" s="110"/>
      <c r="CR17" s="110"/>
      <c r="CS17" s="110"/>
      <c r="CT17" s="110"/>
      <c r="CU17" s="110"/>
      <c r="CV17" s="110"/>
      <c r="CW17" s="110"/>
      <c r="CX17" s="110"/>
      <c r="CY17" s="110"/>
      <c r="CZ17" s="110"/>
      <c r="DA17" s="110"/>
      <c r="DB17" s="110"/>
      <c r="DC17" s="110"/>
      <c r="DD17" s="110"/>
      <c r="DE17" s="110"/>
      <c r="DF17" s="110"/>
      <c r="DG17" s="110"/>
      <c r="DH17" s="110"/>
      <c r="DI17" s="110"/>
      <c r="DJ17" s="110"/>
      <c r="DK17" s="110"/>
      <c r="DL17" s="110"/>
      <c r="DM17" s="110"/>
      <c r="DN17" s="110"/>
      <c r="DO17" s="110"/>
      <c r="DP17" s="110"/>
      <c r="DQ17" s="110"/>
      <c r="DR17" s="110"/>
      <c r="DS17" s="110"/>
      <c r="DT17" s="110"/>
      <c r="DU17" s="110"/>
      <c r="DV17" s="110"/>
      <c r="DW17" s="110"/>
      <c r="DX17" s="110"/>
      <c r="DY17" s="110"/>
      <c r="DZ17" s="110"/>
      <c r="EA17" s="110"/>
      <c r="EB17" s="110"/>
      <c r="EC17" s="110"/>
      <c r="ED17" s="110"/>
      <c r="EE17" s="110"/>
      <c r="EF17" s="110"/>
      <c r="EG17" s="110"/>
      <c r="EH17" s="110"/>
      <c r="EI17" s="110"/>
      <c r="EJ17" s="110"/>
      <c r="EK17" s="110"/>
      <c r="EL17" s="110"/>
      <c r="EM17" s="110"/>
      <c r="EN17" s="110"/>
      <c r="EO17" s="110"/>
      <c r="EP17" s="110"/>
      <c r="EQ17" s="110"/>
      <c r="ER17" s="110"/>
      <c r="ES17" s="110"/>
      <c r="ET17" s="110"/>
      <c r="EU17" s="110"/>
      <c r="EV17" s="110"/>
      <c r="EW17" s="110"/>
      <c r="EX17" s="110"/>
      <c r="EY17" s="110"/>
      <c r="EZ17" s="110"/>
      <c r="FA17" s="110"/>
      <c r="FB17" s="110"/>
      <c r="FC17" s="110"/>
      <c r="FD17" s="110"/>
      <c r="FE17" s="110"/>
      <c r="FF17" s="110"/>
      <c r="FG17" s="110"/>
      <c r="FH17" s="110"/>
      <c r="FI17" s="110"/>
      <c r="FJ17" s="110"/>
      <c r="FK17" s="110"/>
      <c r="FL17" s="110"/>
      <c r="FM17" s="110"/>
      <c r="FN17" s="110"/>
      <c r="FO17" s="110"/>
      <c r="FP17" s="110"/>
      <c r="FQ17" s="110"/>
      <c r="FR17" s="110"/>
      <c r="FS17" s="110"/>
      <c r="FT17" s="110"/>
      <c r="FU17" s="110"/>
      <c r="FV17" s="110"/>
      <c r="FW17" s="110"/>
      <c r="FX17" s="110"/>
      <c r="FY17" s="110"/>
      <c r="FZ17" s="110"/>
      <c r="GA17" s="110"/>
      <c r="GB17" s="110"/>
      <c r="GC17" s="110"/>
      <c r="GD17" s="110"/>
      <c r="GE17" s="110"/>
      <c r="GF17" s="110"/>
      <c r="GG17" s="110"/>
      <c r="GH17" s="110"/>
      <c r="GI17" s="110"/>
      <c r="GJ17" s="110"/>
      <c r="GK17" s="110"/>
      <c r="GL17" s="110"/>
      <c r="GM17" s="110"/>
      <c r="GN17" s="110"/>
      <c r="GO17" s="110"/>
      <c r="GP17" s="110"/>
      <c r="GQ17" s="110"/>
      <c r="GR17" s="110"/>
      <c r="GS17" s="110"/>
      <c r="GT17" s="110"/>
      <c r="GU17" s="110"/>
      <c r="GV17" s="110"/>
      <c r="GW17" s="110"/>
      <c r="GX17" s="110"/>
      <c r="GY17" s="110"/>
      <c r="GZ17" s="110"/>
      <c r="HA17" s="110"/>
      <c r="HB17" s="110"/>
      <c r="HC17" s="110"/>
      <c r="HD17" s="110"/>
      <c r="HE17" s="110"/>
      <c r="HF17" s="110"/>
      <c r="HG17" s="110"/>
      <c r="HH17" s="110"/>
      <c r="HI17" s="110"/>
      <c r="HJ17" s="110"/>
      <c r="HK17" s="110"/>
      <c r="HL17" s="110"/>
      <c r="HM17" s="110"/>
      <c r="HN17" s="110"/>
      <c r="HO17" s="110"/>
      <c r="HP17" s="110"/>
      <c r="HQ17" s="110"/>
      <c r="HR17" s="110"/>
      <c r="HS17" s="110"/>
      <c r="HT17" s="110"/>
      <c r="HU17" s="110"/>
      <c r="HV17" s="110"/>
      <c r="HW17" s="110"/>
      <c r="HX17" s="110"/>
      <c r="HY17" s="110"/>
      <c r="HZ17" s="110"/>
      <c r="IA17" s="110"/>
      <c r="IB17" s="110"/>
      <c r="IC17" s="110"/>
      <c r="ID17" s="110"/>
      <c r="IE17" s="110"/>
      <c r="IF17" s="110"/>
      <c r="IG17" s="110"/>
      <c r="IH17" s="110"/>
      <c r="II17" s="110"/>
      <c r="IJ17" s="110"/>
      <c r="IK17" s="110"/>
      <c r="IL17" s="110"/>
      <c r="IM17" s="110"/>
      <c r="IN17" s="110"/>
      <c r="IO17" s="110"/>
      <c r="IP17" s="110"/>
      <c r="IQ17" s="110"/>
      <c r="IR17" s="110"/>
      <c r="IS17" s="110"/>
      <c r="IT17" s="110"/>
      <c r="IU17" s="110"/>
      <c r="IV17" s="110"/>
      <c r="IW17" s="110"/>
    </row>
    <row r="18" spans="1:257" ht="15" thickBot="1" x14ac:dyDescent="0.35">
      <c r="A18" s="156"/>
      <c r="B18" s="115" t="str">
        <f>'Parameter Values'!B172</f>
        <v>Term no ANC</v>
      </c>
      <c r="C18" s="168">
        <f>'Parameter Values'!D172</f>
        <v>-273435.20446759457</v>
      </c>
      <c r="D18" s="169">
        <f>'Parameter Values'!F172</f>
        <v>-219669.49068040773</v>
      </c>
      <c r="E18" s="170">
        <f t="shared" si="0"/>
        <v>53765.713787186833</v>
      </c>
      <c r="F18" s="156"/>
      <c r="G18" s="156"/>
      <c r="H18" s="156"/>
      <c r="I18" s="174" t="s">
        <v>675</v>
      </c>
      <c r="J18" s="168">
        <v>-268237.81090198806</v>
      </c>
      <c r="K18" s="169">
        <v>-220293.91565579199</v>
      </c>
      <c r="L18" s="170">
        <v>47943.895246196073</v>
      </c>
      <c r="M18" s="156"/>
      <c r="N18" s="156"/>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10"/>
      <c r="CN18" s="110"/>
      <c r="CO18" s="110"/>
      <c r="CP18" s="110"/>
      <c r="CQ18" s="110"/>
      <c r="CR18" s="110"/>
      <c r="CS18" s="110"/>
      <c r="CT18" s="110"/>
      <c r="CU18" s="110"/>
      <c r="CV18" s="110"/>
      <c r="CW18" s="110"/>
      <c r="CX18" s="110"/>
      <c r="CY18" s="110"/>
      <c r="CZ18" s="110"/>
      <c r="DA18" s="110"/>
      <c r="DB18" s="110"/>
      <c r="DC18" s="110"/>
      <c r="DD18" s="110"/>
      <c r="DE18" s="110"/>
      <c r="DF18" s="110"/>
      <c r="DG18" s="110"/>
      <c r="DH18" s="110"/>
      <c r="DI18" s="110"/>
      <c r="DJ18" s="110"/>
      <c r="DK18" s="110"/>
      <c r="DL18" s="110"/>
      <c r="DM18" s="110"/>
      <c r="DN18" s="110"/>
      <c r="DO18" s="110"/>
      <c r="DP18" s="110"/>
      <c r="DQ18" s="110"/>
      <c r="DR18" s="110"/>
      <c r="DS18" s="110"/>
      <c r="DT18" s="110"/>
      <c r="DU18" s="110"/>
      <c r="DV18" s="110"/>
      <c r="DW18" s="110"/>
      <c r="DX18" s="110"/>
      <c r="DY18" s="110"/>
      <c r="DZ18" s="110"/>
      <c r="EA18" s="110"/>
      <c r="EB18" s="110"/>
      <c r="EC18" s="110"/>
      <c r="ED18" s="110"/>
      <c r="EE18" s="110"/>
      <c r="EF18" s="110"/>
      <c r="EG18" s="110"/>
      <c r="EH18" s="110"/>
      <c r="EI18" s="110"/>
      <c r="EJ18" s="110"/>
      <c r="EK18" s="110"/>
      <c r="EL18" s="110"/>
      <c r="EM18" s="110"/>
      <c r="EN18" s="110"/>
      <c r="EO18" s="110"/>
      <c r="EP18" s="110"/>
      <c r="EQ18" s="110"/>
      <c r="ER18" s="110"/>
      <c r="ES18" s="110"/>
      <c r="ET18" s="110"/>
      <c r="EU18" s="110"/>
      <c r="EV18" s="110"/>
      <c r="EW18" s="110"/>
      <c r="EX18" s="110"/>
      <c r="EY18" s="110"/>
      <c r="EZ18" s="110"/>
      <c r="FA18" s="110"/>
      <c r="FB18" s="110"/>
      <c r="FC18" s="110"/>
      <c r="FD18" s="110"/>
      <c r="FE18" s="110"/>
      <c r="FF18" s="110"/>
      <c r="FG18" s="110"/>
      <c r="FH18" s="110"/>
      <c r="FI18" s="110"/>
      <c r="FJ18" s="110"/>
      <c r="FK18" s="110"/>
      <c r="FL18" s="110"/>
      <c r="FM18" s="110"/>
      <c r="FN18" s="110"/>
      <c r="FO18" s="110"/>
      <c r="FP18" s="110"/>
      <c r="FQ18" s="110"/>
      <c r="FR18" s="110"/>
      <c r="FS18" s="110"/>
      <c r="FT18" s="110"/>
      <c r="FU18" s="110"/>
      <c r="FV18" s="110"/>
      <c r="FW18" s="110"/>
      <c r="FX18" s="110"/>
      <c r="FY18" s="110"/>
      <c r="FZ18" s="110"/>
      <c r="GA18" s="110"/>
      <c r="GB18" s="110"/>
      <c r="GC18" s="110"/>
      <c r="GD18" s="110"/>
      <c r="GE18" s="110"/>
      <c r="GF18" s="110"/>
      <c r="GG18" s="110"/>
      <c r="GH18" s="110"/>
      <c r="GI18" s="110"/>
      <c r="GJ18" s="110"/>
      <c r="GK18" s="110"/>
      <c r="GL18" s="110"/>
      <c r="GM18" s="110"/>
      <c r="GN18" s="110"/>
      <c r="GO18" s="110"/>
      <c r="GP18" s="110"/>
      <c r="GQ18" s="110"/>
      <c r="GR18" s="110"/>
      <c r="GS18" s="110"/>
      <c r="GT18" s="110"/>
      <c r="GU18" s="110"/>
      <c r="GV18" s="110"/>
      <c r="GW18" s="110"/>
      <c r="GX18" s="110"/>
      <c r="GY18" s="110"/>
      <c r="GZ18" s="110"/>
      <c r="HA18" s="110"/>
      <c r="HB18" s="110"/>
      <c r="HC18" s="110"/>
      <c r="HD18" s="110"/>
      <c r="HE18" s="110"/>
      <c r="HF18" s="110"/>
      <c r="HG18" s="110"/>
      <c r="HH18" s="110"/>
      <c r="HI18" s="110"/>
      <c r="HJ18" s="110"/>
      <c r="HK18" s="110"/>
      <c r="HL18" s="110"/>
      <c r="HM18" s="110"/>
      <c r="HN18" s="110"/>
      <c r="HO18" s="110"/>
      <c r="HP18" s="110"/>
      <c r="HQ18" s="110"/>
      <c r="HR18" s="110"/>
      <c r="HS18" s="110"/>
      <c r="HT18" s="110"/>
      <c r="HU18" s="110"/>
      <c r="HV18" s="110"/>
      <c r="HW18" s="110"/>
      <c r="HX18" s="110"/>
      <c r="HY18" s="110"/>
      <c r="HZ18" s="110"/>
      <c r="IA18" s="110"/>
      <c r="IB18" s="110"/>
      <c r="IC18" s="110"/>
      <c r="ID18" s="110"/>
      <c r="IE18" s="110"/>
      <c r="IF18" s="110"/>
      <c r="IG18" s="110"/>
      <c r="IH18" s="110"/>
      <c r="II18" s="110"/>
      <c r="IJ18" s="110"/>
      <c r="IK18" s="110"/>
      <c r="IL18" s="110"/>
      <c r="IM18" s="110"/>
      <c r="IN18" s="110"/>
      <c r="IO18" s="110"/>
      <c r="IP18" s="110"/>
      <c r="IQ18" s="110"/>
      <c r="IR18" s="110"/>
      <c r="IS18" s="110"/>
      <c r="IT18" s="110"/>
      <c r="IU18" s="110"/>
      <c r="IV18" s="110"/>
      <c r="IW18" s="110"/>
    </row>
    <row r="19" spans="1:257" ht="15" thickBot="1" x14ac:dyDescent="0.35">
      <c r="A19" s="156"/>
      <c r="B19" s="115" t="str">
        <f>'Parameter Values'!B173</f>
        <v>LBW prem</v>
      </c>
      <c r="C19" s="168">
        <f>'Parameter Values'!D173</f>
        <v>-212292.74108781663</v>
      </c>
      <c r="D19" s="169">
        <f>'Parameter Values'!F173</f>
        <v>-262851.72844636597</v>
      </c>
      <c r="E19" s="170">
        <f t="shared" si="0"/>
        <v>50558.987358549348</v>
      </c>
      <c r="F19" s="156"/>
      <c r="G19" s="156"/>
      <c r="H19" s="156"/>
      <c r="I19" s="181" t="s">
        <v>766</v>
      </c>
      <c r="J19" s="168">
        <v>-266143.43829182611</v>
      </c>
      <c r="K19" s="173">
        <v>-220381.23125324072</v>
      </c>
      <c r="L19" s="170">
        <v>45762.207038585388</v>
      </c>
      <c r="M19" s="156"/>
      <c r="N19" s="156"/>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10"/>
      <c r="CP19" s="110"/>
      <c r="CQ19" s="110"/>
      <c r="CR19" s="110"/>
      <c r="CS19" s="110"/>
      <c r="CT19" s="110"/>
      <c r="CU19" s="110"/>
      <c r="CV19" s="110"/>
      <c r="CW19" s="110"/>
      <c r="CX19" s="110"/>
      <c r="CY19" s="110"/>
      <c r="CZ19" s="110"/>
      <c r="DA19" s="110"/>
      <c r="DB19" s="110"/>
      <c r="DC19" s="110"/>
      <c r="DD19" s="110"/>
      <c r="DE19" s="110"/>
      <c r="DF19" s="110"/>
      <c r="DG19" s="110"/>
      <c r="DH19" s="110"/>
      <c r="DI19" s="110"/>
      <c r="DJ19" s="110"/>
      <c r="DK19" s="110"/>
      <c r="DL19" s="110"/>
      <c r="DM19" s="110"/>
      <c r="DN19" s="110"/>
      <c r="DO19" s="110"/>
      <c r="DP19" s="110"/>
      <c r="DQ19" s="110"/>
      <c r="DR19" s="110"/>
      <c r="DS19" s="110"/>
      <c r="DT19" s="110"/>
      <c r="DU19" s="110"/>
      <c r="DV19" s="110"/>
      <c r="DW19" s="110"/>
      <c r="DX19" s="110"/>
      <c r="DY19" s="110"/>
      <c r="DZ19" s="110"/>
      <c r="EA19" s="110"/>
      <c r="EB19" s="110"/>
      <c r="EC19" s="110"/>
      <c r="ED19" s="110"/>
      <c r="EE19" s="110"/>
      <c r="EF19" s="110"/>
      <c r="EG19" s="110"/>
      <c r="EH19" s="110"/>
      <c r="EI19" s="110"/>
      <c r="EJ19" s="110"/>
      <c r="EK19" s="110"/>
      <c r="EL19" s="110"/>
      <c r="EM19" s="110"/>
      <c r="EN19" s="110"/>
      <c r="EO19" s="110"/>
      <c r="EP19" s="110"/>
      <c r="EQ19" s="110"/>
      <c r="ER19" s="110"/>
      <c r="ES19" s="110"/>
      <c r="ET19" s="110"/>
      <c r="EU19" s="110"/>
      <c r="EV19" s="110"/>
      <c r="EW19" s="110"/>
      <c r="EX19" s="110"/>
      <c r="EY19" s="110"/>
      <c r="EZ19" s="110"/>
      <c r="FA19" s="110"/>
      <c r="FB19" s="110"/>
      <c r="FC19" s="110"/>
      <c r="FD19" s="110"/>
      <c r="FE19" s="110"/>
      <c r="FF19" s="110"/>
      <c r="FG19" s="110"/>
      <c r="FH19" s="110"/>
      <c r="FI19" s="110"/>
      <c r="FJ19" s="110"/>
      <c r="FK19" s="110"/>
      <c r="FL19" s="110"/>
      <c r="FM19" s="110"/>
      <c r="FN19" s="110"/>
      <c r="FO19" s="110"/>
      <c r="FP19" s="110"/>
      <c r="FQ19" s="110"/>
      <c r="FR19" s="110"/>
      <c r="FS19" s="110"/>
      <c r="FT19" s="110"/>
      <c r="FU19" s="110"/>
      <c r="FV19" s="110"/>
      <c r="FW19" s="110"/>
      <c r="FX19" s="110"/>
      <c r="FY19" s="110"/>
      <c r="FZ19" s="110"/>
      <c r="GA19" s="110"/>
      <c r="GB19" s="110"/>
      <c r="GC19" s="110"/>
      <c r="GD19" s="110"/>
      <c r="GE19" s="110"/>
      <c r="GF19" s="110"/>
      <c r="GG19" s="110"/>
      <c r="GH19" s="110"/>
      <c r="GI19" s="110"/>
      <c r="GJ19" s="110"/>
      <c r="GK19" s="110"/>
      <c r="GL19" s="110"/>
      <c r="GM19" s="110"/>
      <c r="GN19" s="110"/>
      <c r="GO19" s="110"/>
      <c r="GP19" s="110"/>
      <c r="GQ19" s="110"/>
      <c r="GR19" s="110"/>
      <c r="GS19" s="110"/>
      <c r="GT19" s="110"/>
      <c r="GU19" s="110"/>
      <c r="GV19" s="110"/>
      <c r="GW19" s="110"/>
      <c r="GX19" s="110"/>
      <c r="GY19" s="110"/>
      <c r="GZ19" s="110"/>
      <c r="HA19" s="110"/>
      <c r="HB19" s="110"/>
      <c r="HC19" s="110"/>
      <c r="HD19" s="110"/>
      <c r="HE19" s="110"/>
      <c r="HF19" s="110"/>
      <c r="HG19" s="110"/>
      <c r="HH19" s="110"/>
      <c r="HI19" s="110"/>
      <c r="HJ19" s="110"/>
      <c r="HK19" s="110"/>
      <c r="HL19" s="110"/>
      <c r="HM19" s="110"/>
      <c r="HN19" s="110"/>
      <c r="HO19" s="110"/>
      <c r="HP19" s="110"/>
      <c r="HQ19" s="110"/>
      <c r="HR19" s="110"/>
      <c r="HS19" s="110"/>
      <c r="HT19" s="110"/>
      <c r="HU19" s="110"/>
      <c r="HV19" s="110"/>
      <c r="HW19" s="110"/>
      <c r="HX19" s="110"/>
      <c r="HY19" s="110"/>
      <c r="HZ19" s="110"/>
      <c r="IA19" s="110"/>
      <c r="IB19" s="110"/>
      <c r="IC19" s="110"/>
      <c r="ID19" s="110"/>
      <c r="IE19" s="110"/>
      <c r="IF19" s="110"/>
      <c r="IG19" s="110"/>
      <c r="IH19" s="110"/>
      <c r="II19" s="110"/>
      <c r="IJ19" s="110"/>
      <c r="IK19" s="110"/>
      <c r="IL19" s="110"/>
      <c r="IM19" s="110"/>
      <c r="IN19" s="110"/>
      <c r="IO19" s="110"/>
      <c r="IP19" s="110"/>
      <c r="IQ19" s="110"/>
      <c r="IR19" s="110"/>
      <c r="IS19" s="110"/>
      <c r="IT19" s="110"/>
      <c r="IU19" s="110"/>
      <c r="IV19" s="110"/>
      <c r="IW19" s="110"/>
    </row>
    <row r="20" spans="1:257" ht="15" thickBot="1" x14ac:dyDescent="0.35">
      <c r="A20" s="156"/>
      <c r="B20" s="115" t="str">
        <f>'Parameter Values'!B174</f>
        <v>LBW term</v>
      </c>
      <c r="C20" s="168">
        <f>'Parameter Values'!D174</f>
        <v>-183280.65168475496</v>
      </c>
      <c r="D20" s="169">
        <f>'Parameter Values'!F174</f>
        <v>-291006.01571993774</v>
      </c>
      <c r="E20" s="170">
        <f t="shared" si="0"/>
        <v>107725.36403518278</v>
      </c>
      <c r="F20" s="156"/>
      <c r="G20" s="156"/>
      <c r="H20" s="156"/>
      <c r="I20" s="181" t="s">
        <v>767</v>
      </c>
      <c r="J20" s="168">
        <v>-224703.15023441479</v>
      </c>
      <c r="K20" s="173">
        <v>-258740.68794612112</v>
      </c>
      <c r="L20" s="170">
        <v>34037.537711706333</v>
      </c>
      <c r="M20" s="156"/>
      <c r="N20" s="156"/>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10"/>
      <c r="CS20" s="110"/>
      <c r="CT20" s="110"/>
      <c r="CU20" s="110"/>
      <c r="CV20" s="110"/>
      <c r="CW20" s="110"/>
      <c r="CX20" s="110"/>
      <c r="CY20" s="110"/>
      <c r="CZ20" s="110"/>
      <c r="DA20" s="110"/>
      <c r="DB20" s="110"/>
      <c r="DC20" s="110"/>
      <c r="DD20" s="110"/>
      <c r="DE20" s="110"/>
      <c r="DF20" s="110"/>
      <c r="DG20" s="110"/>
      <c r="DH20" s="110"/>
      <c r="DI20" s="110"/>
      <c r="DJ20" s="110"/>
      <c r="DK20" s="110"/>
      <c r="DL20" s="110"/>
      <c r="DM20" s="110"/>
      <c r="DN20" s="110"/>
      <c r="DO20" s="110"/>
      <c r="DP20" s="110"/>
      <c r="DQ20" s="110"/>
      <c r="DR20" s="110"/>
      <c r="DS20" s="110"/>
      <c r="DT20" s="110"/>
      <c r="DU20" s="110"/>
      <c r="DV20" s="110"/>
      <c r="DW20" s="110"/>
      <c r="DX20" s="110"/>
      <c r="DY20" s="110"/>
      <c r="DZ20" s="110"/>
      <c r="EA20" s="110"/>
      <c r="EB20" s="110"/>
      <c r="EC20" s="110"/>
      <c r="ED20" s="110"/>
      <c r="EE20" s="110"/>
      <c r="EF20" s="110"/>
      <c r="EG20" s="110"/>
      <c r="EH20" s="110"/>
      <c r="EI20" s="110"/>
      <c r="EJ20" s="110"/>
      <c r="EK20" s="110"/>
      <c r="EL20" s="110"/>
      <c r="EM20" s="110"/>
      <c r="EN20" s="110"/>
      <c r="EO20" s="110"/>
      <c r="EP20" s="110"/>
      <c r="EQ20" s="110"/>
      <c r="ER20" s="110"/>
      <c r="ES20" s="110"/>
      <c r="ET20" s="110"/>
      <c r="EU20" s="110"/>
      <c r="EV20" s="110"/>
      <c r="EW20" s="110"/>
      <c r="EX20" s="110"/>
      <c r="EY20" s="110"/>
      <c r="EZ20" s="110"/>
      <c r="FA20" s="110"/>
      <c r="FB20" s="110"/>
      <c r="FC20" s="110"/>
      <c r="FD20" s="110"/>
      <c r="FE20" s="110"/>
      <c r="FF20" s="110"/>
      <c r="FG20" s="110"/>
      <c r="FH20" s="110"/>
      <c r="FI20" s="110"/>
      <c r="FJ20" s="110"/>
      <c r="FK20" s="110"/>
      <c r="FL20" s="110"/>
      <c r="FM20" s="110"/>
      <c r="FN20" s="110"/>
      <c r="FO20" s="110"/>
      <c r="FP20" s="110"/>
      <c r="FQ20" s="110"/>
      <c r="FR20" s="110"/>
      <c r="FS20" s="110"/>
      <c r="FT20" s="110"/>
      <c r="FU20" s="110"/>
      <c r="FV20" s="110"/>
      <c r="FW20" s="110"/>
      <c r="FX20" s="110"/>
      <c r="FY20" s="110"/>
      <c r="FZ20" s="110"/>
      <c r="GA20" s="110"/>
      <c r="GB20" s="110"/>
      <c r="GC20" s="110"/>
      <c r="GD20" s="110"/>
      <c r="GE20" s="110"/>
      <c r="GF20" s="110"/>
      <c r="GG20" s="110"/>
      <c r="GH20" s="110"/>
      <c r="GI20" s="110"/>
      <c r="GJ20" s="110"/>
      <c r="GK20" s="110"/>
      <c r="GL20" s="110"/>
      <c r="GM20" s="110"/>
      <c r="GN20" s="110"/>
      <c r="GO20" s="110"/>
      <c r="GP20" s="110"/>
      <c r="GQ20" s="110"/>
      <c r="GR20" s="110"/>
      <c r="GS20" s="110"/>
      <c r="GT20" s="110"/>
      <c r="GU20" s="110"/>
      <c r="GV20" s="110"/>
      <c r="GW20" s="110"/>
      <c r="GX20" s="110"/>
      <c r="GY20" s="110"/>
      <c r="GZ20" s="110"/>
      <c r="HA20" s="110"/>
      <c r="HB20" s="110"/>
      <c r="HC20" s="110"/>
      <c r="HD20" s="110"/>
      <c r="HE20" s="110"/>
      <c r="HF20" s="110"/>
      <c r="HG20" s="110"/>
      <c r="HH20" s="110"/>
      <c r="HI20" s="110"/>
      <c r="HJ20" s="110"/>
      <c r="HK20" s="110"/>
      <c r="HL20" s="110"/>
      <c r="HM20" s="110"/>
      <c r="HN20" s="110"/>
      <c r="HO20" s="110"/>
      <c r="HP20" s="110"/>
      <c r="HQ20" s="110"/>
      <c r="HR20" s="110"/>
      <c r="HS20" s="110"/>
      <c r="HT20" s="110"/>
      <c r="HU20" s="110"/>
      <c r="HV20" s="110"/>
      <c r="HW20" s="110"/>
      <c r="HX20" s="110"/>
      <c r="HY20" s="110"/>
      <c r="HZ20" s="110"/>
      <c r="IA20" s="110"/>
      <c r="IB20" s="110"/>
      <c r="IC20" s="110"/>
      <c r="ID20" s="110"/>
      <c r="IE20" s="110"/>
      <c r="IF20" s="110"/>
      <c r="IG20" s="110"/>
      <c r="IH20" s="110"/>
      <c r="II20" s="110"/>
      <c r="IJ20" s="110"/>
      <c r="IK20" s="110"/>
      <c r="IL20" s="110"/>
      <c r="IM20" s="110"/>
      <c r="IN20" s="110"/>
      <c r="IO20" s="110"/>
      <c r="IP20" s="110"/>
      <c r="IQ20" s="110"/>
      <c r="IR20" s="110"/>
      <c r="IS20" s="110"/>
      <c r="IT20" s="110"/>
      <c r="IU20" s="110"/>
      <c r="IV20" s="110"/>
      <c r="IW20" s="110"/>
    </row>
    <row r="21" spans="1:257" ht="15" thickBot="1" x14ac:dyDescent="0.35">
      <c r="A21" s="156"/>
      <c r="B21" s="115" t="str">
        <f>'Parameter Values'!B175</f>
        <v>SGA preterm lbw</v>
      </c>
      <c r="C21" s="168">
        <f>'Parameter Values'!D175</f>
        <v>-268572.28695228393</v>
      </c>
      <c r="D21" s="169">
        <f>'Parameter Values'!F175</f>
        <v>-218188.04165826176</v>
      </c>
      <c r="E21" s="170">
        <f t="shared" si="0"/>
        <v>50384.24529402217</v>
      </c>
      <c r="F21" s="156"/>
      <c r="G21" s="156"/>
      <c r="H21" s="156"/>
      <c r="I21" s="181" t="s">
        <v>760</v>
      </c>
      <c r="J21" s="172">
        <v>-257346.05381550675</v>
      </c>
      <c r="K21" s="169">
        <v>-226785.57327441964</v>
      </c>
      <c r="L21" s="170">
        <v>30560.480541087105</v>
      </c>
      <c r="M21" s="156"/>
      <c r="N21" s="156"/>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10"/>
      <c r="CU21" s="110"/>
      <c r="CV21" s="110"/>
      <c r="CW21" s="110"/>
      <c r="CX21" s="110"/>
      <c r="CY21" s="110"/>
      <c r="CZ21" s="110"/>
      <c r="DA21" s="110"/>
      <c r="DB21" s="110"/>
      <c r="DC21" s="110"/>
      <c r="DD21" s="110"/>
      <c r="DE21" s="110"/>
      <c r="DF21" s="110"/>
      <c r="DG21" s="110"/>
      <c r="DH21" s="110"/>
      <c r="DI21" s="110"/>
      <c r="DJ21" s="110"/>
      <c r="DK21" s="110"/>
      <c r="DL21" s="110"/>
      <c r="DM21" s="110"/>
      <c r="DN21" s="110"/>
      <c r="DO21" s="110"/>
      <c r="DP21" s="110"/>
      <c r="DQ21" s="110"/>
      <c r="DR21" s="110"/>
      <c r="DS21" s="110"/>
      <c r="DT21" s="110"/>
      <c r="DU21" s="110"/>
      <c r="DV21" s="110"/>
      <c r="DW21" s="110"/>
      <c r="DX21" s="110"/>
      <c r="DY21" s="110"/>
      <c r="DZ21" s="110"/>
      <c r="EA21" s="110"/>
      <c r="EB21" s="110"/>
      <c r="EC21" s="110"/>
      <c r="ED21" s="110"/>
      <c r="EE21" s="110"/>
      <c r="EF21" s="110"/>
      <c r="EG21" s="110"/>
      <c r="EH21" s="110"/>
      <c r="EI21" s="110"/>
      <c r="EJ21" s="110"/>
      <c r="EK21" s="110"/>
      <c r="EL21" s="110"/>
      <c r="EM21" s="110"/>
      <c r="EN21" s="110"/>
      <c r="EO21" s="110"/>
      <c r="EP21" s="110"/>
      <c r="EQ21" s="110"/>
      <c r="ER21" s="110"/>
      <c r="ES21" s="110"/>
      <c r="ET21" s="110"/>
      <c r="EU21" s="110"/>
      <c r="EV21" s="110"/>
      <c r="EW21" s="110"/>
      <c r="EX21" s="110"/>
      <c r="EY21" s="110"/>
      <c r="EZ21" s="110"/>
      <c r="FA21" s="110"/>
      <c r="FB21" s="110"/>
      <c r="FC21" s="110"/>
      <c r="FD21" s="110"/>
      <c r="FE21" s="110"/>
      <c r="FF21" s="110"/>
      <c r="FG21" s="110"/>
      <c r="FH21" s="110"/>
      <c r="FI21" s="110"/>
      <c r="FJ21" s="110"/>
      <c r="FK21" s="110"/>
      <c r="FL21" s="110"/>
      <c r="FM21" s="110"/>
      <c r="FN21" s="110"/>
      <c r="FO21" s="110"/>
      <c r="FP21" s="110"/>
      <c r="FQ21" s="110"/>
      <c r="FR21" s="110"/>
      <c r="FS21" s="110"/>
      <c r="FT21" s="110"/>
      <c r="FU21" s="110"/>
      <c r="FV21" s="110"/>
      <c r="FW21" s="110"/>
      <c r="FX21" s="110"/>
      <c r="FY21" s="110"/>
      <c r="FZ21" s="110"/>
      <c r="GA21" s="110"/>
      <c r="GB21" s="110"/>
      <c r="GC21" s="110"/>
      <c r="GD21" s="110"/>
      <c r="GE21" s="110"/>
      <c r="GF21" s="110"/>
      <c r="GG21" s="110"/>
      <c r="GH21" s="110"/>
      <c r="GI21" s="110"/>
      <c r="GJ21" s="110"/>
      <c r="GK21" s="110"/>
      <c r="GL21" s="110"/>
      <c r="GM21" s="110"/>
      <c r="GN21" s="110"/>
      <c r="GO21" s="110"/>
      <c r="GP21" s="110"/>
      <c r="GQ21" s="110"/>
      <c r="GR21" s="110"/>
      <c r="GS21" s="110"/>
      <c r="GT21" s="110"/>
      <c r="GU21" s="110"/>
      <c r="GV21" s="110"/>
      <c r="GW21" s="110"/>
      <c r="GX21" s="110"/>
      <c r="GY21" s="110"/>
      <c r="GZ21" s="110"/>
      <c r="HA21" s="110"/>
      <c r="HB21" s="110"/>
      <c r="HC21" s="110"/>
      <c r="HD21" s="110"/>
      <c r="HE21" s="110"/>
      <c r="HF21" s="110"/>
      <c r="HG21" s="110"/>
      <c r="HH21" s="110"/>
      <c r="HI21" s="110"/>
      <c r="HJ21" s="110"/>
      <c r="HK21" s="110"/>
      <c r="HL21" s="110"/>
      <c r="HM21" s="110"/>
      <c r="HN21" s="110"/>
      <c r="HO21" s="110"/>
      <c r="HP21" s="110"/>
      <c r="HQ21" s="110"/>
      <c r="HR21" s="110"/>
      <c r="HS21" s="110"/>
      <c r="HT21" s="110"/>
      <c r="HU21" s="110"/>
      <c r="HV21" s="110"/>
      <c r="HW21" s="110"/>
      <c r="HX21" s="110"/>
      <c r="HY21" s="110"/>
      <c r="HZ21" s="110"/>
      <c r="IA21" s="110"/>
      <c r="IB21" s="110"/>
      <c r="IC21" s="110"/>
      <c r="ID21" s="110"/>
      <c r="IE21" s="110"/>
      <c r="IF21" s="110"/>
      <c r="IG21" s="110"/>
      <c r="IH21" s="110"/>
      <c r="II21" s="110"/>
      <c r="IJ21" s="110"/>
      <c r="IK21" s="110"/>
      <c r="IL21" s="110"/>
      <c r="IM21" s="110"/>
      <c r="IN21" s="110"/>
      <c r="IO21" s="110"/>
      <c r="IP21" s="110"/>
      <c r="IQ21" s="110"/>
      <c r="IR21" s="110"/>
      <c r="IS21" s="110"/>
      <c r="IT21" s="110"/>
      <c r="IU21" s="110"/>
      <c r="IV21" s="110"/>
      <c r="IW21" s="110"/>
    </row>
    <row r="22" spans="1:257" ht="15" thickBot="1" x14ac:dyDescent="0.35">
      <c r="A22" s="156"/>
      <c r="B22" s="115" t="str">
        <f>'Parameter Values'!B176</f>
        <v>AGA term nbw</v>
      </c>
      <c r="C22" s="168">
        <f>'Parameter Values'!D176</f>
        <v>-241975.79400770727</v>
      </c>
      <c r="D22" s="169">
        <f>'Parameter Values'!F176</f>
        <v>-239695.40608265018</v>
      </c>
      <c r="E22" s="170">
        <f t="shared" si="0"/>
        <v>2280.3879250570899</v>
      </c>
      <c r="F22" s="156"/>
      <c r="G22" s="156"/>
      <c r="H22" s="156"/>
      <c r="I22" s="181" t="s">
        <v>750</v>
      </c>
      <c r="J22" s="168">
        <v>-252581.33158872355</v>
      </c>
      <c r="K22" s="173">
        <v>-228103.67078597459</v>
      </c>
      <c r="L22" s="170">
        <v>24477.660802748956</v>
      </c>
      <c r="M22" s="156"/>
      <c r="N22" s="156"/>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10"/>
      <c r="CU22" s="110"/>
      <c r="CV22" s="110"/>
      <c r="CW22" s="110"/>
      <c r="CX22" s="110"/>
      <c r="CY22" s="110"/>
      <c r="CZ22" s="110"/>
      <c r="DA22" s="110"/>
      <c r="DB22" s="110"/>
      <c r="DC22" s="110"/>
      <c r="DD22" s="110"/>
      <c r="DE22" s="110"/>
      <c r="DF22" s="110"/>
      <c r="DG22" s="110"/>
      <c r="DH22" s="110"/>
      <c r="DI22" s="110"/>
      <c r="DJ22" s="110"/>
      <c r="DK22" s="110"/>
      <c r="DL22" s="110"/>
      <c r="DM22" s="110"/>
      <c r="DN22" s="110"/>
      <c r="DO22" s="110"/>
      <c r="DP22" s="110"/>
      <c r="DQ22" s="110"/>
      <c r="DR22" s="110"/>
      <c r="DS22" s="110"/>
      <c r="DT22" s="110"/>
      <c r="DU22" s="110"/>
      <c r="DV22" s="110"/>
      <c r="DW22" s="110"/>
      <c r="DX22" s="110"/>
      <c r="DY22" s="110"/>
      <c r="DZ22" s="110"/>
      <c r="EA22" s="110"/>
      <c r="EB22" s="110"/>
      <c r="EC22" s="110"/>
      <c r="ED22" s="110"/>
      <c r="EE22" s="110"/>
      <c r="EF22" s="110"/>
      <c r="EG22" s="110"/>
      <c r="EH22" s="110"/>
      <c r="EI22" s="110"/>
      <c r="EJ22" s="110"/>
      <c r="EK22" s="110"/>
      <c r="EL22" s="110"/>
      <c r="EM22" s="110"/>
      <c r="EN22" s="110"/>
      <c r="EO22" s="110"/>
      <c r="EP22" s="110"/>
      <c r="EQ22" s="110"/>
      <c r="ER22" s="110"/>
      <c r="ES22" s="110"/>
      <c r="ET22" s="110"/>
      <c r="EU22" s="110"/>
      <c r="EV22" s="110"/>
      <c r="EW22" s="110"/>
      <c r="EX22" s="110"/>
      <c r="EY22" s="110"/>
      <c r="EZ22" s="110"/>
      <c r="FA22" s="110"/>
      <c r="FB22" s="110"/>
      <c r="FC22" s="110"/>
      <c r="FD22" s="110"/>
      <c r="FE22" s="110"/>
      <c r="FF22" s="110"/>
      <c r="FG22" s="110"/>
      <c r="FH22" s="110"/>
      <c r="FI22" s="110"/>
      <c r="FJ22" s="110"/>
      <c r="FK22" s="110"/>
      <c r="FL22" s="110"/>
      <c r="FM22" s="110"/>
      <c r="FN22" s="110"/>
      <c r="FO22" s="110"/>
      <c r="FP22" s="110"/>
      <c r="FQ22" s="110"/>
      <c r="FR22" s="110"/>
      <c r="FS22" s="110"/>
      <c r="FT22" s="110"/>
      <c r="FU22" s="110"/>
      <c r="FV22" s="110"/>
      <c r="FW22" s="110"/>
      <c r="FX22" s="110"/>
      <c r="FY22" s="110"/>
      <c r="FZ22" s="110"/>
      <c r="GA22" s="110"/>
      <c r="GB22" s="110"/>
      <c r="GC22" s="110"/>
      <c r="GD22" s="110"/>
      <c r="GE22" s="110"/>
      <c r="GF22" s="110"/>
      <c r="GG22" s="110"/>
      <c r="GH22" s="110"/>
      <c r="GI22" s="110"/>
      <c r="GJ22" s="110"/>
      <c r="GK22" s="110"/>
      <c r="GL22" s="110"/>
      <c r="GM22" s="110"/>
      <c r="GN22" s="110"/>
      <c r="GO22" s="110"/>
      <c r="GP22" s="110"/>
      <c r="GQ22" s="110"/>
      <c r="GR22" s="110"/>
      <c r="GS22" s="110"/>
      <c r="GT22" s="110"/>
      <c r="GU22" s="110"/>
      <c r="GV22" s="110"/>
      <c r="GW22" s="110"/>
      <c r="GX22" s="110"/>
      <c r="GY22" s="110"/>
      <c r="GZ22" s="110"/>
      <c r="HA22" s="110"/>
      <c r="HB22" s="110"/>
      <c r="HC22" s="110"/>
      <c r="HD22" s="110"/>
      <c r="HE22" s="110"/>
      <c r="HF22" s="110"/>
      <c r="HG22" s="110"/>
      <c r="HH22" s="110"/>
      <c r="HI22" s="110"/>
      <c r="HJ22" s="110"/>
      <c r="HK22" s="110"/>
      <c r="HL22" s="110"/>
      <c r="HM22" s="110"/>
      <c r="HN22" s="110"/>
      <c r="HO22" s="110"/>
      <c r="HP22" s="110"/>
      <c r="HQ22" s="110"/>
      <c r="HR22" s="110"/>
      <c r="HS22" s="110"/>
      <c r="HT22" s="110"/>
      <c r="HU22" s="110"/>
      <c r="HV22" s="110"/>
      <c r="HW22" s="110"/>
      <c r="HX22" s="110"/>
      <c r="HY22" s="110"/>
      <c r="HZ22" s="110"/>
      <c r="IA22" s="110"/>
      <c r="IB22" s="110"/>
      <c r="IC22" s="110"/>
      <c r="ID22" s="110"/>
      <c r="IE22" s="110"/>
      <c r="IF22" s="110"/>
      <c r="IG22" s="110"/>
      <c r="IH22" s="110"/>
      <c r="II22" s="110"/>
      <c r="IJ22" s="110"/>
      <c r="IK22" s="110"/>
      <c r="IL22" s="110"/>
      <c r="IM22" s="110"/>
      <c r="IN22" s="110"/>
      <c r="IO22" s="110"/>
      <c r="IP22" s="110"/>
      <c r="IQ22" s="110"/>
      <c r="IR22" s="110"/>
      <c r="IS22" s="110"/>
      <c r="IT22" s="110"/>
      <c r="IU22" s="110"/>
      <c r="IV22" s="110"/>
      <c r="IW22" s="110"/>
    </row>
    <row r="23" spans="1:257" ht="15" thickBot="1" x14ac:dyDescent="0.35">
      <c r="A23" s="156"/>
      <c r="B23" s="115" t="str">
        <f>'Parameter Values'!B177</f>
        <v>Death and preterm sga</v>
      </c>
      <c r="C23" s="168">
        <f>'Parameter Values'!D177</f>
        <v>-291648.53425633977</v>
      </c>
      <c r="D23" s="169">
        <f>'Parameter Values'!F177</f>
        <v>-204951.89519761046</v>
      </c>
      <c r="E23" s="170">
        <f t="shared" si="0"/>
        <v>86696.639058729314</v>
      </c>
      <c r="F23" s="156"/>
      <c r="G23" s="156"/>
      <c r="H23" s="156"/>
      <c r="I23" s="181" t="s">
        <v>202</v>
      </c>
      <c r="J23" s="168">
        <v>-252697.55049388201</v>
      </c>
      <c r="K23" s="173">
        <v>-228779.2556414245</v>
      </c>
      <c r="L23" s="170">
        <v>23918.294852457504</v>
      </c>
      <c r="M23" s="156"/>
      <c r="N23" s="156"/>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10"/>
      <c r="CZ23" s="110"/>
      <c r="DA23" s="110"/>
      <c r="DB23" s="110"/>
      <c r="DC23" s="110"/>
      <c r="DD23" s="110"/>
      <c r="DE23" s="110"/>
      <c r="DF23" s="110"/>
      <c r="DG23" s="110"/>
      <c r="DH23" s="110"/>
      <c r="DI23" s="110"/>
      <c r="DJ23" s="110"/>
      <c r="DK23" s="110"/>
      <c r="DL23" s="110"/>
      <c r="DM23" s="110"/>
      <c r="DN23" s="110"/>
      <c r="DO23" s="110"/>
      <c r="DP23" s="110"/>
      <c r="DQ23" s="110"/>
      <c r="DR23" s="110"/>
      <c r="DS23" s="110"/>
      <c r="DT23" s="110"/>
      <c r="DU23" s="110"/>
      <c r="DV23" s="110"/>
      <c r="DW23" s="110"/>
      <c r="DX23" s="110"/>
      <c r="DY23" s="110"/>
      <c r="DZ23" s="110"/>
      <c r="EA23" s="110"/>
      <c r="EB23" s="110"/>
      <c r="EC23" s="110"/>
      <c r="ED23" s="110"/>
      <c r="EE23" s="110"/>
      <c r="EF23" s="110"/>
      <c r="EG23" s="110"/>
      <c r="EH23" s="110"/>
      <c r="EI23" s="110"/>
      <c r="EJ23" s="110"/>
      <c r="EK23" s="110"/>
      <c r="EL23" s="110"/>
      <c r="EM23" s="110"/>
      <c r="EN23" s="110"/>
      <c r="EO23" s="110"/>
      <c r="EP23" s="110"/>
      <c r="EQ23" s="110"/>
      <c r="ER23" s="110"/>
      <c r="ES23" s="110"/>
      <c r="ET23" s="110"/>
      <c r="EU23" s="110"/>
      <c r="EV23" s="110"/>
      <c r="EW23" s="110"/>
      <c r="EX23" s="110"/>
      <c r="EY23" s="110"/>
      <c r="EZ23" s="110"/>
      <c r="FA23" s="110"/>
      <c r="FB23" s="110"/>
      <c r="FC23" s="110"/>
      <c r="FD23" s="110"/>
      <c r="FE23" s="110"/>
      <c r="FF23" s="110"/>
      <c r="FG23" s="110"/>
      <c r="FH23" s="110"/>
      <c r="FI23" s="110"/>
      <c r="FJ23" s="110"/>
      <c r="FK23" s="110"/>
      <c r="FL23" s="110"/>
      <c r="FM23" s="110"/>
      <c r="FN23" s="110"/>
      <c r="FO23" s="110"/>
      <c r="FP23" s="110"/>
      <c r="FQ23" s="110"/>
      <c r="FR23" s="110"/>
      <c r="FS23" s="110"/>
      <c r="FT23" s="110"/>
      <c r="FU23" s="110"/>
      <c r="FV23" s="110"/>
      <c r="FW23" s="110"/>
      <c r="FX23" s="110"/>
      <c r="FY23" s="110"/>
      <c r="FZ23" s="110"/>
      <c r="GA23" s="110"/>
      <c r="GB23" s="110"/>
      <c r="GC23" s="110"/>
      <c r="GD23" s="110"/>
      <c r="GE23" s="110"/>
      <c r="GF23" s="110"/>
      <c r="GG23" s="110"/>
      <c r="GH23" s="110"/>
      <c r="GI23" s="110"/>
      <c r="GJ23" s="110"/>
      <c r="GK23" s="110"/>
      <c r="GL23" s="110"/>
      <c r="GM23" s="110"/>
      <c r="GN23" s="110"/>
      <c r="GO23" s="110"/>
      <c r="GP23" s="110"/>
      <c r="GQ23" s="110"/>
      <c r="GR23" s="110"/>
      <c r="GS23" s="110"/>
      <c r="GT23" s="110"/>
      <c r="GU23" s="110"/>
      <c r="GV23" s="110"/>
      <c r="GW23" s="110"/>
      <c r="GX23" s="110"/>
      <c r="GY23" s="110"/>
      <c r="GZ23" s="110"/>
      <c r="HA23" s="110"/>
      <c r="HB23" s="110"/>
      <c r="HC23" s="110"/>
      <c r="HD23" s="110"/>
      <c r="HE23" s="110"/>
      <c r="HF23" s="110"/>
      <c r="HG23" s="110"/>
      <c r="HH23" s="110"/>
      <c r="HI23" s="110"/>
      <c r="HJ23" s="110"/>
      <c r="HK23" s="110"/>
      <c r="HL23" s="110"/>
      <c r="HM23" s="110"/>
      <c r="HN23" s="110"/>
      <c r="HO23" s="110"/>
      <c r="HP23" s="110"/>
      <c r="HQ23" s="110"/>
      <c r="HR23" s="110"/>
      <c r="HS23" s="110"/>
      <c r="HT23" s="110"/>
      <c r="HU23" s="110"/>
      <c r="HV23" s="110"/>
      <c r="HW23" s="110"/>
      <c r="HX23" s="110"/>
      <c r="HY23" s="110"/>
      <c r="HZ23" s="110"/>
      <c r="IA23" s="110"/>
      <c r="IB23" s="110"/>
      <c r="IC23" s="110"/>
      <c r="ID23" s="110"/>
      <c r="IE23" s="110"/>
      <c r="IF23" s="110"/>
      <c r="IG23" s="110"/>
      <c r="IH23" s="110"/>
      <c r="II23" s="110"/>
      <c r="IJ23" s="110"/>
      <c r="IK23" s="110"/>
      <c r="IL23" s="110"/>
      <c r="IM23" s="110"/>
      <c r="IN23" s="110"/>
      <c r="IO23" s="110"/>
      <c r="IP23" s="110"/>
      <c r="IQ23" s="110"/>
      <c r="IR23" s="110"/>
      <c r="IS23" s="110"/>
      <c r="IT23" s="110"/>
      <c r="IU23" s="110"/>
      <c r="IV23" s="110"/>
      <c r="IW23" s="110"/>
    </row>
    <row r="24" spans="1:257" ht="15" thickBot="1" x14ac:dyDescent="0.35">
      <c r="A24" s="156"/>
      <c r="B24" s="115" t="str">
        <f>'Parameter Values'!B178</f>
        <v>Death and term sga</v>
      </c>
      <c r="C24" s="168">
        <f>'Parameter Values'!D178</f>
        <v>-268915.29229630233</v>
      </c>
      <c r="D24" s="169">
        <f>'Parameter Values'!F178</f>
        <v>-217973.58191746342</v>
      </c>
      <c r="E24" s="170">
        <f t="shared" si="0"/>
        <v>50941.710378838907</v>
      </c>
      <c r="F24" s="156"/>
      <c r="G24" s="156"/>
      <c r="H24" s="156"/>
      <c r="I24" s="174" t="s">
        <v>765</v>
      </c>
      <c r="J24" s="168">
        <v>-252502.26746704368</v>
      </c>
      <c r="K24" s="169">
        <v>-231722.08929962464</v>
      </c>
      <c r="L24" s="170">
        <v>20780.178167419042</v>
      </c>
      <c r="M24" s="156"/>
      <c r="N24" s="156"/>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c r="BY24" s="110"/>
      <c r="BZ24" s="110"/>
      <c r="CA24" s="110"/>
      <c r="CB24" s="110"/>
      <c r="CC24" s="110"/>
      <c r="CD24" s="110"/>
      <c r="CE24" s="110"/>
      <c r="CF24" s="110"/>
      <c r="CG24" s="110"/>
      <c r="CH24" s="110"/>
      <c r="CI24" s="110"/>
      <c r="CJ24" s="110"/>
      <c r="CK24" s="110"/>
      <c r="CL24" s="110"/>
      <c r="CM24" s="110"/>
      <c r="CN24" s="110"/>
      <c r="CO24" s="110"/>
      <c r="CP24" s="110"/>
      <c r="CQ24" s="110"/>
      <c r="CR24" s="110"/>
      <c r="CS24" s="110"/>
      <c r="CT24" s="110"/>
      <c r="CU24" s="110"/>
      <c r="CV24" s="110"/>
      <c r="CW24" s="110"/>
      <c r="CX24" s="110"/>
      <c r="CY24" s="110"/>
      <c r="CZ24" s="110"/>
      <c r="DA24" s="110"/>
      <c r="DB24" s="110"/>
      <c r="DC24" s="110"/>
      <c r="DD24" s="110"/>
      <c r="DE24" s="110"/>
      <c r="DF24" s="110"/>
      <c r="DG24" s="110"/>
      <c r="DH24" s="110"/>
      <c r="DI24" s="110"/>
      <c r="DJ24" s="110"/>
      <c r="DK24" s="110"/>
      <c r="DL24" s="110"/>
      <c r="DM24" s="110"/>
      <c r="DN24" s="110"/>
      <c r="DO24" s="110"/>
      <c r="DP24" s="110"/>
      <c r="DQ24" s="110"/>
      <c r="DR24" s="110"/>
      <c r="DS24" s="110"/>
      <c r="DT24" s="110"/>
      <c r="DU24" s="110"/>
      <c r="DV24" s="110"/>
      <c r="DW24" s="110"/>
      <c r="DX24" s="110"/>
      <c r="DY24" s="110"/>
      <c r="DZ24" s="110"/>
      <c r="EA24" s="110"/>
      <c r="EB24" s="110"/>
      <c r="EC24" s="110"/>
      <c r="ED24" s="110"/>
      <c r="EE24" s="110"/>
      <c r="EF24" s="110"/>
      <c r="EG24" s="110"/>
      <c r="EH24" s="110"/>
      <c r="EI24" s="110"/>
      <c r="EJ24" s="110"/>
      <c r="EK24" s="110"/>
      <c r="EL24" s="110"/>
      <c r="EM24" s="110"/>
      <c r="EN24" s="110"/>
      <c r="EO24" s="110"/>
      <c r="EP24" s="110"/>
      <c r="EQ24" s="110"/>
      <c r="ER24" s="110"/>
      <c r="ES24" s="110"/>
      <c r="ET24" s="110"/>
      <c r="EU24" s="110"/>
      <c r="EV24" s="110"/>
      <c r="EW24" s="110"/>
      <c r="EX24" s="110"/>
      <c r="EY24" s="110"/>
      <c r="EZ24" s="110"/>
      <c r="FA24" s="110"/>
      <c r="FB24" s="110"/>
      <c r="FC24" s="110"/>
      <c r="FD24" s="110"/>
      <c r="FE24" s="110"/>
      <c r="FF24" s="110"/>
      <c r="FG24" s="110"/>
      <c r="FH24" s="110"/>
      <c r="FI24" s="110"/>
      <c r="FJ24" s="110"/>
      <c r="FK24" s="110"/>
      <c r="FL24" s="110"/>
      <c r="FM24" s="110"/>
      <c r="FN24" s="110"/>
      <c r="FO24" s="110"/>
      <c r="FP24" s="110"/>
      <c r="FQ24" s="110"/>
      <c r="FR24" s="110"/>
      <c r="FS24" s="110"/>
      <c r="FT24" s="110"/>
      <c r="FU24" s="110"/>
      <c r="FV24" s="110"/>
      <c r="FW24" s="110"/>
      <c r="FX24" s="110"/>
      <c r="FY24" s="110"/>
      <c r="FZ24" s="110"/>
      <c r="GA24" s="110"/>
      <c r="GB24" s="110"/>
      <c r="GC24" s="110"/>
      <c r="GD24" s="110"/>
      <c r="GE24" s="110"/>
      <c r="GF24" s="110"/>
      <c r="GG24" s="110"/>
      <c r="GH24" s="110"/>
      <c r="GI24" s="110"/>
      <c r="GJ24" s="110"/>
      <c r="GK24" s="110"/>
      <c r="GL24" s="110"/>
      <c r="GM24" s="110"/>
      <c r="GN24" s="110"/>
      <c r="GO24" s="110"/>
      <c r="GP24" s="110"/>
      <c r="GQ24" s="110"/>
      <c r="GR24" s="110"/>
      <c r="GS24" s="110"/>
      <c r="GT24" s="110"/>
      <c r="GU24" s="110"/>
      <c r="GV24" s="110"/>
      <c r="GW24" s="110"/>
      <c r="GX24" s="110"/>
      <c r="GY24" s="110"/>
      <c r="GZ24" s="110"/>
      <c r="HA24" s="110"/>
      <c r="HB24" s="110"/>
      <c r="HC24" s="110"/>
      <c r="HD24" s="110"/>
      <c r="HE24" s="110"/>
      <c r="HF24" s="110"/>
      <c r="HG24" s="110"/>
      <c r="HH24" s="110"/>
      <c r="HI24" s="110"/>
      <c r="HJ24" s="110"/>
      <c r="HK24" s="110"/>
      <c r="HL24" s="110"/>
      <c r="HM24" s="110"/>
      <c r="HN24" s="110"/>
      <c r="HO24" s="110"/>
      <c r="HP24" s="110"/>
      <c r="HQ24" s="110"/>
      <c r="HR24" s="110"/>
      <c r="HS24" s="110"/>
      <c r="HT24" s="110"/>
      <c r="HU24" s="110"/>
      <c r="HV24" s="110"/>
      <c r="HW24" s="110"/>
      <c r="HX24" s="110"/>
      <c r="HY24" s="110"/>
      <c r="HZ24" s="110"/>
      <c r="IA24" s="110"/>
      <c r="IB24" s="110"/>
      <c r="IC24" s="110"/>
      <c r="ID24" s="110"/>
      <c r="IE24" s="110"/>
      <c r="IF24" s="110"/>
      <c r="IG24" s="110"/>
      <c r="IH24" s="110"/>
      <c r="II24" s="110"/>
      <c r="IJ24" s="110"/>
      <c r="IK24" s="110"/>
      <c r="IL24" s="110"/>
      <c r="IM24" s="110"/>
      <c r="IN24" s="110"/>
      <c r="IO24" s="110"/>
      <c r="IP24" s="110"/>
      <c r="IQ24" s="110"/>
      <c r="IR24" s="110"/>
      <c r="IS24" s="110"/>
      <c r="IT24" s="110"/>
      <c r="IU24" s="110"/>
      <c r="IV24" s="110"/>
      <c r="IW24" s="110"/>
    </row>
    <row r="25" spans="1:257" ht="15" thickBot="1" x14ac:dyDescent="0.35">
      <c r="A25" s="156"/>
      <c r="B25" s="115" t="str">
        <f>'Parameter Values'!B179</f>
        <v>Death and prem aga</v>
      </c>
      <c r="C25" s="168">
        <f>'Parameter Values'!D179</f>
        <v>-256324.57538820937</v>
      </c>
      <c r="D25" s="169">
        <f>'Parameter Values'!F179</f>
        <v>-227018.71987194015</v>
      </c>
      <c r="E25" s="170">
        <f t="shared" si="0"/>
        <v>29305.855516269221</v>
      </c>
      <c r="F25" s="156"/>
      <c r="G25" s="156"/>
      <c r="H25" s="156"/>
      <c r="I25" s="181" t="s">
        <v>278</v>
      </c>
      <c r="J25" s="168">
        <v>-249715.5186591309</v>
      </c>
      <c r="K25" s="173">
        <v>-232502.91700028753</v>
      </c>
      <c r="L25" s="170">
        <v>17212.60165884337</v>
      </c>
      <c r="M25" s="156"/>
      <c r="N25" s="156"/>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c r="BY25" s="110"/>
      <c r="BZ25" s="110"/>
      <c r="CA25" s="110"/>
      <c r="CB25" s="110"/>
      <c r="CC25" s="110"/>
      <c r="CD25" s="110"/>
      <c r="CE25" s="110"/>
      <c r="CF25" s="110"/>
      <c r="CG25" s="110"/>
      <c r="CH25" s="110"/>
      <c r="CI25" s="110"/>
      <c r="CJ25" s="110"/>
      <c r="CK25" s="110"/>
      <c r="CL25" s="110"/>
      <c r="CM25" s="110"/>
      <c r="CN25" s="110"/>
      <c r="CO25" s="110"/>
      <c r="CP25" s="110"/>
      <c r="CQ25" s="110"/>
      <c r="CR25" s="110"/>
      <c r="CS25" s="110"/>
      <c r="CT25" s="110"/>
      <c r="CU25" s="110"/>
      <c r="CV25" s="110"/>
      <c r="CW25" s="110"/>
      <c r="CX25" s="110"/>
      <c r="CY25" s="110"/>
      <c r="CZ25" s="110"/>
      <c r="DA25" s="110"/>
      <c r="DB25" s="110"/>
      <c r="DC25" s="110"/>
      <c r="DD25" s="110"/>
      <c r="DE25" s="110"/>
      <c r="DF25" s="110"/>
      <c r="DG25" s="110"/>
      <c r="DH25" s="110"/>
      <c r="DI25" s="110"/>
      <c r="DJ25" s="110"/>
      <c r="DK25" s="110"/>
      <c r="DL25" s="110"/>
      <c r="DM25" s="110"/>
      <c r="DN25" s="110"/>
      <c r="DO25" s="110"/>
      <c r="DP25" s="110"/>
      <c r="DQ25" s="110"/>
      <c r="DR25" s="110"/>
      <c r="DS25" s="110"/>
      <c r="DT25" s="110"/>
      <c r="DU25" s="110"/>
      <c r="DV25" s="110"/>
      <c r="DW25" s="110"/>
      <c r="DX25" s="110"/>
      <c r="DY25" s="110"/>
      <c r="DZ25" s="110"/>
      <c r="EA25" s="110"/>
      <c r="EB25" s="110"/>
      <c r="EC25" s="110"/>
      <c r="ED25" s="110"/>
      <c r="EE25" s="110"/>
      <c r="EF25" s="110"/>
      <c r="EG25" s="110"/>
      <c r="EH25" s="110"/>
      <c r="EI25" s="110"/>
      <c r="EJ25" s="110"/>
      <c r="EK25" s="110"/>
      <c r="EL25" s="110"/>
      <c r="EM25" s="110"/>
      <c r="EN25" s="110"/>
      <c r="EO25" s="110"/>
      <c r="EP25" s="110"/>
      <c r="EQ25" s="110"/>
      <c r="ER25" s="110"/>
      <c r="ES25" s="110"/>
      <c r="ET25" s="110"/>
      <c r="EU25" s="110"/>
      <c r="EV25" s="110"/>
      <c r="EW25" s="110"/>
      <c r="EX25" s="110"/>
      <c r="EY25" s="110"/>
      <c r="EZ25" s="110"/>
      <c r="FA25" s="110"/>
      <c r="FB25" s="110"/>
      <c r="FC25" s="110"/>
      <c r="FD25" s="110"/>
      <c r="FE25" s="110"/>
      <c r="FF25" s="110"/>
      <c r="FG25" s="110"/>
      <c r="FH25" s="110"/>
      <c r="FI25" s="110"/>
      <c r="FJ25" s="110"/>
      <c r="FK25" s="110"/>
      <c r="FL25" s="110"/>
      <c r="FM25" s="110"/>
      <c r="FN25" s="110"/>
      <c r="FO25" s="110"/>
      <c r="FP25" s="110"/>
      <c r="FQ25" s="110"/>
      <c r="FR25" s="110"/>
      <c r="FS25" s="110"/>
      <c r="FT25" s="110"/>
      <c r="FU25" s="110"/>
      <c r="FV25" s="110"/>
      <c r="FW25" s="110"/>
      <c r="FX25" s="110"/>
      <c r="FY25" s="110"/>
      <c r="FZ25" s="110"/>
      <c r="GA25" s="110"/>
      <c r="GB25" s="110"/>
      <c r="GC25" s="110"/>
      <c r="GD25" s="110"/>
      <c r="GE25" s="110"/>
      <c r="GF25" s="110"/>
      <c r="GG25" s="110"/>
      <c r="GH25" s="110"/>
      <c r="GI25" s="110"/>
      <c r="GJ25" s="110"/>
      <c r="GK25" s="110"/>
      <c r="GL25" s="110"/>
      <c r="GM25" s="110"/>
      <c r="GN25" s="110"/>
      <c r="GO25" s="110"/>
      <c r="GP25" s="110"/>
      <c r="GQ25" s="110"/>
      <c r="GR25" s="110"/>
      <c r="GS25" s="110"/>
      <c r="GT25" s="110"/>
      <c r="GU25" s="110"/>
      <c r="GV25" s="110"/>
      <c r="GW25" s="110"/>
      <c r="GX25" s="110"/>
      <c r="GY25" s="110"/>
      <c r="GZ25" s="110"/>
      <c r="HA25" s="110"/>
      <c r="HB25" s="110"/>
      <c r="HC25" s="110"/>
      <c r="HD25" s="110"/>
      <c r="HE25" s="110"/>
      <c r="HF25" s="110"/>
      <c r="HG25" s="110"/>
      <c r="HH25" s="110"/>
      <c r="HI25" s="110"/>
      <c r="HJ25" s="110"/>
      <c r="HK25" s="110"/>
      <c r="HL25" s="110"/>
      <c r="HM25" s="110"/>
      <c r="HN25" s="110"/>
      <c r="HO25" s="110"/>
      <c r="HP25" s="110"/>
      <c r="HQ25" s="110"/>
      <c r="HR25" s="110"/>
      <c r="HS25" s="110"/>
      <c r="HT25" s="110"/>
      <c r="HU25" s="110"/>
      <c r="HV25" s="110"/>
      <c r="HW25" s="110"/>
      <c r="HX25" s="110"/>
      <c r="HY25" s="110"/>
      <c r="HZ25" s="110"/>
      <c r="IA25" s="110"/>
      <c r="IB25" s="110"/>
      <c r="IC25" s="110"/>
      <c r="ID25" s="110"/>
      <c r="IE25" s="110"/>
      <c r="IF25" s="110"/>
      <c r="IG25" s="110"/>
      <c r="IH25" s="110"/>
      <c r="II25" s="110"/>
      <c r="IJ25" s="110"/>
      <c r="IK25" s="110"/>
      <c r="IL25" s="110"/>
      <c r="IM25" s="110"/>
      <c r="IN25" s="110"/>
      <c r="IO25" s="110"/>
      <c r="IP25" s="110"/>
      <c r="IQ25" s="110"/>
      <c r="IR25" s="110"/>
      <c r="IS25" s="110"/>
      <c r="IT25" s="110"/>
      <c r="IU25" s="110"/>
      <c r="IV25" s="110"/>
      <c r="IW25" s="110"/>
    </row>
    <row r="26" spans="1:257" ht="15" thickBot="1" x14ac:dyDescent="0.35">
      <c r="A26" s="156"/>
      <c r="B26" s="115" t="str">
        <f>'Parameter Values'!B180</f>
        <v>Death and term aga</v>
      </c>
      <c r="C26" s="168">
        <f>'Parameter Values'!D180</f>
        <v>-233058.97971116839</v>
      </c>
      <c r="D26" s="169">
        <f>'Parameter Values'!F180</f>
        <v>-249051.95784256057</v>
      </c>
      <c r="E26" s="170">
        <f t="shared" si="0"/>
        <v>15992.978131392185</v>
      </c>
      <c r="F26" s="156"/>
      <c r="G26" s="156"/>
      <c r="H26" s="156"/>
      <c r="I26" s="181" t="s">
        <v>646</v>
      </c>
      <c r="J26" s="168">
        <v>-233870.61727496039</v>
      </c>
      <c r="K26" s="173">
        <v>-249935.72545157443</v>
      </c>
      <c r="L26" s="170">
        <v>16065.108176614041</v>
      </c>
      <c r="M26" s="156"/>
      <c r="N26" s="156"/>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c r="BY26" s="110"/>
      <c r="BZ26" s="110"/>
      <c r="CA26" s="110"/>
      <c r="CB26" s="110"/>
      <c r="CC26" s="110"/>
      <c r="CD26" s="110"/>
      <c r="CE26" s="110"/>
      <c r="CF26" s="110"/>
      <c r="CG26" s="110"/>
      <c r="CH26" s="110"/>
      <c r="CI26" s="110"/>
      <c r="CJ26" s="110"/>
      <c r="CK26" s="110"/>
      <c r="CL26" s="110"/>
      <c r="CM26" s="110"/>
      <c r="CN26" s="110"/>
      <c r="CO26" s="110"/>
      <c r="CP26" s="110"/>
      <c r="CQ26" s="110"/>
      <c r="CR26" s="110"/>
      <c r="CS26" s="110"/>
      <c r="CT26" s="110"/>
      <c r="CU26" s="110"/>
      <c r="CV26" s="110"/>
      <c r="CW26" s="110"/>
      <c r="CX26" s="110"/>
      <c r="CY26" s="110"/>
      <c r="CZ26" s="110"/>
      <c r="DA26" s="110"/>
      <c r="DB26" s="110"/>
      <c r="DC26" s="110"/>
      <c r="DD26" s="110"/>
      <c r="DE26" s="110"/>
      <c r="DF26" s="110"/>
      <c r="DG26" s="110"/>
      <c r="DH26" s="110"/>
      <c r="DI26" s="110"/>
      <c r="DJ26" s="110"/>
      <c r="DK26" s="110"/>
      <c r="DL26" s="110"/>
      <c r="DM26" s="110"/>
      <c r="DN26" s="110"/>
      <c r="DO26" s="110"/>
      <c r="DP26" s="110"/>
      <c r="DQ26" s="110"/>
      <c r="DR26" s="110"/>
      <c r="DS26" s="110"/>
      <c r="DT26" s="110"/>
      <c r="DU26" s="110"/>
      <c r="DV26" s="110"/>
      <c r="DW26" s="110"/>
      <c r="DX26" s="110"/>
      <c r="DY26" s="110"/>
      <c r="DZ26" s="110"/>
      <c r="EA26" s="110"/>
      <c r="EB26" s="110"/>
      <c r="EC26" s="110"/>
      <c r="ED26" s="110"/>
      <c r="EE26" s="110"/>
      <c r="EF26" s="110"/>
      <c r="EG26" s="110"/>
      <c r="EH26" s="110"/>
      <c r="EI26" s="110"/>
      <c r="EJ26" s="110"/>
      <c r="EK26" s="110"/>
      <c r="EL26" s="110"/>
      <c r="EM26" s="110"/>
      <c r="EN26" s="110"/>
      <c r="EO26" s="110"/>
      <c r="EP26" s="110"/>
      <c r="EQ26" s="110"/>
      <c r="ER26" s="110"/>
      <c r="ES26" s="110"/>
      <c r="ET26" s="110"/>
      <c r="EU26" s="110"/>
      <c r="EV26" s="110"/>
      <c r="EW26" s="110"/>
      <c r="EX26" s="110"/>
      <c r="EY26" s="110"/>
      <c r="EZ26" s="110"/>
      <c r="FA26" s="110"/>
      <c r="FB26" s="110"/>
      <c r="FC26" s="110"/>
      <c r="FD26" s="110"/>
      <c r="FE26" s="110"/>
      <c r="FF26" s="110"/>
      <c r="FG26" s="110"/>
      <c r="FH26" s="110"/>
      <c r="FI26" s="110"/>
      <c r="FJ26" s="110"/>
      <c r="FK26" s="110"/>
      <c r="FL26" s="110"/>
      <c r="FM26" s="110"/>
      <c r="FN26" s="110"/>
      <c r="FO26" s="110"/>
      <c r="FP26" s="110"/>
      <c r="FQ26" s="110"/>
      <c r="FR26" s="110"/>
      <c r="FS26" s="110"/>
      <c r="FT26" s="110"/>
      <c r="FU26" s="110"/>
      <c r="FV26" s="110"/>
      <c r="FW26" s="110"/>
      <c r="FX26" s="110"/>
      <c r="FY26" s="110"/>
      <c r="FZ26" s="110"/>
      <c r="GA26" s="110"/>
      <c r="GB26" s="110"/>
      <c r="GC26" s="110"/>
      <c r="GD26" s="110"/>
      <c r="GE26" s="110"/>
      <c r="GF26" s="110"/>
      <c r="GG26" s="110"/>
      <c r="GH26" s="110"/>
      <c r="GI26" s="110"/>
      <c r="GJ26" s="110"/>
      <c r="GK26" s="110"/>
      <c r="GL26" s="110"/>
      <c r="GM26" s="110"/>
      <c r="GN26" s="110"/>
      <c r="GO26" s="110"/>
      <c r="GP26" s="110"/>
      <c r="GQ26" s="110"/>
      <c r="GR26" s="110"/>
      <c r="GS26" s="110"/>
      <c r="GT26" s="110"/>
      <c r="GU26" s="110"/>
      <c r="GV26" s="110"/>
      <c r="GW26" s="110"/>
      <c r="GX26" s="110"/>
      <c r="GY26" s="110"/>
      <c r="GZ26" s="110"/>
      <c r="HA26" s="110"/>
      <c r="HB26" s="110"/>
      <c r="HC26" s="110"/>
      <c r="HD26" s="110"/>
      <c r="HE26" s="110"/>
      <c r="HF26" s="110"/>
      <c r="HG26" s="110"/>
      <c r="HH26" s="110"/>
      <c r="HI26" s="110"/>
      <c r="HJ26" s="110"/>
      <c r="HK26" s="110"/>
      <c r="HL26" s="110"/>
      <c r="HM26" s="110"/>
      <c r="HN26" s="110"/>
      <c r="HO26" s="110"/>
      <c r="HP26" s="110"/>
      <c r="HQ26" s="110"/>
      <c r="HR26" s="110"/>
      <c r="HS26" s="110"/>
      <c r="HT26" s="110"/>
      <c r="HU26" s="110"/>
      <c r="HV26" s="110"/>
      <c r="HW26" s="110"/>
      <c r="HX26" s="110"/>
      <c r="HY26" s="110"/>
      <c r="HZ26" s="110"/>
      <c r="IA26" s="110"/>
      <c r="IB26" s="110"/>
      <c r="IC26" s="110"/>
      <c r="ID26" s="110"/>
      <c r="IE26" s="110"/>
      <c r="IF26" s="110"/>
      <c r="IG26" s="110"/>
      <c r="IH26" s="110"/>
      <c r="II26" s="110"/>
      <c r="IJ26" s="110"/>
      <c r="IK26" s="110"/>
      <c r="IL26" s="110"/>
      <c r="IM26" s="110"/>
      <c r="IN26" s="110"/>
      <c r="IO26" s="110"/>
      <c r="IP26" s="110"/>
      <c r="IQ26" s="110"/>
      <c r="IR26" s="110"/>
      <c r="IS26" s="110"/>
      <c r="IT26" s="110"/>
      <c r="IU26" s="110"/>
      <c r="IV26" s="110"/>
      <c r="IW26" s="110"/>
    </row>
    <row r="27" spans="1:257" ht="15" thickBot="1" x14ac:dyDescent="0.35">
      <c r="A27" s="156"/>
      <c r="B27" s="115" t="str">
        <f>'Parameter Values'!B181</f>
        <v>RDS prem</v>
      </c>
      <c r="C27" s="168">
        <f>'Parameter Values'!D181</f>
        <v>-239954.86732961255</v>
      </c>
      <c r="D27" s="169">
        <f>'Parameter Values'!F181</f>
        <v>-241560.06344317875</v>
      </c>
      <c r="E27" s="170">
        <f t="shared" si="0"/>
        <v>1605.1961135661986</v>
      </c>
      <c r="F27" s="156"/>
      <c r="G27" s="156"/>
      <c r="H27" s="156"/>
      <c r="I27" s="181" t="s">
        <v>761</v>
      </c>
      <c r="J27" s="172">
        <v>-234530.0739359695</v>
      </c>
      <c r="K27" s="169">
        <v>-248067.61817153843</v>
      </c>
      <c r="L27" s="170">
        <v>13537.54423556893</v>
      </c>
      <c r="M27" s="156"/>
      <c r="N27" s="156"/>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10"/>
      <c r="CB27" s="110"/>
      <c r="CC27" s="110"/>
      <c r="CD27" s="110"/>
      <c r="CE27" s="110"/>
      <c r="CF27" s="110"/>
      <c r="CG27" s="110"/>
      <c r="CH27" s="110"/>
      <c r="CI27" s="110"/>
      <c r="CJ27" s="110"/>
      <c r="CK27" s="110"/>
      <c r="CL27" s="110"/>
      <c r="CM27" s="110"/>
      <c r="CN27" s="110"/>
      <c r="CO27" s="110"/>
      <c r="CP27" s="110"/>
      <c r="CQ27" s="110"/>
      <c r="CR27" s="110"/>
      <c r="CS27" s="110"/>
      <c r="CT27" s="110"/>
      <c r="CU27" s="110"/>
      <c r="CV27" s="110"/>
      <c r="CW27" s="110"/>
      <c r="CX27" s="110"/>
      <c r="CY27" s="110"/>
      <c r="CZ27" s="110"/>
      <c r="DA27" s="110"/>
      <c r="DB27" s="110"/>
      <c r="DC27" s="110"/>
      <c r="DD27" s="110"/>
      <c r="DE27" s="110"/>
      <c r="DF27" s="110"/>
      <c r="DG27" s="110"/>
      <c r="DH27" s="110"/>
      <c r="DI27" s="110"/>
      <c r="DJ27" s="110"/>
      <c r="DK27" s="110"/>
      <c r="DL27" s="110"/>
      <c r="DM27" s="110"/>
      <c r="DN27" s="110"/>
      <c r="DO27" s="110"/>
      <c r="DP27" s="110"/>
      <c r="DQ27" s="110"/>
      <c r="DR27" s="110"/>
      <c r="DS27" s="110"/>
      <c r="DT27" s="110"/>
      <c r="DU27" s="110"/>
      <c r="DV27" s="110"/>
      <c r="DW27" s="110"/>
      <c r="DX27" s="110"/>
      <c r="DY27" s="110"/>
      <c r="DZ27" s="110"/>
      <c r="EA27" s="110"/>
      <c r="EB27" s="110"/>
      <c r="EC27" s="110"/>
      <c r="ED27" s="110"/>
      <c r="EE27" s="110"/>
      <c r="EF27" s="110"/>
      <c r="EG27" s="110"/>
      <c r="EH27" s="110"/>
      <c r="EI27" s="110"/>
      <c r="EJ27" s="110"/>
      <c r="EK27" s="110"/>
      <c r="EL27" s="110"/>
      <c r="EM27" s="110"/>
      <c r="EN27" s="110"/>
      <c r="EO27" s="110"/>
      <c r="EP27" s="110"/>
      <c r="EQ27" s="110"/>
      <c r="ER27" s="110"/>
      <c r="ES27" s="110"/>
      <c r="ET27" s="110"/>
      <c r="EU27" s="110"/>
      <c r="EV27" s="110"/>
      <c r="EW27" s="110"/>
      <c r="EX27" s="110"/>
      <c r="EY27" s="110"/>
      <c r="EZ27" s="110"/>
      <c r="FA27" s="110"/>
      <c r="FB27" s="110"/>
      <c r="FC27" s="110"/>
      <c r="FD27" s="110"/>
      <c r="FE27" s="110"/>
      <c r="FF27" s="110"/>
      <c r="FG27" s="110"/>
      <c r="FH27" s="110"/>
      <c r="FI27" s="110"/>
      <c r="FJ27" s="110"/>
      <c r="FK27" s="110"/>
      <c r="FL27" s="110"/>
      <c r="FM27" s="110"/>
      <c r="FN27" s="110"/>
      <c r="FO27" s="110"/>
      <c r="FP27" s="110"/>
      <c r="FQ27" s="110"/>
      <c r="FR27" s="110"/>
      <c r="FS27" s="110"/>
      <c r="FT27" s="110"/>
      <c r="FU27" s="110"/>
      <c r="FV27" s="110"/>
      <c r="FW27" s="110"/>
      <c r="FX27" s="110"/>
      <c r="FY27" s="110"/>
      <c r="FZ27" s="110"/>
      <c r="GA27" s="110"/>
      <c r="GB27" s="110"/>
      <c r="GC27" s="110"/>
      <c r="GD27" s="110"/>
      <c r="GE27" s="110"/>
      <c r="GF27" s="110"/>
      <c r="GG27" s="110"/>
      <c r="GH27" s="110"/>
      <c r="GI27" s="110"/>
      <c r="GJ27" s="110"/>
      <c r="GK27" s="110"/>
      <c r="GL27" s="110"/>
      <c r="GM27" s="110"/>
      <c r="GN27" s="110"/>
      <c r="GO27" s="110"/>
      <c r="GP27" s="110"/>
      <c r="GQ27" s="110"/>
      <c r="GR27" s="110"/>
      <c r="GS27" s="110"/>
      <c r="GT27" s="110"/>
      <c r="GU27" s="110"/>
      <c r="GV27" s="110"/>
      <c r="GW27" s="110"/>
      <c r="GX27" s="110"/>
      <c r="GY27" s="110"/>
      <c r="GZ27" s="110"/>
      <c r="HA27" s="110"/>
      <c r="HB27" s="110"/>
      <c r="HC27" s="110"/>
      <c r="HD27" s="110"/>
      <c r="HE27" s="110"/>
      <c r="HF27" s="110"/>
      <c r="HG27" s="110"/>
      <c r="HH27" s="110"/>
      <c r="HI27" s="110"/>
      <c r="HJ27" s="110"/>
      <c r="HK27" s="110"/>
      <c r="HL27" s="110"/>
      <c r="HM27" s="110"/>
      <c r="HN27" s="110"/>
      <c r="HO27" s="110"/>
      <c r="HP27" s="110"/>
      <c r="HQ27" s="110"/>
      <c r="HR27" s="110"/>
      <c r="HS27" s="110"/>
      <c r="HT27" s="110"/>
      <c r="HU27" s="110"/>
      <c r="HV27" s="110"/>
      <c r="HW27" s="110"/>
      <c r="HX27" s="110"/>
      <c r="HY27" s="110"/>
      <c r="HZ27" s="110"/>
      <c r="IA27" s="110"/>
      <c r="IB27" s="110"/>
      <c r="IC27" s="110"/>
      <c r="ID27" s="110"/>
      <c r="IE27" s="110"/>
      <c r="IF27" s="110"/>
      <c r="IG27" s="110"/>
      <c r="IH27" s="110"/>
      <c r="II27" s="110"/>
      <c r="IJ27" s="110"/>
      <c r="IK27" s="110"/>
      <c r="IL27" s="110"/>
      <c r="IM27" s="110"/>
      <c r="IN27" s="110"/>
      <c r="IO27" s="110"/>
      <c r="IP27" s="110"/>
      <c r="IQ27" s="110"/>
      <c r="IR27" s="110"/>
      <c r="IS27" s="110"/>
      <c r="IT27" s="110"/>
      <c r="IU27" s="110"/>
      <c r="IV27" s="110"/>
      <c r="IW27" s="110"/>
    </row>
    <row r="28" spans="1:257" ht="15" thickBot="1" x14ac:dyDescent="0.35">
      <c r="A28" s="156"/>
      <c r="B28" s="115" t="str">
        <f>'Parameter Values'!B182</f>
        <v>Hypoglycaemia prem sga</v>
      </c>
      <c r="C28" s="168">
        <f>'Parameter Values'!D182</f>
        <v>-242266.79662086852</v>
      </c>
      <c r="D28" s="169">
        <f>'Parameter Values'!F182</f>
        <v>-239333.01595068202</v>
      </c>
      <c r="E28" s="170">
        <f t="shared" si="0"/>
        <v>2933.7806701865047</v>
      </c>
      <c r="F28" s="156"/>
      <c r="G28" s="156"/>
      <c r="H28" s="156"/>
      <c r="I28" s="174" t="s">
        <v>764</v>
      </c>
      <c r="J28" s="168">
        <v>-247039.86948003381</v>
      </c>
      <c r="K28" s="169">
        <v>-235467.39863452679</v>
      </c>
      <c r="L28" s="170">
        <v>11572.470845507021</v>
      </c>
      <c r="M28" s="156"/>
      <c r="N28" s="156"/>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10"/>
      <c r="CB28" s="110"/>
      <c r="CC28" s="110"/>
      <c r="CD28" s="110"/>
      <c r="CE28" s="110"/>
      <c r="CF28" s="110"/>
      <c r="CG28" s="110"/>
      <c r="CH28" s="110"/>
      <c r="CI28" s="110"/>
      <c r="CJ28" s="110"/>
      <c r="CK28" s="110"/>
      <c r="CL28" s="110"/>
      <c r="CM28" s="110"/>
      <c r="CN28" s="110"/>
      <c r="CO28" s="110"/>
      <c r="CP28" s="110"/>
      <c r="CQ28" s="110"/>
      <c r="CR28" s="110"/>
      <c r="CS28" s="110"/>
      <c r="CT28" s="110"/>
      <c r="CU28" s="110"/>
      <c r="CV28" s="110"/>
      <c r="CW28" s="110"/>
      <c r="CX28" s="110"/>
      <c r="CY28" s="110"/>
      <c r="CZ28" s="110"/>
      <c r="DA28" s="110"/>
      <c r="DB28" s="110"/>
      <c r="DC28" s="110"/>
      <c r="DD28" s="110"/>
      <c r="DE28" s="110"/>
      <c r="DF28" s="110"/>
      <c r="DG28" s="110"/>
      <c r="DH28" s="110"/>
      <c r="DI28" s="110"/>
      <c r="DJ28" s="110"/>
      <c r="DK28" s="110"/>
      <c r="DL28" s="110"/>
      <c r="DM28" s="110"/>
      <c r="DN28" s="110"/>
      <c r="DO28" s="110"/>
      <c r="DP28" s="110"/>
      <c r="DQ28" s="110"/>
      <c r="DR28" s="110"/>
      <c r="DS28" s="110"/>
      <c r="DT28" s="110"/>
      <c r="DU28" s="110"/>
      <c r="DV28" s="110"/>
      <c r="DW28" s="110"/>
      <c r="DX28" s="110"/>
      <c r="DY28" s="110"/>
      <c r="DZ28" s="110"/>
      <c r="EA28" s="110"/>
      <c r="EB28" s="110"/>
      <c r="EC28" s="110"/>
      <c r="ED28" s="110"/>
      <c r="EE28" s="110"/>
      <c r="EF28" s="110"/>
      <c r="EG28" s="110"/>
      <c r="EH28" s="110"/>
      <c r="EI28" s="110"/>
      <c r="EJ28" s="110"/>
      <c r="EK28" s="110"/>
      <c r="EL28" s="110"/>
      <c r="EM28" s="110"/>
      <c r="EN28" s="110"/>
      <c r="EO28" s="110"/>
      <c r="EP28" s="110"/>
      <c r="EQ28" s="110"/>
      <c r="ER28" s="110"/>
      <c r="ES28" s="110"/>
      <c r="ET28" s="110"/>
      <c r="EU28" s="110"/>
      <c r="EV28" s="110"/>
      <c r="EW28" s="110"/>
      <c r="EX28" s="110"/>
      <c r="EY28" s="110"/>
      <c r="EZ28" s="110"/>
      <c r="FA28" s="110"/>
      <c r="FB28" s="110"/>
      <c r="FC28" s="110"/>
      <c r="FD28" s="110"/>
      <c r="FE28" s="110"/>
      <c r="FF28" s="110"/>
      <c r="FG28" s="110"/>
      <c r="FH28" s="110"/>
      <c r="FI28" s="110"/>
      <c r="FJ28" s="110"/>
      <c r="FK28" s="110"/>
      <c r="FL28" s="110"/>
      <c r="FM28" s="110"/>
      <c r="FN28" s="110"/>
      <c r="FO28" s="110"/>
      <c r="FP28" s="110"/>
      <c r="FQ28" s="110"/>
      <c r="FR28" s="110"/>
      <c r="FS28" s="110"/>
      <c r="FT28" s="110"/>
      <c r="FU28" s="110"/>
      <c r="FV28" s="110"/>
      <c r="FW28" s="110"/>
      <c r="FX28" s="110"/>
      <c r="FY28" s="110"/>
      <c r="FZ28" s="110"/>
      <c r="GA28" s="110"/>
      <c r="GB28" s="110"/>
      <c r="GC28" s="110"/>
      <c r="GD28" s="110"/>
      <c r="GE28" s="110"/>
      <c r="GF28" s="110"/>
      <c r="GG28" s="110"/>
      <c r="GH28" s="110"/>
      <c r="GI28" s="110"/>
      <c r="GJ28" s="110"/>
      <c r="GK28" s="110"/>
      <c r="GL28" s="110"/>
      <c r="GM28" s="110"/>
      <c r="GN28" s="110"/>
      <c r="GO28" s="110"/>
      <c r="GP28" s="110"/>
      <c r="GQ28" s="110"/>
      <c r="GR28" s="110"/>
      <c r="GS28" s="110"/>
      <c r="GT28" s="110"/>
      <c r="GU28" s="110"/>
      <c r="GV28" s="110"/>
      <c r="GW28" s="110"/>
      <c r="GX28" s="110"/>
      <c r="GY28" s="110"/>
      <c r="GZ28" s="110"/>
      <c r="HA28" s="110"/>
      <c r="HB28" s="110"/>
      <c r="HC28" s="110"/>
      <c r="HD28" s="110"/>
      <c r="HE28" s="110"/>
      <c r="HF28" s="110"/>
      <c r="HG28" s="110"/>
      <c r="HH28" s="110"/>
      <c r="HI28" s="110"/>
      <c r="HJ28" s="110"/>
      <c r="HK28" s="110"/>
      <c r="HL28" s="110"/>
      <c r="HM28" s="110"/>
      <c r="HN28" s="110"/>
      <c r="HO28" s="110"/>
      <c r="HP28" s="110"/>
      <c r="HQ28" s="110"/>
      <c r="HR28" s="110"/>
      <c r="HS28" s="110"/>
      <c r="HT28" s="110"/>
      <c r="HU28" s="110"/>
      <c r="HV28" s="110"/>
      <c r="HW28" s="110"/>
      <c r="HX28" s="110"/>
      <c r="HY28" s="110"/>
      <c r="HZ28" s="110"/>
      <c r="IA28" s="110"/>
      <c r="IB28" s="110"/>
      <c r="IC28" s="110"/>
      <c r="ID28" s="110"/>
      <c r="IE28" s="110"/>
      <c r="IF28" s="110"/>
      <c r="IG28" s="110"/>
      <c r="IH28" s="110"/>
      <c r="II28" s="110"/>
      <c r="IJ28" s="110"/>
      <c r="IK28" s="110"/>
      <c r="IL28" s="110"/>
      <c r="IM28" s="110"/>
      <c r="IN28" s="110"/>
      <c r="IO28" s="110"/>
      <c r="IP28" s="110"/>
      <c r="IQ28" s="110"/>
      <c r="IR28" s="110"/>
      <c r="IS28" s="110"/>
      <c r="IT28" s="110"/>
      <c r="IU28" s="110"/>
      <c r="IV28" s="110"/>
      <c r="IW28" s="110"/>
    </row>
    <row r="29" spans="1:257" ht="15" thickBot="1" x14ac:dyDescent="0.35">
      <c r="A29" s="156"/>
      <c r="B29" s="115" t="str">
        <f>'Parameter Values'!B183</f>
        <v>Hypoglycaemia term sga</v>
      </c>
      <c r="C29" s="168">
        <f>'Parameter Values'!D183</f>
        <v>-246913.50965955123</v>
      </c>
      <c r="D29" s="169">
        <f>'Parameter Values'!F183</f>
        <v>-234975.48161785971</v>
      </c>
      <c r="E29" s="170">
        <f t="shared" si="0"/>
        <v>11938.028041691519</v>
      </c>
      <c r="F29" s="156"/>
      <c r="G29" s="156"/>
      <c r="H29" s="156"/>
      <c r="I29" s="181" t="s">
        <v>284</v>
      </c>
      <c r="J29" s="168">
        <v>-235990.98654215908</v>
      </c>
      <c r="K29" s="173">
        <v>-245886.233698089</v>
      </c>
      <c r="L29" s="170">
        <v>9895.2471559299156</v>
      </c>
      <c r="M29" s="156"/>
      <c r="N29" s="156"/>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c r="BY29" s="110"/>
      <c r="BZ29" s="110"/>
      <c r="CA29" s="110"/>
      <c r="CB29" s="110"/>
      <c r="CC29" s="110"/>
      <c r="CD29" s="110"/>
      <c r="CE29" s="110"/>
      <c r="CF29" s="110"/>
      <c r="CG29" s="110"/>
      <c r="CH29" s="110"/>
      <c r="CI29" s="110"/>
      <c r="CJ29" s="110"/>
      <c r="CK29" s="110"/>
      <c r="CL29" s="110"/>
      <c r="CM29" s="110"/>
      <c r="CN29" s="110"/>
      <c r="CO29" s="110"/>
      <c r="CP29" s="110"/>
      <c r="CQ29" s="110"/>
      <c r="CR29" s="110"/>
      <c r="CS29" s="110"/>
      <c r="CT29" s="110"/>
      <c r="CU29" s="110"/>
      <c r="CV29" s="110"/>
      <c r="CW29" s="110"/>
      <c r="CX29" s="110"/>
      <c r="CY29" s="110"/>
      <c r="CZ29" s="110"/>
      <c r="DA29" s="110"/>
      <c r="DB29" s="110"/>
      <c r="DC29" s="110"/>
      <c r="DD29" s="110"/>
      <c r="DE29" s="110"/>
      <c r="DF29" s="110"/>
      <c r="DG29" s="110"/>
      <c r="DH29" s="110"/>
      <c r="DI29" s="110"/>
      <c r="DJ29" s="110"/>
      <c r="DK29" s="110"/>
      <c r="DL29" s="110"/>
      <c r="DM29" s="110"/>
      <c r="DN29" s="110"/>
      <c r="DO29" s="110"/>
      <c r="DP29" s="110"/>
      <c r="DQ29" s="110"/>
      <c r="DR29" s="110"/>
      <c r="DS29" s="110"/>
      <c r="DT29" s="110"/>
      <c r="DU29" s="110"/>
      <c r="DV29" s="110"/>
      <c r="DW29" s="110"/>
      <c r="DX29" s="110"/>
      <c r="DY29" s="110"/>
      <c r="DZ29" s="110"/>
      <c r="EA29" s="110"/>
      <c r="EB29" s="110"/>
      <c r="EC29" s="110"/>
      <c r="ED29" s="110"/>
      <c r="EE29" s="110"/>
      <c r="EF29" s="110"/>
      <c r="EG29" s="110"/>
      <c r="EH29" s="110"/>
      <c r="EI29" s="110"/>
      <c r="EJ29" s="110"/>
      <c r="EK29" s="110"/>
      <c r="EL29" s="110"/>
      <c r="EM29" s="110"/>
      <c r="EN29" s="110"/>
      <c r="EO29" s="110"/>
      <c r="EP29" s="110"/>
      <c r="EQ29" s="110"/>
      <c r="ER29" s="110"/>
      <c r="ES29" s="110"/>
      <c r="ET29" s="110"/>
      <c r="EU29" s="110"/>
      <c r="EV29" s="110"/>
      <c r="EW29" s="110"/>
      <c r="EX29" s="110"/>
      <c r="EY29" s="110"/>
      <c r="EZ29" s="110"/>
      <c r="FA29" s="110"/>
      <c r="FB29" s="110"/>
      <c r="FC29" s="110"/>
      <c r="FD29" s="110"/>
      <c r="FE29" s="110"/>
      <c r="FF29" s="110"/>
      <c r="FG29" s="110"/>
      <c r="FH29" s="110"/>
      <c r="FI29" s="110"/>
      <c r="FJ29" s="110"/>
      <c r="FK29" s="110"/>
      <c r="FL29" s="110"/>
      <c r="FM29" s="110"/>
      <c r="FN29" s="110"/>
      <c r="FO29" s="110"/>
      <c r="FP29" s="110"/>
      <c r="FQ29" s="110"/>
      <c r="FR29" s="110"/>
      <c r="FS29" s="110"/>
      <c r="FT29" s="110"/>
      <c r="FU29" s="110"/>
      <c r="FV29" s="110"/>
      <c r="FW29" s="110"/>
      <c r="FX29" s="110"/>
      <c r="FY29" s="110"/>
      <c r="FZ29" s="110"/>
      <c r="GA29" s="110"/>
      <c r="GB29" s="110"/>
      <c r="GC29" s="110"/>
      <c r="GD29" s="110"/>
      <c r="GE29" s="110"/>
      <c r="GF29" s="110"/>
      <c r="GG29" s="110"/>
      <c r="GH29" s="110"/>
      <c r="GI29" s="110"/>
      <c r="GJ29" s="110"/>
      <c r="GK29" s="110"/>
      <c r="GL29" s="110"/>
      <c r="GM29" s="110"/>
      <c r="GN29" s="110"/>
      <c r="GO29" s="110"/>
      <c r="GP29" s="110"/>
      <c r="GQ29" s="110"/>
      <c r="GR29" s="110"/>
      <c r="GS29" s="110"/>
      <c r="GT29" s="110"/>
      <c r="GU29" s="110"/>
      <c r="GV29" s="110"/>
      <c r="GW29" s="110"/>
      <c r="GX29" s="110"/>
      <c r="GY29" s="110"/>
      <c r="GZ29" s="110"/>
      <c r="HA29" s="110"/>
      <c r="HB29" s="110"/>
      <c r="HC29" s="110"/>
      <c r="HD29" s="110"/>
      <c r="HE29" s="110"/>
      <c r="HF29" s="110"/>
      <c r="HG29" s="110"/>
      <c r="HH29" s="110"/>
      <c r="HI29" s="110"/>
      <c r="HJ29" s="110"/>
      <c r="HK29" s="110"/>
      <c r="HL29" s="110"/>
      <c r="HM29" s="110"/>
      <c r="HN29" s="110"/>
      <c r="HO29" s="110"/>
      <c r="HP29" s="110"/>
      <c r="HQ29" s="110"/>
      <c r="HR29" s="110"/>
      <c r="HS29" s="110"/>
      <c r="HT29" s="110"/>
      <c r="HU29" s="110"/>
      <c r="HV29" s="110"/>
      <c r="HW29" s="110"/>
      <c r="HX29" s="110"/>
      <c r="HY29" s="110"/>
      <c r="HZ29" s="110"/>
      <c r="IA29" s="110"/>
      <c r="IB29" s="110"/>
      <c r="IC29" s="110"/>
      <c r="ID29" s="110"/>
      <c r="IE29" s="110"/>
      <c r="IF29" s="110"/>
      <c r="IG29" s="110"/>
      <c r="IH29" s="110"/>
      <c r="II29" s="110"/>
      <c r="IJ29" s="110"/>
      <c r="IK29" s="110"/>
      <c r="IL29" s="110"/>
      <c r="IM29" s="110"/>
      <c r="IN29" s="110"/>
      <c r="IO29" s="110"/>
      <c r="IP29" s="110"/>
      <c r="IQ29" s="110"/>
      <c r="IR29" s="110"/>
      <c r="IS29" s="110"/>
      <c r="IT29" s="110"/>
      <c r="IU29" s="110"/>
      <c r="IV29" s="110"/>
      <c r="IW29" s="110"/>
    </row>
    <row r="30" spans="1:257" ht="15" thickBot="1" x14ac:dyDescent="0.35">
      <c r="A30" s="156"/>
      <c r="B30" s="115" t="str">
        <f>'Parameter Values'!B184</f>
        <v>Hypoglycaemia prem sga</v>
      </c>
      <c r="C30" s="168">
        <f>'Parameter Values'!D184</f>
        <v>-241357.75899940188</v>
      </c>
      <c r="D30" s="169">
        <f>'Parameter Values'!F184</f>
        <v>-240263.76085148746</v>
      </c>
      <c r="E30" s="170">
        <f t="shared" si="0"/>
        <v>1093.998147914419</v>
      </c>
      <c r="F30" s="156"/>
      <c r="G30" s="156"/>
      <c r="H30" s="156"/>
      <c r="I30" s="181" t="s">
        <v>365</v>
      </c>
      <c r="J30" s="168">
        <v>-243551.49348796546</v>
      </c>
      <c r="K30" s="173">
        <v>-238932.67667544752</v>
      </c>
      <c r="L30" s="170">
        <v>4618.8168125179363</v>
      </c>
      <c r="M30" s="156"/>
      <c r="N30" s="156"/>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c r="CY30" s="110"/>
      <c r="CZ30" s="110"/>
      <c r="DA30" s="110"/>
      <c r="DB30" s="110"/>
      <c r="DC30" s="110"/>
      <c r="DD30" s="110"/>
      <c r="DE30" s="110"/>
      <c r="DF30" s="110"/>
      <c r="DG30" s="110"/>
      <c r="DH30" s="110"/>
      <c r="DI30" s="110"/>
      <c r="DJ30" s="110"/>
      <c r="DK30" s="110"/>
      <c r="DL30" s="110"/>
      <c r="DM30" s="110"/>
      <c r="DN30" s="110"/>
      <c r="DO30" s="110"/>
      <c r="DP30" s="110"/>
      <c r="DQ30" s="110"/>
      <c r="DR30" s="110"/>
      <c r="DS30" s="110"/>
      <c r="DT30" s="110"/>
      <c r="DU30" s="110"/>
      <c r="DV30" s="110"/>
      <c r="DW30" s="110"/>
      <c r="DX30" s="110"/>
      <c r="DY30" s="110"/>
      <c r="DZ30" s="110"/>
      <c r="EA30" s="110"/>
      <c r="EB30" s="110"/>
      <c r="EC30" s="110"/>
      <c r="ED30" s="110"/>
      <c r="EE30" s="110"/>
      <c r="EF30" s="110"/>
      <c r="EG30" s="110"/>
      <c r="EH30" s="110"/>
      <c r="EI30" s="110"/>
      <c r="EJ30" s="110"/>
      <c r="EK30" s="110"/>
      <c r="EL30" s="110"/>
      <c r="EM30" s="110"/>
      <c r="EN30" s="110"/>
      <c r="EO30" s="110"/>
      <c r="EP30" s="110"/>
      <c r="EQ30" s="110"/>
      <c r="ER30" s="110"/>
      <c r="ES30" s="110"/>
      <c r="ET30" s="110"/>
      <c r="EU30" s="110"/>
      <c r="EV30" s="110"/>
      <c r="EW30" s="110"/>
      <c r="EX30" s="110"/>
      <c r="EY30" s="110"/>
      <c r="EZ30" s="110"/>
      <c r="FA30" s="110"/>
      <c r="FB30" s="110"/>
      <c r="FC30" s="110"/>
      <c r="FD30" s="110"/>
      <c r="FE30" s="110"/>
      <c r="FF30" s="110"/>
      <c r="FG30" s="110"/>
      <c r="FH30" s="110"/>
      <c r="FI30" s="110"/>
      <c r="FJ30" s="110"/>
      <c r="FK30" s="110"/>
      <c r="FL30" s="110"/>
      <c r="FM30" s="110"/>
      <c r="FN30" s="110"/>
      <c r="FO30" s="110"/>
      <c r="FP30" s="110"/>
      <c r="FQ30" s="110"/>
      <c r="FR30" s="110"/>
      <c r="FS30" s="110"/>
      <c r="FT30" s="110"/>
      <c r="FU30" s="110"/>
      <c r="FV30" s="110"/>
      <c r="FW30" s="110"/>
      <c r="FX30" s="110"/>
      <c r="FY30" s="110"/>
      <c r="FZ30" s="110"/>
      <c r="GA30" s="110"/>
      <c r="GB30" s="110"/>
      <c r="GC30" s="110"/>
      <c r="GD30" s="110"/>
      <c r="GE30" s="110"/>
      <c r="GF30" s="110"/>
      <c r="GG30" s="110"/>
      <c r="GH30" s="110"/>
      <c r="GI30" s="110"/>
      <c r="GJ30" s="110"/>
      <c r="GK30" s="110"/>
      <c r="GL30" s="110"/>
      <c r="GM30" s="110"/>
      <c r="GN30" s="110"/>
      <c r="GO30" s="110"/>
      <c r="GP30" s="110"/>
      <c r="GQ30" s="110"/>
      <c r="GR30" s="110"/>
      <c r="GS30" s="110"/>
      <c r="GT30" s="110"/>
      <c r="GU30" s="110"/>
      <c r="GV30" s="110"/>
      <c r="GW30" s="110"/>
      <c r="GX30" s="110"/>
      <c r="GY30" s="110"/>
      <c r="GZ30" s="110"/>
      <c r="HA30" s="110"/>
      <c r="HB30" s="110"/>
      <c r="HC30" s="110"/>
      <c r="HD30" s="110"/>
      <c r="HE30" s="110"/>
      <c r="HF30" s="110"/>
      <c r="HG30" s="110"/>
      <c r="HH30" s="110"/>
      <c r="HI30" s="110"/>
      <c r="HJ30" s="110"/>
      <c r="HK30" s="110"/>
      <c r="HL30" s="110"/>
      <c r="HM30" s="110"/>
      <c r="HN30" s="110"/>
      <c r="HO30" s="110"/>
      <c r="HP30" s="110"/>
      <c r="HQ30" s="110"/>
      <c r="HR30" s="110"/>
      <c r="HS30" s="110"/>
      <c r="HT30" s="110"/>
      <c r="HU30" s="110"/>
      <c r="HV30" s="110"/>
      <c r="HW30" s="110"/>
      <c r="HX30" s="110"/>
      <c r="HY30" s="110"/>
      <c r="HZ30" s="110"/>
      <c r="IA30" s="110"/>
      <c r="IB30" s="110"/>
      <c r="IC30" s="110"/>
      <c r="ID30" s="110"/>
      <c r="IE30" s="110"/>
      <c r="IF30" s="110"/>
      <c r="IG30" s="110"/>
      <c r="IH30" s="110"/>
      <c r="II30" s="110"/>
      <c r="IJ30" s="110"/>
      <c r="IK30" s="110"/>
      <c r="IL30" s="110"/>
      <c r="IM30" s="110"/>
      <c r="IN30" s="110"/>
      <c r="IO30" s="110"/>
      <c r="IP30" s="110"/>
      <c r="IQ30" s="110"/>
      <c r="IR30" s="110"/>
      <c r="IS30" s="110"/>
      <c r="IT30" s="110"/>
      <c r="IU30" s="110"/>
      <c r="IV30" s="110"/>
      <c r="IW30" s="110"/>
    </row>
    <row r="31" spans="1:257" ht="15" thickBot="1" x14ac:dyDescent="0.35">
      <c r="A31" s="156"/>
      <c r="B31" s="115" t="str">
        <f>'Parameter Values'!B185</f>
        <v>CLD rds</v>
      </c>
      <c r="C31" s="168">
        <f>'Parameter Values'!D185</f>
        <v>-252561.3456343688</v>
      </c>
      <c r="D31" s="169">
        <f>'Parameter Values'!F185</f>
        <v>-231132.06717451065</v>
      </c>
      <c r="E31" s="170">
        <f t="shared" si="0"/>
        <v>21429.278459858149</v>
      </c>
      <c r="F31" s="156"/>
      <c r="G31" s="156"/>
      <c r="H31" s="156"/>
      <c r="I31" s="174" t="s">
        <v>282</v>
      </c>
      <c r="J31" s="168">
        <v>-239178.93718213259</v>
      </c>
      <c r="K31" s="169">
        <v>-242910.81310077943</v>
      </c>
      <c r="L31" s="170">
        <v>3731.8759186468378</v>
      </c>
      <c r="M31" s="156"/>
      <c r="N31" s="156"/>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c r="CY31" s="110"/>
      <c r="CZ31" s="110"/>
      <c r="DA31" s="110"/>
      <c r="DB31" s="110"/>
      <c r="DC31" s="110"/>
      <c r="DD31" s="110"/>
      <c r="DE31" s="110"/>
      <c r="DF31" s="110"/>
      <c r="DG31" s="110"/>
      <c r="DH31" s="110"/>
      <c r="DI31" s="110"/>
      <c r="DJ31" s="110"/>
      <c r="DK31" s="110"/>
      <c r="DL31" s="110"/>
      <c r="DM31" s="110"/>
      <c r="DN31" s="110"/>
      <c r="DO31" s="110"/>
      <c r="DP31" s="110"/>
      <c r="DQ31" s="110"/>
      <c r="DR31" s="110"/>
      <c r="DS31" s="110"/>
      <c r="DT31" s="110"/>
      <c r="DU31" s="110"/>
      <c r="DV31" s="110"/>
      <c r="DW31" s="110"/>
      <c r="DX31" s="110"/>
      <c r="DY31" s="110"/>
      <c r="DZ31" s="110"/>
      <c r="EA31" s="110"/>
      <c r="EB31" s="110"/>
      <c r="EC31" s="110"/>
      <c r="ED31" s="110"/>
      <c r="EE31" s="110"/>
      <c r="EF31" s="110"/>
      <c r="EG31" s="110"/>
      <c r="EH31" s="110"/>
      <c r="EI31" s="110"/>
      <c r="EJ31" s="110"/>
      <c r="EK31" s="110"/>
      <c r="EL31" s="110"/>
      <c r="EM31" s="110"/>
      <c r="EN31" s="110"/>
      <c r="EO31" s="110"/>
      <c r="EP31" s="110"/>
      <c r="EQ31" s="110"/>
      <c r="ER31" s="110"/>
      <c r="ES31" s="110"/>
      <c r="ET31" s="110"/>
      <c r="EU31" s="110"/>
      <c r="EV31" s="110"/>
      <c r="EW31" s="110"/>
      <c r="EX31" s="110"/>
      <c r="EY31" s="110"/>
      <c r="EZ31" s="110"/>
      <c r="FA31" s="110"/>
      <c r="FB31" s="110"/>
      <c r="FC31" s="110"/>
      <c r="FD31" s="110"/>
      <c r="FE31" s="110"/>
      <c r="FF31" s="110"/>
      <c r="FG31" s="110"/>
      <c r="FH31" s="110"/>
      <c r="FI31" s="110"/>
      <c r="FJ31" s="110"/>
      <c r="FK31" s="110"/>
      <c r="FL31" s="110"/>
      <c r="FM31" s="110"/>
      <c r="FN31" s="110"/>
      <c r="FO31" s="110"/>
      <c r="FP31" s="110"/>
      <c r="FQ31" s="110"/>
      <c r="FR31" s="110"/>
      <c r="FS31" s="110"/>
      <c r="FT31" s="110"/>
      <c r="FU31" s="110"/>
      <c r="FV31" s="110"/>
      <c r="FW31" s="110"/>
      <c r="FX31" s="110"/>
      <c r="FY31" s="110"/>
      <c r="FZ31" s="110"/>
      <c r="GA31" s="110"/>
      <c r="GB31" s="110"/>
      <c r="GC31" s="110"/>
      <c r="GD31" s="110"/>
      <c r="GE31" s="110"/>
      <c r="GF31" s="110"/>
      <c r="GG31" s="110"/>
      <c r="GH31" s="110"/>
      <c r="GI31" s="110"/>
      <c r="GJ31" s="110"/>
      <c r="GK31" s="110"/>
      <c r="GL31" s="110"/>
      <c r="GM31" s="110"/>
      <c r="GN31" s="110"/>
      <c r="GO31" s="110"/>
      <c r="GP31" s="110"/>
      <c r="GQ31" s="110"/>
      <c r="GR31" s="110"/>
      <c r="GS31" s="110"/>
      <c r="GT31" s="110"/>
      <c r="GU31" s="110"/>
      <c r="GV31" s="110"/>
      <c r="GW31" s="110"/>
      <c r="GX31" s="110"/>
      <c r="GY31" s="110"/>
      <c r="GZ31" s="110"/>
      <c r="HA31" s="110"/>
      <c r="HB31" s="110"/>
      <c r="HC31" s="110"/>
      <c r="HD31" s="110"/>
      <c r="HE31" s="110"/>
      <c r="HF31" s="110"/>
      <c r="HG31" s="110"/>
      <c r="HH31" s="110"/>
      <c r="HI31" s="110"/>
      <c r="HJ31" s="110"/>
      <c r="HK31" s="110"/>
      <c r="HL31" s="110"/>
      <c r="HM31" s="110"/>
      <c r="HN31" s="110"/>
      <c r="HO31" s="110"/>
      <c r="HP31" s="110"/>
      <c r="HQ31" s="110"/>
      <c r="HR31" s="110"/>
      <c r="HS31" s="110"/>
      <c r="HT31" s="110"/>
      <c r="HU31" s="110"/>
      <c r="HV31" s="110"/>
      <c r="HW31" s="110"/>
      <c r="HX31" s="110"/>
      <c r="HY31" s="110"/>
      <c r="HZ31" s="110"/>
      <c r="IA31" s="110"/>
      <c r="IB31" s="110"/>
      <c r="IC31" s="110"/>
      <c r="ID31" s="110"/>
      <c r="IE31" s="110"/>
      <c r="IF31" s="110"/>
      <c r="IG31" s="110"/>
      <c r="IH31" s="110"/>
      <c r="II31" s="110"/>
      <c r="IJ31" s="110"/>
      <c r="IK31" s="110"/>
      <c r="IL31" s="110"/>
      <c r="IM31" s="110"/>
      <c r="IN31" s="110"/>
      <c r="IO31" s="110"/>
      <c r="IP31" s="110"/>
      <c r="IQ31" s="110"/>
      <c r="IR31" s="110"/>
      <c r="IS31" s="110"/>
      <c r="IT31" s="110"/>
      <c r="IU31" s="110"/>
      <c r="IV31" s="110"/>
      <c r="IW31" s="110"/>
    </row>
    <row r="32" spans="1:257" ht="15" thickBot="1" x14ac:dyDescent="0.35">
      <c r="A32" s="156"/>
      <c r="B32" s="115" t="str">
        <f>'Parameter Values'!B186</f>
        <v>Impairement hypo</v>
      </c>
      <c r="C32" s="168">
        <f>'Parameter Values'!D186</f>
        <v>-266716.04756455519</v>
      </c>
      <c r="D32" s="169">
        <f>'Parameter Values'!F186</f>
        <v>-219460.35140195131</v>
      </c>
      <c r="E32" s="170">
        <f t="shared" si="0"/>
        <v>47255.696162603883</v>
      </c>
      <c r="F32" s="156"/>
      <c r="G32" s="156"/>
      <c r="H32" s="156"/>
      <c r="I32" s="174" t="s">
        <v>730</v>
      </c>
      <c r="J32" s="168">
        <v>-240239.12466467384</v>
      </c>
      <c r="K32" s="169">
        <v>-237314.19809686884</v>
      </c>
      <c r="L32" s="170">
        <v>2924.9265678049996</v>
      </c>
      <c r="M32" s="156"/>
      <c r="N32" s="156"/>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c r="CY32" s="110"/>
      <c r="CZ32" s="110"/>
      <c r="DA32" s="110"/>
      <c r="DB32" s="110"/>
      <c r="DC32" s="110"/>
      <c r="DD32" s="110"/>
      <c r="DE32" s="110"/>
      <c r="DF32" s="110"/>
      <c r="DG32" s="110"/>
      <c r="DH32" s="110"/>
      <c r="DI32" s="110"/>
      <c r="DJ32" s="110"/>
      <c r="DK32" s="110"/>
      <c r="DL32" s="110"/>
      <c r="DM32" s="110"/>
      <c r="DN32" s="110"/>
      <c r="DO32" s="110"/>
      <c r="DP32" s="110"/>
      <c r="DQ32" s="110"/>
      <c r="DR32" s="110"/>
      <c r="DS32" s="110"/>
      <c r="DT32" s="110"/>
      <c r="DU32" s="110"/>
      <c r="DV32" s="110"/>
      <c r="DW32" s="110"/>
      <c r="DX32" s="110"/>
      <c r="DY32" s="110"/>
      <c r="DZ32" s="110"/>
      <c r="EA32" s="110"/>
      <c r="EB32" s="110"/>
      <c r="EC32" s="110"/>
      <c r="ED32" s="110"/>
      <c r="EE32" s="110"/>
      <c r="EF32" s="110"/>
      <c r="EG32" s="110"/>
      <c r="EH32" s="110"/>
      <c r="EI32" s="110"/>
      <c r="EJ32" s="110"/>
      <c r="EK32" s="110"/>
      <c r="EL32" s="110"/>
      <c r="EM32" s="110"/>
      <c r="EN32" s="110"/>
      <c r="EO32" s="110"/>
      <c r="EP32" s="110"/>
      <c r="EQ32" s="110"/>
      <c r="ER32" s="110"/>
      <c r="ES32" s="110"/>
      <c r="ET32" s="110"/>
      <c r="EU32" s="110"/>
      <c r="EV32" s="110"/>
      <c r="EW32" s="110"/>
      <c r="EX32" s="110"/>
      <c r="EY32" s="110"/>
      <c r="EZ32" s="110"/>
      <c r="FA32" s="110"/>
      <c r="FB32" s="110"/>
      <c r="FC32" s="110"/>
      <c r="FD32" s="110"/>
      <c r="FE32" s="110"/>
      <c r="FF32" s="110"/>
      <c r="FG32" s="110"/>
      <c r="FH32" s="110"/>
      <c r="FI32" s="110"/>
      <c r="FJ32" s="110"/>
      <c r="FK32" s="110"/>
      <c r="FL32" s="110"/>
      <c r="FM32" s="110"/>
      <c r="FN32" s="110"/>
      <c r="FO32" s="110"/>
      <c r="FP32" s="110"/>
      <c r="FQ32" s="110"/>
      <c r="FR32" s="110"/>
      <c r="FS32" s="110"/>
      <c r="FT32" s="110"/>
      <c r="FU32" s="110"/>
      <c r="FV32" s="110"/>
      <c r="FW32" s="110"/>
      <c r="FX32" s="110"/>
      <c r="FY32" s="110"/>
      <c r="FZ32" s="110"/>
      <c r="GA32" s="110"/>
      <c r="GB32" s="110"/>
      <c r="GC32" s="110"/>
      <c r="GD32" s="110"/>
      <c r="GE32" s="110"/>
      <c r="GF32" s="110"/>
      <c r="GG32" s="110"/>
      <c r="GH32" s="110"/>
      <c r="GI32" s="110"/>
      <c r="GJ32" s="110"/>
      <c r="GK32" s="110"/>
      <c r="GL32" s="110"/>
      <c r="GM32" s="110"/>
      <c r="GN32" s="110"/>
      <c r="GO32" s="110"/>
      <c r="GP32" s="110"/>
      <c r="GQ32" s="110"/>
      <c r="GR32" s="110"/>
      <c r="GS32" s="110"/>
      <c r="GT32" s="110"/>
      <c r="GU32" s="110"/>
      <c r="GV32" s="110"/>
      <c r="GW32" s="110"/>
      <c r="GX32" s="110"/>
      <c r="GY32" s="110"/>
      <c r="GZ32" s="110"/>
      <c r="HA32" s="110"/>
      <c r="HB32" s="110"/>
      <c r="HC32" s="110"/>
      <c r="HD32" s="110"/>
      <c r="HE32" s="110"/>
      <c r="HF32" s="110"/>
      <c r="HG32" s="110"/>
      <c r="HH32" s="110"/>
      <c r="HI32" s="110"/>
      <c r="HJ32" s="110"/>
      <c r="HK32" s="110"/>
      <c r="HL32" s="110"/>
      <c r="HM32" s="110"/>
      <c r="HN32" s="110"/>
      <c r="HO32" s="110"/>
      <c r="HP32" s="110"/>
      <c r="HQ32" s="110"/>
      <c r="HR32" s="110"/>
      <c r="HS32" s="110"/>
      <c r="HT32" s="110"/>
      <c r="HU32" s="110"/>
      <c r="HV32" s="110"/>
      <c r="HW32" s="110"/>
      <c r="HX32" s="110"/>
      <c r="HY32" s="110"/>
      <c r="HZ32" s="110"/>
      <c r="IA32" s="110"/>
      <c r="IB32" s="110"/>
      <c r="IC32" s="110"/>
      <c r="ID32" s="110"/>
      <c r="IE32" s="110"/>
      <c r="IF32" s="110"/>
      <c r="IG32" s="110"/>
      <c r="IH32" s="110"/>
      <c r="II32" s="110"/>
      <c r="IJ32" s="110"/>
      <c r="IK32" s="110"/>
      <c r="IL32" s="110"/>
      <c r="IM32" s="110"/>
      <c r="IN32" s="110"/>
      <c r="IO32" s="110"/>
      <c r="IP32" s="110"/>
      <c r="IQ32" s="110"/>
      <c r="IR32" s="110"/>
      <c r="IS32" s="110"/>
      <c r="IT32" s="110"/>
      <c r="IU32" s="110"/>
      <c r="IV32" s="110"/>
      <c r="IW32" s="110"/>
    </row>
    <row r="33" spans="1:257" ht="15" thickBot="1" x14ac:dyDescent="0.35">
      <c r="A33" s="156"/>
      <c r="B33" s="115" t="str">
        <f>'Parameter Values'!B187</f>
        <v>Impairement no hypo</v>
      </c>
      <c r="C33" s="168">
        <f>'Parameter Values'!D187</f>
        <v>-224004.18899923161</v>
      </c>
      <c r="D33" s="169">
        <f>'Parameter Values'!F187</f>
        <v>-258898.11994987074</v>
      </c>
      <c r="E33" s="170">
        <f t="shared" si="0"/>
        <v>34893.930950639129</v>
      </c>
      <c r="F33" s="156"/>
      <c r="G33" s="156"/>
      <c r="H33" s="156"/>
      <c r="I33" s="181" t="s">
        <v>763</v>
      </c>
      <c r="J33" s="172">
        <v>-242539.01217361036</v>
      </c>
      <c r="K33" s="169">
        <v>-239696.85580649303</v>
      </c>
      <c r="L33" s="170">
        <v>2842.1563671173353</v>
      </c>
      <c r="M33" s="156"/>
      <c r="N33" s="156"/>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c r="CY33" s="110"/>
      <c r="CZ33" s="110"/>
      <c r="DA33" s="110"/>
      <c r="DB33" s="110"/>
      <c r="DC33" s="110"/>
      <c r="DD33" s="110"/>
      <c r="DE33" s="110"/>
      <c r="DF33" s="110"/>
      <c r="DG33" s="110"/>
      <c r="DH33" s="110"/>
      <c r="DI33" s="110"/>
      <c r="DJ33" s="110"/>
      <c r="DK33" s="110"/>
      <c r="DL33" s="110"/>
      <c r="DM33" s="110"/>
      <c r="DN33" s="110"/>
      <c r="DO33" s="110"/>
      <c r="DP33" s="110"/>
      <c r="DQ33" s="110"/>
      <c r="DR33" s="110"/>
      <c r="DS33" s="110"/>
      <c r="DT33" s="110"/>
      <c r="DU33" s="110"/>
      <c r="DV33" s="110"/>
      <c r="DW33" s="110"/>
      <c r="DX33" s="110"/>
      <c r="DY33" s="110"/>
      <c r="DZ33" s="110"/>
      <c r="EA33" s="110"/>
      <c r="EB33" s="110"/>
      <c r="EC33" s="110"/>
      <c r="ED33" s="110"/>
      <c r="EE33" s="110"/>
      <c r="EF33" s="110"/>
      <c r="EG33" s="110"/>
      <c r="EH33" s="110"/>
      <c r="EI33" s="110"/>
      <c r="EJ33" s="110"/>
      <c r="EK33" s="110"/>
      <c r="EL33" s="110"/>
      <c r="EM33" s="110"/>
      <c r="EN33" s="110"/>
      <c r="EO33" s="110"/>
      <c r="EP33" s="110"/>
      <c r="EQ33" s="110"/>
      <c r="ER33" s="110"/>
      <c r="ES33" s="110"/>
      <c r="ET33" s="110"/>
      <c r="EU33" s="110"/>
      <c r="EV33" s="110"/>
      <c r="EW33" s="110"/>
      <c r="EX33" s="110"/>
      <c r="EY33" s="110"/>
      <c r="EZ33" s="110"/>
      <c r="FA33" s="110"/>
      <c r="FB33" s="110"/>
      <c r="FC33" s="110"/>
      <c r="FD33" s="110"/>
      <c r="FE33" s="110"/>
      <c r="FF33" s="110"/>
      <c r="FG33" s="110"/>
      <c r="FH33" s="110"/>
      <c r="FI33" s="110"/>
      <c r="FJ33" s="110"/>
      <c r="FK33" s="110"/>
      <c r="FL33" s="110"/>
      <c r="FM33" s="110"/>
      <c r="FN33" s="110"/>
      <c r="FO33" s="110"/>
      <c r="FP33" s="110"/>
      <c r="FQ33" s="110"/>
      <c r="FR33" s="110"/>
      <c r="FS33" s="110"/>
      <c r="FT33" s="110"/>
      <c r="FU33" s="110"/>
      <c r="FV33" s="110"/>
      <c r="FW33" s="110"/>
      <c r="FX33" s="110"/>
      <c r="FY33" s="110"/>
      <c r="FZ33" s="110"/>
      <c r="GA33" s="110"/>
      <c r="GB33" s="110"/>
      <c r="GC33" s="110"/>
      <c r="GD33" s="110"/>
      <c r="GE33" s="110"/>
      <c r="GF33" s="110"/>
      <c r="GG33" s="110"/>
      <c r="GH33" s="110"/>
      <c r="GI33" s="110"/>
      <c r="GJ33" s="110"/>
      <c r="GK33" s="110"/>
      <c r="GL33" s="110"/>
      <c r="GM33" s="110"/>
      <c r="GN33" s="110"/>
      <c r="GO33" s="110"/>
      <c r="GP33" s="110"/>
      <c r="GQ33" s="110"/>
      <c r="GR33" s="110"/>
      <c r="GS33" s="110"/>
      <c r="GT33" s="110"/>
      <c r="GU33" s="110"/>
      <c r="GV33" s="110"/>
      <c r="GW33" s="110"/>
      <c r="GX33" s="110"/>
      <c r="GY33" s="110"/>
      <c r="GZ33" s="110"/>
      <c r="HA33" s="110"/>
      <c r="HB33" s="110"/>
      <c r="HC33" s="110"/>
      <c r="HD33" s="110"/>
      <c r="HE33" s="110"/>
      <c r="HF33" s="110"/>
      <c r="HG33" s="110"/>
      <c r="HH33" s="110"/>
      <c r="HI33" s="110"/>
      <c r="HJ33" s="110"/>
      <c r="HK33" s="110"/>
      <c r="HL33" s="110"/>
      <c r="HM33" s="110"/>
      <c r="HN33" s="110"/>
      <c r="HO33" s="110"/>
      <c r="HP33" s="110"/>
      <c r="HQ33" s="110"/>
      <c r="HR33" s="110"/>
      <c r="HS33" s="110"/>
      <c r="HT33" s="110"/>
      <c r="HU33" s="110"/>
      <c r="HV33" s="110"/>
      <c r="HW33" s="110"/>
      <c r="HX33" s="110"/>
      <c r="HY33" s="110"/>
      <c r="HZ33" s="110"/>
      <c r="IA33" s="110"/>
      <c r="IB33" s="110"/>
      <c r="IC33" s="110"/>
      <c r="ID33" s="110"/>
      <c r="IE33" s="110"/>
      <c r="IF33" s="110"/>
      <c r="IG33" s="110"/>
      <c r="IH33" s="110"/>
      <c r="II33" s="110"/>
      <c r="IJ33" s="110"/>
      <c r="IK33" s="110"/>
      <c r="IL33" s="110"/>
      <c r="IM33" s="110"/>
      <c r="IN33" s="110"/>
      <c r="IO33" s="110"/>
      <c r="IP33" s="110"/>
      <c r="IQ33" s="110"/>
      <c r="IR33" s="110"/>
      <c r="IS33" s="110"/>
      <c r="IT33" s="110"/>
      <c r="IU33" s="110"/>
      <c r="IV33" s="110"/>
      <c r="IW33" s="110"/>
    </row>
    <row r="34" spans="1:257" ht="15" thickBot="1" x14ac:dyDescent="0.35">
      <c r="A34" s="156"/>
      <c r="B34" s="115" t="str">
        <f>'Parameter Values'!B188</f>
        <v>c_CSG</v>
      </c>
      <c r="C34" s="168">
        <f>'Parameter Values'!D188</f>
        <v>-241027.33943261922</v>
      </c>
      <c r="D34" s="169">
        <f>'Parameter Values'!F188</f>
        <v>-241027.33943261922</v>
      </c>
      <c r="E34" s="170">
        <f t="shared" si="0"/>
        <v>0</v>
      </c>
      <c r="F34" s="156"/>
      <c r="G34" s="156"/>
      <c r="H34" s="156"/>
      <c r="I34" s="181" t="s">
        <v>762</v>
      </c>
      <c r="J34" s="172">
        <v>-240302.08691938123</v>
      </c>
      <c r="K34" s="169">
        <v>-241852.69364796759</v>
      </c>
      <c r="L34" s="170">
        <v>1550.6067285863683</v>
      </c>
      <c r="M34" s="156"/>
      <c r="N34" s="156"/>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c r="CY34" s="110"/>
      <c r="CZ34" s="110"/>
      <c r="DA34" s="110"/>
      <c r="DB34" s="110"/>
      <c r="DC34" s="110"/>
      <c r="DD34" s="110"/>
      <c r="DE34" s="110"/>
      <c r="DF34" s="110"/>
      <c r="DG34" s="110"/>
      <c r="DH34" s="110"/>
      <c r="DI34" s="110"/>
      <c r="DJ34" s="110"/>
      <c r="DK34" s="110"/>
      <c r="DL34" s="110"/>
      <c r="DM34" s="110"/>
      <c r="DN34" s="110"/>
      <c r="DO34" s="110"/>
      <c r="DP34" s="110"/>
      <c r="DQ34" s="110"/>
      <c r="DR34" s="110"/>
      <c r="DS34" s="110"/>
      <c r="DT34" s="110"/>
      <c r="DU34" s="110"/>
      <c r="DV34" s="110"/>
      <c r="DW34" s="110"/>
      <c r="DX34" s="110"/>
      <c r="DY34" s="110"/>
      <c r="DZ34" s="110"/>
      <c r="EA34" s="110"/>
      <c r="EB34" s="110"/>
      <c r="EC34" s="110"/>
      <c r="ED34" s="110"/>
      <c r="EE34" s="110"/>
      <c r="EF34" s="110"/>
      <c r="EG34" s="110"/>
      <c r="EH34" s="110"/>
      <c r="EI34" s="110"/>
      <c r="EJ34" s="110"/>
      <c r="EK34" s="110"/>
      <c r="EL34" s="110"/>
      <c r="EM34" s="110"/>
      <c r="EN34" s="110"/>
      <c r="EO34" s="110"/>
      <c r="EP34" s="110"/>
      <c r="EQ34" s="110"/>
      <c r="ER34" s="110"/>
      <c r="ES34" s="110"/>
      <c r="ET34" s="110"/>
      <c r="EU34" s="110"/>
      <c r="EV34" s="110"/>
      <c r="EW34" s="110"/>
      <c r="EX34" s="110"/>
      <c r="EY34" s="110"/>
      <c r="EZ34" s="110"/>
      <c r="FA34" s="110"/>
      <c r="FB34" s="110"/>
      <c r="FC34" s="110"/>
      <c r="FD34" s="110"/>
      <c r="FE34" s="110"/>
      <c r="FF34" s="110"/>
      <c r="FG34" s="110"/>
      <c r="FH34" s="110"/>
      <c r="FI34" s="110"/>
      <c r="FJ34" s="110"/>
      <c r="FK34" s="110"/>
      <c r="FL34" s="110"/>
      <c r="FM34" s="110"/>
      <c r="FN34" s="110"/>
      <c r="FO34" s="110"/>
      <c r="FP34" s="110"/>
      <c r="FQ34" s="110"/>
      <c r="FR34" s="110"/>
      <c r="FS34" s="110"/>
      <c r="FT34" s="110"/>
      <c r="FU34" s="110"/>
      <c r="FV34" s="110"/>
      <c r="FW34" s="110"/>
      <c r="FX34" s="110"/>
      <c r="FY34" s="110"/>
      <c r="FZ34" s="110"/>
      <c r="GA34" s="110"/>
      <c r="GB34" s="110"/>
      <c r="GC34" s="110"/>
      <c r="GD34" s="110"/>
      <c r="GE34" s="110"/>
      <c r="GF34" s="110"/>
      <c r="GG34" s="110"/>
      <c r="GH34" s="110"/>
      <c r="GI34" s="110"/>
      <c r="GJ34" s="110"/>
      <c r="GK34" s="110"/>
      <c r="GL34" s="110"/>
      <c r="GM34" s="110"/>
      <c r="GN34" s="110"/>
      <c r="GO34" s="110"/>
      <c r="GP34" s="110"/>
      <c r="GQ34" s="110"/>
      <c r="GR34" s="110"/>
      <c r="GS34" s="110"/>
      <c r="GT34" s="110"/>
      <c r="GU34" s="110"/>
      <c r="GV34" s="110"/>
      <c r="GW34" s="110"/>
      <c r="GX34" s="110"/>
      <c r="GY34" s="110"/>
      <c r="GZ34" s="110"/>
      <c r="HA34" s="110"/>
      <c r="HB34" s="110"/>
      <c r="HC34" s="110"/>
      <c r="HD34" s="110"/>
      <c r="HE34" s="110"/>
      <c r="HF34" s="110"/>
      <c r="HG34" s="110"/>
      <c r="HH34" s="110"/>
      <c r="HI34" s="110"/>
      <c r="HJ34" s="110"/>
      <c r="HK34" s="110"/>
      <c r="HL34" s="110"/>
      <c r="HM34" s="110"/>
      <c r="HN34" s="110"/>
      <c r="HO34" s="110"/>
      <c r="HP34" s="110"/>
      <c r="HQ34" s="110"/>
      <c r="HR34" s="110"/>
      <c r="HS34" s="110"/>
      <c r="HT34" s="110"/>
      <c r="HU34" s="110"/>
      <c r="HV34" s="110"/>
      <c r="HW34" s="110"/>
      <c r="HX34" s="110"/>
      <c r="HY34" s="110"/>
      <c r="HZ34" s="110"/>
      <c r="IA34" s="110"/>
      <c r="IB34" s="110"/>
      <c r="IC34" s="110"/>
      <c r="ID34" s="110"/>
      <c r="IE34" s="110"/>
      <c r="IF34" s="110"/>
      <c r="IG34" s="110"/>
      <c r="IH34" s="110"/>
      <c r="II34" s="110"/>
      <c r="IJ34" s="110"/>
      <c r="IK34" s="110"/>
      <c r="IL34" s="110"/>
      <c r="IM34" s="110"/>
      <c r="IN34" s="110"/>
      <c r="IO34" s="110"/>
      <c r="IP34" s="110"/>
      <c r="IQ34" s="110"/>
      <c r="IR34" s="110"/>
      <c r="IS34" s="110"/>
      <c r="IT34" s="110"/>
      <c r="IU34" s="110"/>
      <c r="IV34" s="110"/>
      <c r="IW34" s="110"/>
    </row>
    <row r="35" spans="1:257" ht="15" thickBot="1" x14ac:dyDescent="0.35">
      <c r="A35" s="156"/>
      <c r="B35" s="115" t="str">
        <f>'Parameter Values'!B189</f>
        <v>c_ANC</v>
      </c>
      <c r="C35" s="168">
        <f>'Parameter Values'!D189</f>
        <v>-240847.97998709735</v>
      </c>
      <c r="D35" s="169">
        <f>'Parameter Values'!F189</f>
        <v>-240737.05757505898</v>
      </c>
      <c r="E35" s="170">
        <f t="shared" si="0"/>
        <v>110.9224120383733</v>
      </c>
      <c r="F35" s="156"/>
      <c r="G35" s="156"/>
      <c r="H35" s="156"/>
      <c r="I35" s="181" t="s">
        <v>757</v>
      </c>
      <c r="J35" s="172">
        <v>-241821.79329350428</v>
      </c>
      <c r="K35" s="169">
        <v>-240448.25422430015</v>
      </c>
      <c r="L35" s="170">
        <v>1373.5390692041256</v>
      </c>
      <c r="M35" s="156"/>
      <c r="N35" s="156"/>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c r="CY35" s="110"/>
      <c r="CZ35" s="110"/>
      <c r="DA35" s="110"/>
      <c r="DB35" s="110"/>
      <c r="DC35" s="110"/>
      <c r="DD35" s="110"/>
      <c r="DE35" s="110"/>
      <c r="DF35" s="110"/>
      <c r="DG35" s="110"/>
      <c r="DH35" s="110"/>
      <c r="DI35" s="110"/>
      <c r="DJ35" s="110"/>
      <c r="DK35" s="110"/>
      <c r="DL35" s="110"/>
      <c r="DM35" s="110"/>
      <c r="DN35" s="110"/>
      <c r="DO35" s="110"/>
      <c r="DP35" s="110"/>
      <c r="DQ35" s="110"/>
      <c r="DR35" s="110"/>
      <c r="DS35" s="110"/>
      <c r="DT35" s="110"/>
      <c r="DU35" s="110"/>
      <c r="DV35" s="110"/>
      <c r="DW35" s="110"/>
      <c r="DX35" s="110"/>
      <c r="DY35" s="110"/>
      <c r="DZ35" s="110"/>
      <c r="EA35" s="110"/>
      <c r="EB35" s="110"/>
      <c r="EC35" s="110"/>
      <c r="ED35" s="110"/>
      <c r="EE35" s="110"/>
      <c r="EF35" s="110"/>
      <c r="EG35" s="110"/>
      <c r="EH35" s="110"/>
      <c r="EI35" s="110"/>
      <c r="EJ35" s="110"/>
      <c r="EK35" s="110"/>
      <c r="EL35" s="110"/>
      <c r="EM35" s="110"/>
      <c r="EN35" s="110"/>
      <c r="EO35" s="110"/>
      <c r="EP35" s="110"/>
      <c r="EQ35" s="110"/>
      <c r="ER35" s="110"/>
      <c r="ES35" s="110"/>
      <c r="ET35" s="110"/>
      <c r="EU35" s="110"/>
      <c r="EV35" s="110"/>
      <c r="EW35" s="110"/>
      <c r="EX35" s="110"/>
      <c r="EY35" s="110"/>
      <c r="EZ35" s="110"/>
      <c r="FA35" s="110"/>
      <c r="FB35" s="110"/>
      <c r="FC35" s="110"/>
      <c r="FD35" s="110"/>
      <c r="FE35" s="110"/>
      <c r="FF35" s="110"/>
      <c r="FG35" s="110"/>
      <c r="FH35" s="110"/>
      <c r="FI35" s="110"/>
      <c r="FJ35" s="110"/>
      <c r="FK35" s="110"/>
      <c r="FL35" s="110"/>
      <c r="FM35" s="110"/>
      <c r="FN35" s="110"/>
      <c r="FO35" s="110"/>
      <c r="FP35" s="110"/>
      <c r="FQ35" s="110"/>
      <c r="FR35" s="110"/>
      <c r="FS35" s="110"/>
      <c r="FT35" s="110"/>
      <c r="FU35" s="110"/>
      <c r="FV35" s="110"/>
      <c r="FW35" s="110"/>
      <c r="FX35" s="110"/>
      <c r="FY35" s="110"/>
      <c r="FZ35" s="110"/>
      <c r="GA35" s="110"/>
      <c r="GB35" s="110"/>
      <c r="GC35" s="110"/>
      <c r="GD35" s="110"/>
      <c r="GE35" s="110"/>
      <c r="GF35" s="110"/>
      <c r="GG35" s="110"/>
      <c r="GH35" s="110"/>
      <c r="GI35" s="110"/>
      <c r="GJ35" s="110"/>
      <c r="GK35" s="110"/>
      <c r="GL35" s="110"/>
      <c r="GM35" s="110"/>
      <c r="GN35" s="110"/>
      <c r="GO35" s="110"/>
      <c r="GP35" s="110"/>
      <c r="GQ35" s="110"/>
      <c r="GR35" s="110"/>
      <c r="GS35" s="110"/>
      <c r="GT35" s="110"/>
      <c r="GU35" s="110"/>
      <c r="GV35" s="110"/>
      <c r="GW35" s="110"/>
      <c r="GX35" s="110"/>
      <c r="GY35" s="110"/>
      <c r="GZ35" s="110"/>
      <c r="HA35" s="110"/>
      <c r="HB35" s="110"/>
      <c r="HC35" s="110"/>
      <c r="HD35" s="110"/>
      <c r="HE35" s="110"/>
      <c r="HF35" s="110"/>
      <c r="HG35" s="110"/>
      <c r="HH35" s="110"/>
      <c r="HI35" s="110"/>
      <c r="HJ35" s="110"/>
      <c r="HK35" s="110"/>
      <c r="HL35" s="110"/>
      <c r="HM35" s="110"/>
      <c r="HN35" s="110"/>
      <c r="HO35" s="110"/>
      <c r="HP35" s="110"/>
      <c r="HQ35" s="110"/>
      <c r="HR35" s="110"/>
      <c r="HS35" s="110"/>
      <c r="HT35" s="110"/>
      <c r="HU35" s="110"/>
      <c r="HV35" s="110"/>
      <c r="HW35" s="110"/>
      <c r="HX35" s="110"/>
      <c r="HY35" s="110"/>
      <c r="HZ35" s="110"/>
      <c r="IA35" s="110"/>
      <c r="IB35" s="110"/>
      <c r="IC35" s="110"/>
      <c r="ID35" s="110"/>
      <c r="IE35" s="110"/>
      <c r="IF35" s="110"/>
      <c r="IG35" s="110"/>
      <c r="IH35" s="110"/>
      <c r="II35" s="110"/>
      <c r="IJ35" s="110"/>
      <c r="IK35" s="110"/>
      <c r="IL35" s="110"/>
      <c r="IM35" s="110"/>
      <c r="IN35" s="110"/>
      <c r="IO35" s="110"/>
      <c r="IP35" s="110"/>
      <c r="IQ35" s="110"/>
      <c r="IR35" s="110"/>
      <c r="IS35" s="110"/>
      <c r="IT35" s="110"/>
      <c r="IU35" s="110"/>
      <c r="IV35" s="110"/>
      <c r="IW35" s="110"/>
    </row>
    <row r="36" spans="1:257" ht="15" thickBot="1" x14ac:dyDescent="0.35">
      <c r="A36" s="156"/>
      <c r="B36" s="115" t="str">
        <f>'Parameter Values'!B190</f>
        <v>c_prem</v>
      </c>
      <c r="C36" s="168">
        <f>'Parameter Values'!D190</f>
        <v>-240699.44351906455</v>
      </c>
      <c r="D36" s="169">
        <f>'Parameter Values'!F190</f>
        <v>-240875.69161188928</v>
      </c>
      <c r="E36" s="170">
        <f t="shared" si="0"/>
        <v>176.24809282473871</v>
      </c>
      <c r="F36" s="156"/>
      <c r="G36" s="156"/>
      <c r="H36" s="156"/>
      <c r="I36" s="181" t="s">
        <v>763</v>
      </c>
      <c r="J36" s="168">
        <v>-241656.84745093845</v>
      </c>
      <c r="K36" s="173">
        <v>-240600.42211171871</v>
      </c>
      <c r="L36" s="170">
        <v>1056.4253392197425</v>
      </c>
      <c r="M36" s="156"/>
      <c r="N36" s="156"/>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c r="CY36" s="110"/>
      <c r="CZ36" s="110"/>
      <c r="DA36" s="110"/>
      <c r="DB36" s="110"/>
      <c r="DC36" s="110"/>
      <c r="DD36" s="110"/>
      <c r="DE36" s="110"/>
      <c r="DF36" s="110"/>
      <c r="DG36" s="110"/>
      <c r="DH36" s="110"/>
      <c r="DI36" s="110"/>
      <c r="DJ36" s="110"/>
      <c r="DK36" s="110"/>
      <c r="DL36" s="110"/>
      <c r="DM36" s="110"/>
      <c r="DN36" s="110"/>
      <c r="DO36" s="110"/>
      <c r="DP36" s="110"/>
      <c r="DQ36" s="110"/>
      <c r="DR36" s="110"/>
      <c r="DS36" s="110"/>
      <c r="DT36" s="110"/>
      <c r="DU36" s="110"/>
      <c r="DV36" s="110"/>
      <c r="DW36" s="110"/>
      <c r="DX36" s="110"/>
      <c r="DY36" s="110"/>
      <c r="DZ36" s="110"/>
      <c r="EA36" s="110"/>
      <c r="EB36" s="110"/>
      <c r="EC36" s="110"/>
      <c r="ED36" s="110"/>
      <c r="EE36" s="110"/>
      <c r="EF36" s="110"/>
      <c r="EG36" s="110"/>
      <c r="EH36" s="110"/>
      <c r="EI36" s="110"/>
      <c r="EJ36" s="110"/>
      <c r="EK36" s="110"/>
      <c r="EL36" s="110"/>
      <c r="EM36" s="110"/>
      <c r="EN36" s="110"/>
      <c r="EO36" s="110"/>
      <c r="EP36" s="110"/>
      <c r="EQ36" s="110"/>
      <c r="ER36" s="110"/>
      <c r="ES36" s="110"/>
      <c r="ET36" s="110"/>
      <c r="EU36" s="110"/>
      <c r="EV36" s="110"/>
      <c r="EW36" s="110"/>
      <c r="EX36" s="110"/>
      <c r="EY36" s="110"/>
      <c r="EZ36" s="110"/>
      <c r="FA36" s="110"/>
      <c r="FB36" s="110"/>
      <c r="FC36" s="110"/>
      <c r="FD36" s="110"/>
      <c r="FE36" s="110"/>
      <c r="FF36" s="110"/>
      <c r="FG36" s="110"/>
      <c r="FH36" s="110"/>
      <c r="FI36" s="110"/>
      <c r="FJ36" s="110"/>
      <c r="FK36" s="110"/>
      <c r="FL36" s="110"/>
      <c r="FM36" s="110"/>
      <c r="FN36" s="110"/>
      <c r="FO36" s="110"/>
      <c r="FP36" s="110"/>
      <c r="FQ36" s="110"/>
      <c r="FR36" s="110"/>
      <c r="FS36" s="110"/>
      <c r="FT36" s="110"/>
      <c r="FU36" s="110"/>
      <c r="FV36" s="110"/>
      <c r="FW36" s="110"/>
      <c r="FX36" s="110"/>
      <c r="FY36" s="110"/>
      <c r="FZ36" s="110"/>
      <c r="GA36" s="110"/>
      <c r="GB36" s="110"/>
      <c r="GC36" s="110"/>
      <c r="GD36" s="110"/>
      <c r="GE36" s="110"/>
      <c r="GF36" s="110"/>
      <c r="GG36" s="110"/>
      <c r="GH36" s="110"/>
      <c r="GI36" s="110"/>
      <c r="GJ36" s="110"/>
      <c r="GK36" s="110"/>
      <c r="GL36" s="110"/>
      <c r="GM36" s="110"/>
      <c r="GN36" s="110"/>
      <c r="GO36" s="110"/>
      <c r="GP36" s="110"/>
      <c r="GQ36" s="110"/>
      <c r="GR36" s="110"/>
      <c r="GS36" s="110"/>
      <c r="GT36" s="110"/>
      <c r="GU36" s="110"/>
      <c r="GV36" s="110"/>
      <c r="GW36" s="110"/>
      <c r="GX36" s="110"/>
      <c r="GY36" s="110"/>
      <c r="GZ36" s="110"/>
      <c r="HA36" s="110"/>
      <c r="HB36" s="110"/>
      <c r="HC36" s="110"/>
      <c r="HD36" s="110"/>
      <c r="HE36" s="110"/>
      <c r="HF36" s="110"/>
      <c r="HG36" s="110"/>
      <c r="HH36" s="110"/>
      <c r="HI36" s="110"/>
      <c r="HJ36" s="110"/>
      <c r="HK36" s="110"/>
      <c r="HL36" s="110"/>
      <c r="HM36" s="110"/>
      <c r="HN36" s="110"/>
      <c r="HO36" s="110"/>
      <c r="HP36" s="110"/>
      <c r="HQ36" s="110"/>
      <c r="HR36" s="110"/>
      <c r="HS36" s="110"/>
      <c r="HT36" s="110"/>
      <c r="HU36" s="110"/>
      <c r="HV36" s="110"/>
      <c r="HW36" s="110"/>
      <c r="HX36" s="110"/>
      <c r="HY36" s="110"/>
      <c r="HZ36" s="110"/>
      <c r="IA36" s="110"/>
      <c r="IB36" s="110"/>
      <c r="IC36" s="110"/>
      <c r="ID36" s="110"/>
      <c r="IE36" s="110"/>
      <c r="IF36" s="110"/>
      <c r="IG36" s="110"/>
      <c r="IH36" s="110"/>
      <c r="II36" s="110"/>
      <c r="IJ36" s="110"/>
      <c r="IK36" s="110"/>
      <c r="IL36" s="110"/>
      <c r="IM36" s="110"/>
      <c r="IN36" s="110"/>
      <c r="IO36" s="110"/>
      <c r="IP36" s="110"/>
      <c r="IQ36" s="110"/>
      <c r="IR36" s="110"/>
      <c r="IS36" s="110"/>
      <c r="IT36" s="110"/>
      <c r="IU36" s="110"/>
      <c r="IV36" s="110"/>
      <c r="IW36" s="110"/>
    </row>
    <row r="37" spans="1:257" ht="15" thickBot="1" x14ac:dyDescent="0.35">
      <c r="A37" s="156"/>
      <c r="B37" s="115" t="str">
        <f>'Parameter Values'!B191</f>
        <v>c_LBW</v>
      </c>
      <c r="C37" s="168">
        <f>'Parameter Values'!D191</f>
        <v>-90952.031467198758</v>
      </c>
      <c r="D37" s="169">
        <f>'Parameter Values'!F191</f>
        <v>-276138.72481576662</v>
      </c>
      <c r="E37" s="170">
        <f t="shared" si="0"/>
        <v>185186.69334856787</v>
      </c>
      <c r="F37" s="156"/>
      <c r="G37" s="156"/>
      <c r="H37" s="156"/>
      <c r="I37" s="181" t="s">
        <v>287</v>
      </c>
      <c r="J37" s="168">
        <v>-241575.64494037529</v>
      </c>
      <c r="K37" s="173">
        <v>-240673.8858597533</v>
      </c>
      <c r="L37" s="170">
        <v>901.75908062199596</v>
      </c>
      <c r="M37" s="156"/>
      <c r="N37" s="156"/>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c r="CY37" s="110"/>
      <c r="CZ37" s="110"/>
      <c r="DA37" s="110"/>
      <c r="DB37" s="110"/>
      <c r="DC37" s="110"/>
      <c r="DD37" s="110"/>
      <c r="DE37" s="110"/>
      <c r="DF37" s="110"/>
      <c r="DG37" s="110"/>
      <c r="DH37" s="110"/>
      <c r="DI37" s="110"/>
      <c r="DJ37" s="110"/>
      <c r="DK37" s="110"/>
      <c r="DL37" s="110"/>
      <c r="DM37" s="110"/>
      <c r="DN37" s="110"/>
      <c r="DO37" s="110"/>
      <c r="DP37" s="110"/>
      <c r="DQ37" s="110"/>
      <c r="DR37" s="110"/>
      <c r="DS37" s="110"/>
      <c r="DT37" s="110"/>
      <c r="DU37" s="110"/>
      <c r="DV37" s="110"/>
      <c r="DW37" s="110"/>
      <c r="DX37" s="110"/>
      <c r="DY37" s="110"/>
      <c r="DZ37" s="110"/>
      <c r="EA37" s="110"/>
      <c r="EB37" s="110"/>
      <c r="EC37" s="110"/>
      <c r="ED37" s="110"/>
      <c r="EE37" s="110"/>
      <c r="EF37" s="110"/>
      <c r="EG37" s="110"/>
      <c r="EH37" s="110"/>
      <c r="EI37" s="110"/>
      <c r="EJ37" s="110"/>
      <c r="EK37" s="110"/>
      <c r="EL37" s="110"/>
      <c r="EM37" s="110"/>
      <c r="EN37" s="110"/>
      <c r="EO37" s="110"/>
      <c r="EP37" s="110"/>
      <c r="EQ37" s="110"/>
      <c r="ER37" s="110"/>
      <c r="ES37" s="110"/>
      <c r="ET37" s="110"/>
      <c r="EU37" s="110"/>
      <c r="EV37" s="110"/>
      <c r="EW37" s="110"/>
      <c r="EX37" s="110"/>
      <c r="EY37" s="110"/>
      <c r="EZ37" s="110"/>
      <c r="FA37" s="110"/>
      <c r="FB37" s="110"/>
      <c r="FC37" s="110"/>
      <c r="FD37" s="110"/>
      <c r="FE37" s="110"/>
      <c r="FF37" s="110"/>
      <c r="FG37" s="110"/>
      <c r="FH37" s="110"/>
      <c r="FI37" s="110"/>
      <c r="FJ37" s="110"/>
      <c r="FK37" s="110"/>
      <c r="FL37" s="110"/>
      <c r="FM37" s="110"/>
      <c r="FN37" s="110"/>
      <c r="FO37" s="110"/>
      <c r="FP37" s="110"/>
      <c r="FQ37" s="110"/>
      <c r="FR37" s="110"/>
      <c r="FS37" s="110"/>
      <c r="FT37" s="110"/>
      <c r="FU37" s="110"/>
      <c r="FV37" s="110"/>
      <c r="FW37" s="110"/>
      <c r="FX37" s="110"/>
      <c r="FY37" s="110"/>
      <c r="FZ37" s="110"/>
      <c r="GA37" s="110"/>
      <c r="GB37" s="110"/>
      <c r="GC37" s="110"/>
      <c r="GD37" s="110"/>
      <c r="GE37" s="110"/>
      <c r="GF37" s="110"/>
      <c r="GG37" s="110"/>
      <c r="GH37" s="110"/>
      <c r="GI37" s="110"/>
      <c r="GJ37" s="110"/>
      <c r="GK37" s="110"/>
      <c r="GL37" s="110"/>
      <c r="GM37" s="110"/>
      <c r="GN37" s="110"/>
      <c r="GO37" s="110"/>
      <c r="GP37" s="110"/>
      <c r="GQ37" s="110"/>
      <c r="GR37" s="110"/>
      <c r="GS37" s="110"/>
      <c r="GT37" s="110"/>
      <c r="GU37" s="110"/>
      <c r="GV37" s="110"/>
      <c r="GW37" s="110"/>
      <c r="GX37" s="110"/>
      <c r="GY37" s="110"/>
      <c r="GZ37" s="110"/>
      <c r="HA37" s="110"/>
      <c r="HB37" s="110"/>
      <c r="HC37" s="110"/>
      <c r="HD37" s="110"/>
      <c r="HE37" s="110"/>
      <c r="HF37" s="110"/>
      <c r="HG37" s="110"/>
      <c r="HH37" s="110"/>
      <c r="HI37" s="110"/>
      <c r="HJ37" s="110"/>
      <c r="HK37" s="110"/>
      <c r="HL37" s="110"/>
      <c r="HM37" s="110"/>
      <c r="HN37" s="110"/>
      <c r="HO37" s="110"/>
      <c r="HP37" s="110"/>
      <c r="HQ37" s="110"/>
      <c r="HR37" s="110"/>
      <c r="HS37" s="110"/>
      <c r="HT37" s="110"/>
      <c r="HU37" s="110"/>
      <c r="HV37" s="110"/>
      <c r="HW37" s="110"/>
      <c r="HX37" s="110"/>
      <c r="HY37" s="110"/>
      <c r="HZ37" s="110"/>
      <c r="IA37" s="110"/>
      <c r="IB37" s="110"/>
      <c r="IC37" s="110"/>
      <c r="ID37" s="110"/>
      <c r="IE37" s="110"/>
      <c r="IF37" s="110"/>
      <c r="IG37" s="110"/>
      <c r="IH37" s="110"/>
      <c r="II37" s="110"/>
      <c r="IJ37" s="110"/>
      <c r="IK37" s="110"/>
      <c r="IL37" s="110"/>
      <c r="IM37" s="110"/>
      <c r="IN37" s="110"/>
      <c r="IO37" s="110"/>
      <c r="IP37" s="110"/>
      <c r="IQ37" s="110"/>
      <c r="IR37" s="110"/>
      <c r="IS37" s="110"/>
      <c r="IT37" s="110"/>
      <c r="IU37" s="110"/>
      <c r="IV37" s="110"/>
      <c r="IW37" s="110"/>
    </row>
    <row r="38" spans="1:257" ht="15" thickBot="1" x14ac:dyDescent="0.35">
      <c r="A38" s="156"/>
      <c r="B38" s="115" t="str">
        <f>'Parameter Values'!B192</f>
        <v>c_NICU_NBW</v>
      </c>
      <c r="C38" s="168">
        <f>'Parameter Values'!D192</f>
        <v>-240503.96412092989</v>
      </c>
      <c r="D38" s="169">
        <f>'Parameter Values'!F192</f>
        <v>-237485.10266255416</v>
      </c>
      <c r="E38" s="170">
        <f t="shared" si="0"/>
        <v>3018.8614583757299</v>
      </c>
      <c r="F38" s="156"/>
      <c r="G38" s="156"/>
      <c r="H38" s="156"/>
      <c r="I38" s="174" t="s">
        <v>283</v>
      </c>
      <c r="J38" s="168">
        <v>-240797.55606113723</v>
      </c>
      <c r="K38" s="169">
        <v>-241420.87959828053</v>
      </c>
      <c r="L38" s="170">
        <v>623.32353714329656</v>
      </c>
      <c r="M38" s="156"/>
      <c r="N38" s="156"/>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c r="CY38" s="110"/>
      <c r="CZ38" s="110"/>
      <c r="DA38" s="110"/>
      <c r="DB38" s="110"/>
      <c r="DC38" s="110"/>
      <c r="DD38" s="110"/>
      <c r="DE38" s="110"/>
      <c r="DF38" s="110"/>
      <c r="DG38" s="110"/>
      <c r="DH38" s="110"/>
      <c r="DI38" s="110"/>
      <c r="DJ38" s="110"/>
      <c r="DK38" s="110"/>
      <c r="DL38" s="110"/>
      <c r="DM38" s="110"/>
      <c r="DN38" s="110"/>
      <c r="DO38" s="110"/>
      <c r="DP38" s="110"/>
      <c r="DQ38" s="110"/>
      <c r="DR38" s="110"/>
      <c r="DS38" s="110"/>
      <c r="DT38" s="110"/>
      <c r="DU38" s="110"/>
      <c r="DV38" s="110"/>
      <c r="DW38" s="110"/>
      <c r="DX38" s="110"/>
      <c r="DY38" s="110"/>
      <c r="DZ38" s="110"/>
      <c r="EA38" s="110"/>
      <c r="EB38" s="110"/>
      <c r="EC38" s="110"/>
      <c r="ED38" s="110"/>
      <c r="EE38" s="110"/>
      <c r="EF38" s="110"/>
      <c r="EG38" s="110"/>
      <c r="EH38" s="110"/>
      <c r="EI38" s="110"/>
      <c r="EJ38" s="110"/>
      <c r="EK38" s="110"/>
      <c r="EL38" s="110"/>
      <c r="EM38" s="110"/>
      <c r="EN38" s="110"/>
      <c r="EO38" s="110"/>
      <c r="EP38" s="110"/>
      <c r="EQ38" s="110"/>
      <c r="ER38" s="110"/>
      <c r="ES38" s="110"/>
      <c r="ET38" s="110"/>
      <c r="EU38" s="110"/>
      <c r="EV38" s="110"/>
      <c r="EW38" s="110"/>
      <c r="EX38" s="110"/>
      <c r="EY38" s="110"/>
      <c r="EZ38" s="110"/>
      <c r="FA38" s="110"/>
      <c r="FB38" s="110"/>
      <c r="FC38" s="110"/>
      <c r="FD38" s="110"/>
      <c r="FE38" s="110"/>
      <c r="FF38" s="110"/>
      <c r="FG38" s="110"/>
      <c r="FH38" s="110"/>
      <c r="FI38" s="110"/>
      <c r="FJ38" s="110"/>
      <c r="FK38" s="110"/>
      <c r="FL38" s="110"/>
      <c r="FM38" s="110"/>
      <c r="FN38" s="110"/>
      <c r="FO38" s="110"/>
      <c r="FP38" s="110"/>
      <c r="FQ38" s="110"/>
      <c r="FR38" s="110"/>
      <c r="FS38" s="110"/>
      <c r="FT38" s="110"/>
      <c r="FU38" s="110"/>
      <c r="FV38" s="110"/>
      <c r="FW38" s="110"/>
      <c r="FX38" s="110"/>
      <c r="FY38" s="110"/>
      <c r="FZ38" s="110"/>
      <c r="GA38" s="110"/>
      <c r="GB38" s="110"/>
      <c r="GC38" s="110"/>
      <c r="GD38" s="110"/>
      <c r="GE38" s="110"/>
      <c r="GF38" s="110"/>
      <c r="GG38" s="110"/>
      <c r="GH38" s="110"/>
      <c r="GI38" s="110"/>
      <c r="GJ38" s="110"/>
      <c r="GK38" s="110"/>
      <c r="GL38" s="110"/>
      <c r="GM38" s="110"/>
      <c r="GN38" s="110"/>
      <c r="GO38" s="110"/>
      <c r="GP38" s="110"/>
      <c r="GQ38" s="110"/>
      <c r="GR38" s="110"/>
      <c r="GS38" s="110"/>
      <c r="GT38" s="110"/>
      <c r="GU38" s="110"/>
      <c r="GV38" s="110"/>
      <c r="GW38" s="110"/>
      <c r="GX38" s="110"/>
      <c r="GY38" s="110"/>
      <c r="GZ38" s="110"/>
      <c r="HA38" s="110"/>
      <c r="HB38" s="110"/>
      <c r="HC38" s="110"/>
      <c r="HD38" s="110"/>
      <c r="HE38" s="110"/>
      <c r="HF38" s="110"/>
      <c r="HG38" s="110"/>
      <c r="HH38" s="110"/>
      <c r="HI38" s="110"/>
      <c r="HJ38" s="110"/>
      <c r="HK38" s="110"/>
      <c r="HL38" s="110"/>
      <c r="HM38" s="110"/>
      <c r="HN38" s="110"/>
      <c r="HO38" s="110"/>
      <c r="HP38" s="110"/>
      <c r="HQ38" s="110"/>
      <c r="HR38" s="110"/>
      <c r="HS38" s="110"/>
      <c r="HT38" s="110"/>
      <c r="HU38" s="110"/>
      <c r="HV38" s="110"/>
      <c r="HW38" s="110"/>
      <c r="HX38" s="110"/>
      <c r="HY38" s="110"/>
      <c r="HZ38" s="110"/>
      <c r="IA38" s="110"/>
      <c r="IB38" s="110"/>
      <c r="IC38" s="110"/>
      <c r="ID38" s="110"/>
      <c r="IE38" s="110"/>
      <c r="IF38" s="110"/>
      <c r="IG38" s="110"/>
      <c r="IH38" s="110"/>
      <c r="II38" s="110"/>
      <c r="IJ38" s="110"/>
      <c r="IK38" s="110"/>
      <c r="IL38" s="110"/>
      <c r="IM38" s="110"/>
      <c r="IN38" s="110"/>
      <c r="IO38" s="110"/>
      <c r="IP38" s="110"/>
      <c r="IQ38" s="110"/>
      <c r="IR38" s="110"/>
      <c r="IS38" s="110"/>
      <c r="IT38" s="110"/>
      <c r="IU38" s="110"/>
      <c r="IV38" s="110"/>
      <c r="IW38" s="110"/>
    </row>
    <row r="39" spans="1:257" ht="15" thickBot="1" x14ac:dyDescent="0.35">
      <c r="A39" s="156"/>
      <c r="B39" s="115" t="str">
        <f>'Parameter Values'!B193</f>
        <v>c_SB</v>
      </c>
      <c r="C39" s="168">
        <f>'Parameter Values'!D193</f>
        <v>-240752.1800822556</v>
      </c>
      <c r="D39" s="169">
        <f>'Parameter Values'!F193</f>
        <v>-240829.0325691406</v>
      </c>
      <c r="E39" s="170">
        <f t="shared" si="0"/>
        <v>76.852486885007238</v>
      </c>
      <c r="F39" s="156"/>
      <c r="G39" s="156"/>
      <c r="H39" s="156"/>
      <c r="I39" s="181" t="s">
        <v>751</v>
      </c>
      <c r="J39" s="168">
        <v>-241309.06965962469</v>
      </c>
      <c r="K39" s="173">
        <v>-240858.76100751871</v>
      </c>
      <c r="L39" s="170">
        <v>450.30865210597403</v>
      </c>
      <c r="M39" s="156"/>
      <c r="N39" s="156"/>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c r="CY39" s="110"/>
      <c r="CZ39" s="110"/>
      <c r="DA39" s="110"/>
      <c r="DB39" s="110"/>
      <c r="DC39" s="110"/>
      <c r="DD39" s="110"/>
      <c r="DE39" s="110"/>
      <c r="DF39" s="110"/>
      <c r="DG39" s="110"/>
      <c r="DH39" s="110"/>
      <c r="DI39" s="110"/>
      <c r="DJ39" s="110"/>
      <c r="DK39" s="110"/>
      <c r="DL39" s="110"/>
      <c r="DM39" s="110"/>
      <c r="DN39" s="110"/>
      <c r="DO39" s="110"/>
      <c r="DP39" s="110"/>
      <c r="DQ39" s="110"/>
      <c r="DR39" s="110"/>
      <c r="DS39" s="110"/>
      <c r="DT39" s="110"/>
      <c r="DU39" s="110"/>
      <c r="DV39" s="110"/>
      <c r="DW39" s="110"/>
      <c r="DX39" s="110"/>
      <c r="DY39" s="110"/>
      <c r="DZ39" s="110"/>
      <c r="EA39" s="110"/>
      <c r="EB39" s="110"/>
      <c r="EC39" s="110"/>
      <c r="ED39" s="110"/>
      <c r="EE39" s="110"/>
      <c r="EF39" s="110"/>
      <c r="EG39" s="110"/>
      <c r="EH39" s="110"/>
      <c r="EI39" s="110"/>
      <c r="EJ39" s="110"/>
      <c r="EK39" s="110"/>
      <c r="EL39" s="110"/>
      <c r="EM39" s="110"/>
      <c r="EN39" s="110"/>
      <c r="EO39" s="110"/>
      <c r="EP39" s="110"/>
      <c r="EQ39" s="110"/>
      <c r="ER39" s="110"/>
      <c r="ES39" s="110"/>
      <c r="ET39" s="110"/>
      <c r="EU39" s="110"/>
      <c r="EV39" s="110"/>
      <c r="EW39" s="110"/>
      <c r="EX39" s="110"/>
      <c r="EY39" s="110"/>
      <c r="EZ39" s="110"/>
      <c r="FA39" s="110"/>
      <c r="FB39" s="110"/>
      <c r="FC39" s="110"/>
      <c r="FD39" s="110"/>
      <c r="FE39" s="110"/>
      <c r="FF39" s="110"/>
      <c r="FG39" s="110"/>
      <c r="FH39" s="110"/>
      <c r="FI39" s="110"/>
      <c r="FJ39" s="110"/>
      <c r="FK39" s="110"/>
      <c r="FL39" s="110"/>
      <c r="FM39" s="110"/>
      <c r="FN39" s="110"/>
      <c r="FO39" s="110"/>
      <c r="FP39" s="110"/>
      <c r="FQ39" s="110"/>
      <c r="FR39" s="110"/>
      <c r="FS39" s="110"/>
      <c r="FT39" s="110"/>
      <c r="FU39" s="110"/>
      <c r="FV39" s="110"/>
      <c r="FW39" s="110"/>
      <c r="FX39" s="110"/>
      <c r="FY39" s="110"/>
      <c r="FZ39" s="110"/>
      <c r="GA39" s="110"/>
      <c r="GB39" s="110"/>
      <c r="GC39" s="110"/>
      <c r="GD39" s="110"/>
      <c r="GE39" s="110"/>
      <c r="GF39" s="110"/>
      <c r="GG39" s="110"/>
      <c r="GH39" s="110"/>
      <c r="GI39" s="110"/>
      <c r="GJ39" s="110"/>
      <c r="GK39" s="110"/>
      <c r="GL39" s="110"/>
      <c r="GM39" s="110"/>
      <c r="GN39" s="110"/>
      <c r="GO39" s="110"/>
      <c r="GP39" s="110"/>
      <c r="GQ39" s="110"/>
      <c r="GR39" s="110"/>
      <c r="GS39" s="110"/>
      <c r="GT39" s="110"/>
      <c r="GU39" s="110"/>
      <c r="GV39" s="110"/>
      <c r="GW39" s="110"/>
      <c r="GX39" s="110"/>
      <c r="GY39" s="110"/>
      <c r="GZ39" s="110"/>
      <c r="HA39" s="110"/>
      <c r="HB39" s="110"/>
      <c r="HC39" s="110"/>
      <c r="HD39" s="110"/>
      <c r="HE39" s="110"/>
      <c r="HF39" s="110"/>
      <c r="HG39" s="110"/>
      <c r="HH39" s="110"/>
      <c r="HI39" s="110"/>
      <c r="HJ39" s="110"/>
      <c r="HK39" s="110"/>
      <c r="HL39" s="110"/>
      <c r="HM39" s="110"/>
      <c r="HN39" s="110"/>
      <c r="HO39" s="110"/>
      <c r="HP39" s="110"/>
      <c r="HQ39" s="110"/>
      <c r="HR39" s="110"/>
      <c r="HS39" s="110"/>
      <c r="HT39" s="110"/>
      <c r="HU39" s="110"/>
      <c r="HV39" s="110"/>
      <c r="HW39" s="110"/>
      <c r="HX39" s="110"/>
      <c r="HY39" s="110"/>
      <c r="HZ39" s="110"/>
      <c r="IA39" s="110"/>
      <c r="IB39" s="110"/>
      <c r="IC39" s="110"/>
      <c r="ID39" s="110"/>
      <c r="IE39" s="110"/>
      <c r="IF39" s="110"/>
      <c r="IG39" s="110"/>
      <c r="IH39" s="110"/>
      <c r="II39" s="110"/>
      <c r="IJ39" s="110"/>
      <c r="IK39" s="110"/>
      <c r="IL39" s="110"/>
      <c r="IM39" s="110"/>
      <c r="IN39" s="110"/>
      <c r="IO39" s="110"/>
      <c r="IP39" s="110"/>
      <c r="IQ39" s="110"/>
      <c r="IR39" s="110"/>
      <c r="IS39" s="110"/>
      <c r="IT39" s="110"/>
      <c r="IU39" s="110"/>
      <c r="IV39" s="110"/>
      <c r="IW39" s="110"/>
    </row>
    <row r="40" spans="1:257" ht="15" thickBot="1" x14ac:dyDescent="0.35">
      <c r="A40" s="156"/>
      <c r="B40" s="115" t="str">
        <f>'Parameter Values'!B194</f>
        <v>c_RDS</v>
      </c>
      <c r="C40" s="168">
        <f>'Parameter Values'!D194</f>
        <v>-238793.07291064164</v>
      </c>
      <c r="D40" s="169">
        <f>'Parameter Values'!F194</f>
        <v>-242654.9708464171</v>
      </c>
      <c r="E40" s="170">
        <f t="shared" si="0"/>
        <v>3861.8979357754579</v>
      </c>
      <c r="F40" s="156"/>
      <c r="G40" s="156"/>
      <c r="H40" s="156"/>
      <c r="I40" s="174" t="s">
        <v>286</v>
      </c>
      <c r="J40" s="168">
        <v>-241003.02875021641</v>
      </c>
      <c r="K40" s="169">
        <v>-241208.32763723488</v>
      </c>
      <c r="L40" s="170">
        <v>205.29888701846357</v>
      </c>
      <c r="M40" s="156"/>
      <c r="N40" s="156"/>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c r="CY40" s="110"/>
      <c r="CZ40" s="110"/>
      <c r="DA40" s="110"/>
      <c r="DB40" s="110"/>
      <c r="DC40" s="110"/>
      <c r="DD40" s="110"/>
      <c r="DE40" s="110"/>
      <c r="DF40" s="110"/>
      <c r="DG40" s="110"/>
      <c r="DH40" s="110"/>
      <c r="DI40" s="110"/>
      <c r="DJ40" s="110"/>
      <c r="DK40" s="110"/>
      <c r="DL40" s="110"/>
      <c r="DM40" s="110"/>
      <c r="DN40" s="110"/>
      <c r="DO40" s="110"/>
      <c r="DP40" s="110"/>
      <c r="DQ40" s="110"/>
      <c r="DR40" s="110"/>
      <c r="DS40" s="110"/>
      <c r="DT40" s="110"/>
      <c r="DU40" s="110"/>
      <c r="DV40" s="110"/>
      <c r="DW40" s="110"/>
      <c r="DX40" s="110"/>
      <c r="DY40" s="110"/>
      <c r="DZ40" s="110"/>
      <c r="EA40" s="110"/>
      <c r="EB40" s="110"/>
      <c r="EC40" s="110"/>
      <c r="ED40" s="110"/>
      <c r="EE40" s="110"/>
      <c r="EF40" s="110"/>
      <c r="EG40" s="110"/>
      <c r="EH40" s="110"/>
      <c r="EI40" s="110"/>
      <c r="EJ40" s="110"/>
      <c r="EK40" s="110"/>
      <c r="EL40" s="110"/>
      <c r="EM40" s="110"/>
      <c r="EN40" s="110"/>
      <c r="EO40" s="110"/>
      <c r="EP40" s="110"/>
      <c r="EQ40" s="110"/>
      <c r="ER40" s="110"/>
      <c r="ES40" s="110"/>
      <c r="ET40" s="110"/>
      <c r="EU40" s="110"/>
      <c r="EV40" s="110"/>
      <c r="EW40" s="110"/>
      <c r="EX40" s="110"/>
      <c r="EY40" s="110"/>
      <c r="EZ40" s="110"/>
      <c r="FA40" s="110"/>
      <c r="FB40" s="110"/>
      <c r="FC40" s="110"/>
      <c r="FD40" s="110"/>
      <c r="FE40" s="110"/>
      <c r="FF40" s="110"/>
      <c r="FG40" s="110"/>
      <c r="FH40" s="110"/>
      <c r="FI40" s="110"/>
      <c r="FJ40" s="110"/>
      <c r="FK40" s="110"/>
      <c r="FL40" s="110"/>
      <c r="FM40" s="110"/>
      <c r="FN40" s="110"/>
      <c r="FO40" s="110"/>
      <c r="FP40" s="110"/>
      <c r="FQ40" s="110"/>
      <c r="FR40" s="110"/>
      <c r="FS40" s="110"/>
      <c r="FT40" s="110"/>
      <c r="FU40" s="110"/>
      <c r="FV40" s="110"/>
      <c r="FW40" s="110"/>
      <c r="FX40" s="110"/>
      <c r="FY40" s="110"/>
      <c r="FZ40" s="110"/>
      <c r="GA40" s="110"/>
      <c r="GB40" s="110"/>
      <c r="GC40" s="110"/>
      <c r="GD40" s="110"/>
      <c r="GE40" s="110"/>
      <c r="GF40" s="110"/>
      <c r="GG40" s="110"/>
      <c r="GH40" s="110"/>
      <c r="GI40" s="110"/>
      <c r="GJ40" s="110"/>
      <c r="GK40" s="110"/>
      <c r="GL40" s="110"/>
      <c r="GM40" s="110"/>
      <c r="GN40" s="110"/>
      <c r="GO40" s="110"/>
      <c r="GP40" s="110"/>
      <c r="GQ40" s="110"/>
      <c r="GR40" s="110"/>
      <c r="GS40" s="110"/>
      <c r="GT40" s="110"/>
      <c r="GU40" s="110"/>
      <c r="GV40" s="110"/>
      <c r="GW40" s="110"/>
      <c r="GX40" s="110"/>
      <c r="GY40" s="110"/>
      <c r="GZ40" s="110"/>
      <c r="HA40" s="110"/>
      <c r="HB40" s="110"/>
      <c r="HC40" s="110"/>
      <c r="HD40" s="110"/>
      <c r="HE40" s="110"/>
      <c r="HF40" s="110"/>
      <c r="HG40" s="110"/>
      <c r="HH40" s="110"/>
      <c r="HI40" s="110"/>
      <c r="HJ40" s="110"/>
      <c r="HK40" s="110"/>
      <c r="HL40" s="110"/>
      <c r="HM40" s="110"/>
      <c r="HN40" s="110"/>
      <c r="HO40" s="110"/>
      <c r="HP40" s="110"/>
      <c r="HQ40" s="110"/>
      <c r="HR40" s="110"/>
      <c r="HS40" s="110"/>
      <c r="HT40" s="110"/>
      <c r="HU40" s="110"/>
      <c r="HV40" s="110"/>
      <c r="HW40" s="110"/>
      <c r="HX40" s="110"/>
      <c r="HY40" s="110"/>
      <c r="HZ40" s="110"/>
      <c r="IA40" s="110"/>
      <c r="IB40" s="110"/>
      <c r="IC40" s="110"/>
      <c r="ID40" s="110"/>
      <c r="IE40" s="110"/>
      <c r="IF40" s="110"/>
      <c r="IG40" s="110"/>
      <c r="IH40" s="110"/>
      <c r="II40" s="110"/>
      <c r="IJ40" s="110"/>
      <c r="IK40" s="110"/>
      <c r="IL40" s="110"/>
      <c r="IM40" s="110"/>
      <c r="IN40" s="110"/>
      <c r="IO40" s="110"/>
      <c r="IP40" s="110"/>
      <c r="IQ40" s="110"/>
      <c r="IR40" s="110"/>
      <c r="IS40" s="110"/>
      <c r="IT40" s="110"/>
      <c r="IU40" s="110"/>
      <c r="IV40" s="110"/>
      <c r="IW40" s="110"/>
    </row>
    <row r="41" spans="1:257" ht="15" thickBot="1" x14ac:dyDescent="0.35">
      <c r="A41" s="156"/>
      <c r="B41" s="115" t="str">
        <f>'Parameter Values'!B195</f>
        <v>c_hypo</v>
      </c>
      <c r="C41" s="168">
        <f>'Parameter Values'!D195</f>
        <v>-240468.54258140089</v>
      </c>
      <c r="D41" s="169">
        <f>'Parameter Values'!F195</f>
        <v>-241112.67006999487</v>
      </c>
      <c r="E41" s="170">
        <f t="shared" si="0"/>
        <v>644.12748859397834</v>
      </c>
      <c r="F41" s="156"/>
      <c r="G41" s="156"/>
      <c r="H41" s="156"/>
      <c r="I41" s="181" t="s">
        <v>280</v>
      </c>
      <c r="J41" s="168">
        <v>-241020.89164488798</v>
      </c>
      <c r="K41" s="173">
        <v>-241191.65560220671</v>
      </c>
      <c r="L41" s="170">
        <v>170.76395731873345</v>
      </c>
      <c r="M41" s="156"/>
      <c r="N41" s="156"/>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c r="CY41" s="110"/>
      <c r="CZ41" s="110"/>
      <c r="DA41" s="110"/>
      <c r="DB41" s="110"/>
      <c r="DC41" s="110"/>
      <c r="DD41" s="110"/>
      <c r="DE41" s="110"/>
      <c r="DF41" s="110"/>
      <c r="DG41" s="110"/>
      <c r="DH41" s="110"/>
      <c r="DI41" s="110"/>
      <c r="DJ41" s="110"/>
      <c r="DK41" s="110"/>
      <c r="DL41" s="110"/>
      <c r="DM41" s="110"/>
      <c r="DN41" s="110"/>
      <c r="DO41" s="110"/>
      <c r="DP41" s="110"/>
      <c r="DQ41" s="110"/>
      <c r="DR41" s="110"/>
      <c r="DS41" s="110"/>
      <c r="DT41" s="110"/>
      <c r="DU41" s="110"/>
      <c r="DV41" s="110"/>
      <c r="DW41" s="110"/>
      <c r="DX41" s="110"/>
      <c r="DY41" s="110"/>
      <c r="DZ41" s="110"/>
      <c r="EA41" s="110"/>
      <c r="EB41" s="110"/>
      <c r="EC41" s="110"/>
      <c r="ED41" s="110"/>
      <c r="EE41" s="110"/>
      <c r="EF41" s="110"/>
      <c r="EG41" s="110"/>
      <c r="EH41" s="110"/>
      <c r="EI41" s="110"/>
      <c r="EJ41" s="110"/>
      <c r="EK41" s="110"/>
      <c r="EL41" s="110"/>
      <c r="EM41" s="110"/>
      <c r="EN41" s="110"/>
      <c r="EO41" s="110"/>
      <c r="EP41" s="110"/>
      <c r="EQ41" s="110"/>
      <c r="ER41" s="110"/>
      <c r="ES41" s="110"/>
      <c r="ET41" s="110"/>
      <c r="EU41" s="110"/>
      <c r="EV41" s="110"/>
      <c r="EW41" s="110"/>
      <c r="EX41" s="110"/>
      <c r="EY41" s="110"/>
      <c r="EZ41" s="110"/>
      <c r="FA41" s="110"/>
      <c r="FB41" s="110"/>
      <c r="FC41" s="110"/>
      <c r="FD41" s="110"/>
      <c r="FE41" s="110"/>
      <c r="FF41" s="110"/>
      <c r="FG41" s="110"/>
      <c r="FH41" s="110"/>
      <c r="FI41" s="110"/>
      <c r="FJ41" s="110"/>
      <c r="FK41" s="110"/>
      <c r="FL41" s="110"/>
      <c r="FM41" s="110"/>
      <c r="FN41" s="110"/>
      <c r="FO41" s="110"/>
      <c r="FP41" s="110"/>
      <c r="FQ41" s="110"/>
      <c r="FR41" s="110"/>
      <c r="FS41" s="110"/>
      <c r="FT41" s="110"/>
      <c r="FU41" s="110"/>
      <c r="FV41" s="110"/>
      <c r="FW41" s="110"/>
      <c r="FX41" s="110"/>
      <c r="FY41" s="110"/>
      <c r="FZ41" s="110"/>
      <c r="GA41" s="110"/>
      <c r="GB41" s="110"/>
      <c r="GC41" s="110"/>
      <c r="GD41" s="110"/>
      <c r="GE41" s="110"/>
      <c r="GF41" s="110"/>
      <c r="GG41" s="110"/>
      <c r="GH41" s="110"/>
      <c r="GI41" s="110"/>
      <c r="GJ41" s="110"/>
      <c r="GK41" s="110"/>
      <c r="GL41" s="110"/>
      <c r="GM41" s="110"/>
      <c r="GN41" s="110"/>
      <c r="GO41" s="110"/>
      <c r="GP41" s="110"/>
      <c r="GQ41" s="110"/>
      <c r="GR41" s="110"/>
      <c r="GS41" s="110"/>
      <c r="GT41" s="110"/>
      <c r="GU41" s="110"/>
      <c r="GV41" s="110"/>
      <c r="GW41" s="110"/>
      <c r="GX41" s="110"/>
      <c r="GY41" s="110"/>
      <c r="GZ41" s="110"/>
      <c r="HA41" s="110"/>
      <c r="HB41" s="110"/>
      <c r="HC41" s="110"/>
      <c r="HD41" s="110"/>
      <c r="HE41" s="110"/>
      <c r="HF41" s="110"/>
      <c r="HG41" s="110"/>
      <c r="HH41" s="110"/>
      <c r="HI41" s="110"/>
      <c r="HJ41" s="110"/>
      <c r="HK41" s="110"/>
      <c r="HL41" s="110"/>
      <c r="HM41" s="110"/>
      <c r="HN41" s="110"/>
      <c r="HO41" s="110"/>
      <c r="HP41" s="110"/>
      <c r="HQ41" s="110"/>
      <c r="HR41" s="110"/>
      <c r="HS41" s="110"/>
      <c r="HT41" s="110"/>
      <c r="HU41" s="110"/>
      <c r="HV41" s="110"/>
      <c r="HW41" s="110"/>
      <c r="HX41" s="110"/>
      <c r="HY41" s="110"/>
      <c r="HZ41" s="110"/>
      <c r="IA41" s="110"/>
      <c r="IB41" s="110"/>
      <c r="IC41" s="110"/>
      <c r="ID41" s="110"/>
      <c r="IE41" s="110"/>
      <c r="IF41" s="110"/>
      <c r="IG41" s="110"/>
      <c r="IH41" s="110"/>
      <c r="II41" s="110"/>
      <c r="IJ41" s="110"/>
      <c r="IK41" s="110"/>
      <c r="IL41" s="110"/>
      <c r="IM41" s="110"/>
      <c r="IN41" s="110"/>
      <c r="IO41" s="110"/>
      <c r="IP41" s="110"/>
      <c r="IQ41" s="110"/>
      <c r="IR41" s="110"/>
      <c r="IS41" s="110"/>
      <c r="IT41" s="110"/>
      <c r="IU41" s="110"/>
      <c r="IV41" s="110"/>
      <c r="IW41" s="110"/>
    </row>
    <row r="42" spans="1:257" ht="15" thickBot="1" x14ac:dyDescent="0.35">
      <c r="A42" s="156"/>
      <c r="B42" s="115" t="str">
        <f>'Parameter Values'!B196</f>
        <v xml:space="preserve">c_lung </v>
      </c>
      <c r="C42" s="168">
        <f>'Parameter Values'!D196</f>
        <v>-235504.46267890817</v>
      </c>
      <c r="D42" s="169">
        <f>'Parameter Values'!F196</f>
        <v>-245724.34039603596</v>
      </c>
      <c r="E42" s="170">
        <f t="shared" si="0"/>
        <v>10219.877717127791</v>
      </c>
      <c r="F42" s="156"/>
      <c r="G42" s="156"/>
      <c r="H42" s="156"/>
      <c r="I42" s="181" t="s">
        <v>279</v>
      </c>
      <c r="J42" s="168">
        <v>-241164.80625230868</v>
      </c>
      <c r="K42" s="173">
        <v>-241057.33530194915</v>
      </c>
      <c r="L42" s="170">
        <v>107.4709503595368</v>
      </c>
      <c r="M42" s="156"/>
      <c r="N42" s="156"/>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c r="CY42" s="110"/>
      <c r="CZ42" s="110"/>
      <c r="DA42" s="110"/>
      <c r="DB42" s="110"/>
      <c r="DC42" s="110"/>
      <c r="DD42" s="110"/>
      <c r="DE42" s="110"/>
      <c r="DF42" s="110"/>
      <c r="DG42" s="110"/>
      <c r="DH42" s="110"/>
      <c r="DI42" s="110"/>
      <c r="DJ42" s="110"/>
      <c r="DK42" s="110"/>
      <c r="DL42" s="110"/>
      <c r="DM42" s="110"/>
      <c r="DN42" s="110"/>
      <c r="DO42" s="110"/>
      <c r="DP42" s="110"/>
      <c r="DQ42" s="110"/>
      <c r="DR42" s="110"/>
      <c r="DS42" s="110"/>
      <c r="DT42" s="110"/>
      <c r="DU42" s="110"/>
      <c r="DV42" s="110"/>
      <c r="DW42" s="110"/>
      <c r="DX42" s="110"/>
      <c r="DY42" s="110"/>
      <c r="DZ42" s="110"/>
      <c r="EA42" s="110"/>
      <c r="EB42" s="110"/>
      <c r="EC42" s="110"/>
      <c r="ED42" s="110"/>
      <c r="EE42" s="110"/>
      <c r="EF42" s="110"/>
      <c r="EG42" s="110"/>
      <c r="EH42" s="110"/>
      <c r="EI42" s="110"/>
      <c r="EJ42" s="110"/>
      <c r="EK42" s="110"/>
      <c r="EL42" s="110"/>
      <c r="EM42" s="110"/>
      <c r="EN42" s="110"/>
      <c r="EO42" s="110"/>
      <c r="EP42" s="110"/>
      <c r="EQ42" s="110"/>
      <c r="ER42" s="110"/>
      <c r="ES42" s="110"/>
      <c r="ET42" s="110"/>
      <c r="EU42" s="110"/>
      <c r="EV42" s="110"/>
      <c r="EW42" s="110"/>
      <c r="EX42" s="110"/>
      <c r="EY42" s="110"/>
      <c r="EZ42" s="110"/>
      <c r="FA42" s="110"/>
      <c r="FB42" s="110"/>
      <c r="FC42" s="110"/>
      <c r="FD42" s="110"/>
      <c r="FE42" s="110"/>
      <c r="FF42" s="110"/>
      <c r="FG42" s="110"/>
      <c r="FH42" s="110"/>
      <c r="FI42" s="110"/>
      <c r="FJ42" s="110"/>
      <c r="FK42" s="110"/>
      <c r="FL42" s="110"/>
      <c r="FM42" s="110"/>
      <c r="FN42" s="110"/>
      <c r="FO42" s="110"/>
      <c r="FP42" s="110"/>
      <c r="FQ42" s="110"/>
      <c r="FR42" s="110"/>
      <c r="FS42" s="110"/>
      <c r="FT42" s="110"/>
      <c r="FU42" s="110"/>
      <c r="FV42" s="110"/>
      <c r="FW42" s="110"/>
      <c r="FX42" s="110"/>
      <c r="FY42" s="110"/>
      <c r="FZ42" s="110"/>
      <c r="GA42" s="110"/>
      <c r="GB42" s="110"/>
      <c r="GC42" s="110"/>
      <c r="GD42" s="110"/>
      <c r="GE42" s="110"/>
      <c r="GF42" s="110"/>
      <c r="GG42" s="110"/>
      <c r="GH42" s="110"/>
      <c r="GI42" s="110"/>
      <c r="GJ42" s="110"/>
      <c r="GK42" s="110"/>
      <c r="GL42" s="110"/>
      <c r="GM42" s="110"/>
      <c r="GN42" s="110"/>
      <c r="GO42" s="110"/>
      <c r="GP42" s="110"/>
      <c r="GQ42" s="110"/>
      <c r="GR42" s="110"/>
      <c r="GS42" s="110"/>
      <c r="GT42" s="110"/>
      <c r="GU42" s="110"/>
      <c r="GV42" s="110"/>
      <c r="GW42" s="110"/>
      <c r="GX42" s="110"/>
      <c r="GY42" s="110"/>
      <c r="GZ42" s="110"/>
      <c r="HA42" s="110"/>
      <c r="HB42" s="110"/>
      <c r="HC42" s="110"/>
      <c r="HD42" s="110"/>
      <c r="HE42" s="110"/>
      <c r="HF42" s="110"/>
      <c r="HG42" s="110"/>
      <c r="HH42" s="110"/>
      <c r="HI42" s="110"/>
      <c r="HJ42" s="110"/>
      <c r="HK42" s="110"/>
      <c r="HL42" s="110"/>
      <c r="HM42" s="110"/>
      <c r="HN42" s="110"/>
      <c r="HO42" s="110"/>
      <c r="HP42" s="110"/>
      <c r="HQ42" s="110"/>
      <c r="HR42" s="110"/>
      <c r="HS42" s="110"/>
      <c r="HT42" s="110"/>
      <c r="HU42" s="110"/>
      <c r="HV42" s="110"/>
      <c r="HW42" s="110"/>
      <c r="HX42" s="110"/>
      <c r="HY42" s="110"/>
      <c r="HZ42" s="110"/>
      <c r="IA42" s="110"/>
      <c r="IB42" s="110"/>
      <c r="IC42" s="110"/>
      <c r="ID42" s="110"/>
      <c r="IE42" s="110"/>
      <c r="IF42" s="110"/>
      <c r="IG42" s="110"/>
      <c r="IH42" s="110"/>
      <c r="II42" s="110"/>
      <c r="IJ42" s="110"/>
      <c r="IK42" s="110"/>
      <c r="IL42" s="110"/>
      <c r="IM42" s="110"/>
      <c r="IN42" s="110"/>
      <c r="IO42" s="110"/>
      <c r="IP42" s="110"/>
      <c r="IQ42" s="110"/>
      <c r="IR42" s="110"/>
      <c r="IS42" s="110"/>
      <c r="IT42" s="110"/>
      <c r="IU42" s="110"/>
      <c r="IV42" s="110"/>
      <c r="IW42" s="110"/>
    </row>
    <row r="43" spans="1:257" ht="15" thickBot="1" x14ac:dyDescent="0.35">
      <c r="A43" s="156"/>
      <c r="B43" s="115" t="str">
        <f>'Parameter Values'!B197</f>
        <v>c_cog</v>
      </c>
      <c r="C43" s="168">
        <f>'Parameter Values'!D197</f>
        <v>-240785.67200900498</v>
      </c>
      <c r="D43" s="169">
        <f>'Parameter Values'!F197</f>
        <v>-240795.21168794471</v>
      </c>
      <c r="E43" s="170">
        <f t="shared" si="0"/>
        <v>9.5396789397345856</v>
      </c>
      <c r="F43" s="156"/>
      <c r="G43" s="156"/>
      <c r="H43" s="156"/>
      <c r="I43" s="181" t="s">
        <v>339</v>
      </c>
      <c r="J43" s="168">
        <v>-241070.48107318458</v>
      </c>
      <c r="K43" s="173">
        <v>-241147.95458623255</v>
      </c>
      <c r="L43" s="170">
        <v>77.473513047967572</v>
      </c>
      <c r="M43" s="156"/>
      <c r="N43" s="156"/>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c r="CY43" s="110"/>
      <c r="CZ43" s="110"/>
      <c r="DA43" s="110"/>
      <c r="DB43" s="110"/>
      <c r="DC43" s="110"/>
      <c r="DD43" s="110"/>
      <c r="DE43" s="110"/>
      <c r="DF43" s="110"/>
      <c r="DG43" s="110"/>
      <c r="DH43" s="110"/>
      <c r="DI43" s="110"/>
      <c r="DJ43" s="110"/>
      <c r="DK43" s="110"/>
      <c r="DL43" s="110"/>
      <c r="DM43" s="110"/>
      <c r="DN43" s="110"/>
      <c r="DO43" s="110"/>
      <c r="DP43" s="110"/>
      <c r="DQ43" s="110"/>
      <c r="DR43" s="110"/>
      <c r="DS43" s="110"/>
      <c r="DT43" s="110"/>
      <c r="DU43" s="110"/>
      <c r="DV43" s="110"/>
      <c r="DW43" s="110"/>
      <c r="DX43" s="110"/>
      <c r="DY43" s="110"/>
      <c r="DZ43" s="110"/>
      <c r="EA43" s="110"/>
      <c r="EB43" s="110"/>
      <c r="EC43" s="110"/>
      <c r="ED43" s="110"/>
      <c r="EE43" s="110"/>
      <c r="EF43" s="110"/>
      <c r="EG43" s="110"/>
      <c r="EH43" s="110"/>
      <c r="EI43" s="110"/>
      <c r="EJ43" s="110"/>
      <c r="EK43" s="110"/>
      <c r="EL43" s="110"/>
      <c r="EM43" s="110"/>
      <c r="EN43" s="110"/>
      <c r="EO43" s="110"/>
      <c r="EP43" s="110"/>
      <c r="EQ43" s="110"/>
      <c r="ER43" s="110"/>
      <c r="ES43" s="110"/>
      <c r="ET43" s="110"/>
      <c r="EU43" s="110"/>
      <c r="EV43" s="110"/>
      <c r="EW43" s="110"/>
      <c r="EX43" s="110"/>
      <c r="EY43" s="110"/>
      <c r="EZ43" s="110"/>
      <c r="FA43" s="110"/>
      <c r="FB43" s="110"/>
      <c r="FC43" s="110"/>
      <c r="FD43" s="110"/>
      <c r="FE43" s="110"/>
      <c r="FF43" s="110"/>
      <c r="FG43" s="110"/>
      <c r="FH43" s="110"/>
      <c r="FI43" s="110"/>
      <c r="FJ43" s="110"/>
      <c r="FK43" s="110"/>
      <c r="FL43" s="110"/>
      <c r="FM43" s="110"/>
      <c r="FN43" s="110"/>
      <c r="FO43" s="110"/>
      <c r="FP43" s="110"/>
      <c r="FQ43" s="110"/>
      <c r="FR43" s="110"/>
      <c r="FS43" s="110"/>
      <c r="FT43" s="110"/>
      <c r="FU43" s="110"/>
      <c r="FV43" s="110"/>
      <c r="FW43" s="110"/>
      <c r="FX43" s="110"/>
      <c r="FY43" s="110"/>
      <c r="FZ43" s="110"/>
      <c r="GA43" s="110"/>
      <c r="GB43" s="110"/>
      <c r="GC43" s="110"/>
      <c r="GD43" s="110"/>
      <c r="GE43" s="110"/>
      <c r="GF43" s="110"/>
      <c r="GG43" s="110"/>
      <c r="GH43" s="110"/>
      <c r="GI43" s="110"/>
      <c r="GJ43" s="110"/>
      <c r="GK43" s="110"/>
      <c r="GL43" s="110"/>
      <c r="GM43" s="110"/>
      <c r="GN43" s="110"/>
      <c r="GO43" s="110"/>
      <c r="GP43" s="110"/>
      <c r="GQ43" s="110"/>
      <c r="GR43" s="110"/>
      <c r="GS43" s="110"/>
      <c r="GT43" s="110"/>
      <c r="GU43" s="110"/>
      <c r="GV43" s="110"/>
      <c r="GW43" s="110"/>
      <c r="GX43" s="110"/>
      <c r="GY43" s="110"/>
      <c r="GZ43" s="110"/>
      <c r="HA43" s="110"/>
      <c r="HB43" s="110"/>
      <c r="HC43" s="110"/>
      <c r="HD43" s="110"/>
      <c r="HE43" s="110"/>
      <c r="HF43" s="110"/>
      <c r="HG43" s="110"/>
      <c r="HH43" s="110"/>
      <c r="HI43" s="110"/>
      <c r="HJ43" s="110"/>
      <c r="HK43" s="110"/>
      <c r="HL43" s="110"/>
      <c r="HM43" s="110"/>
      <c r="HN43" s="110"/>
      <c r="HO43" s="110"/>
      <c r="HP43" s="110"/>
      <c r="HQ43" s="110"/>
      <c r="HR43" s="110"/>
      <c r="HS43" s="110"/>
      <c r="HT43" s="110"/>
      <c r="HU43" s="110"/>
      <c r="HV43" s="110"/>
      <c r="HW43" s="110"/>
      <c r="HX43" s="110"/>
      <c r="HY43" s="110"/>
      <c r="HZ43" s="110"/>
      <c r="IA43" s="110"/>
      <c r="IB43" s="110"/>
      <c r="IC43" s="110"/>
      <c r="ID43" s="110"/>
      <c r="IE43" s="110"/>
      <c r="IF43" s="110"/>
      <c r="IG43" s="110"/>
      <c r="IH43" s="110"/>
      <c r="II43" s="110"/>
      <c r="IJ43" s="110"/>
      <c r="IK43" s="110"/>
      <c r="IL43" s="110"/>
      <c r="IM43" s="110"/>
      <c r="IN43" s="110"/>
      <c r="IO43" s="110"/>
      <c r="IP43" s="110"/>
      <c r="IQ43" s="110"/>
      <c r="IR43" s="110"/>
      <c r="IS43" s="110"/>
      <c r="IT43" s="110"/>
      <c r="IU43" s="110"/>
      <c r="IV43" s="110"/>
      <c r="IW43" s="110"/>
    </row>
    <row r="44" spans="1:257" ht="15" thickBot="1" x14ac:dyDescent="0.35">
      <c r="A44" s="156"/>
      <c r="B44" s="115" t="str">
        <f>'Parameter Values'!B198</f>
        <v>c_hosp fu</v>
      </c>
      <c r="C44" s="168">
        <f>'Parameter Values'!D198</f>
        <v>-240680.90605330296</v>
      </c>
      <c r="D44" s="169">
        <f>'Parameter Values'!F198</f>
        <v>-240892.99324660096</v>
      </c>
      <c r="E44" s="170">
        <f t="shared" si="0"/>
        <v>212.08719329800806</v>
      </c>
      <c r="F44" s="156"/>
      <c r="G44" s="156"/>
      <c r="H44" s="156"/>
      <c r="I44" s="174" t="s">
        <v>285</v>
      </c>
      <c r="J44" s="168">
        <v>-241104.55228414983</v>
      </c>
      <c r="K44" s="169">
        <v>-241113.57233889631</v>
      </c>
      <c r="L44" s="170">
        <v>9.020054746477399</v>
      </c>
      <c r="M44" s="156"/>
      <c r="N44" s="156"/>
      <c r="O44" s="110"/>
      <c r="P44" s="110"/>
      <c r="Q44" s="110"/>
      <c r="R44" s="110"/>
      <c r="S44" s="110"/>
      <c r="T44" s="110"/>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c r="CY44" s="110"/>
      <c r="CZ44" s="110"/>
      <c r="DA44" s="110"/>
      <c r="DB44" s="110"/>
      <c r="DC44" s="110"/>
      <c r="DD44" s="110"/>
      <c r="DE44" s="110"/>
      <c r="DF44" s="110"/>
      <c r="DG44" s="110"/>
      <c r="DH44" s="110"/>
      <c r="DI44" s="110"/>
      <c r="DJ44" s="110"/>
      <c r="DK44" s="110"/>
      <c r="DL44" s="110"/>
      <c r="DM44" s="110"/>
      <c r="DN44" s="110"/>
      <c r="DO44" s="110"/>
      <c r="DP44" s="110"/>
      <c r="DQ44" s="110"/>
      <c r="DR44" s="110"/>
      <c r="DS44" s="110"/>
      <c r="DT44" s="110"/>
      <c r="DU44" s="110"/>
      <c r="DV44" s="110"/>
      <c r="DW44" s="110"/>
      <c r="DX44" s="110"/>
      <c r="DY44" s="110"/>
      <c r="DZ44" s="110"/>
      <c r="EA44" s="110"/>
      <c r="EB44" s="110"/>
      <c r="EC44" s="110"/>
      <c r="ED44" s="110"/>
      <c r="EE44" s="110"/>
      <c r="EF44" s="110"/>
      <c r="EG44" s="110"/>
      <c r="EH44" s="110"/>
      <c r="EI44" s="110"/>
      <c r="EJ44" s="110"/>
      <c r="EK44" s="110"/>
      <c r="EL44" s="110"/>
      <c r="EM44" s="110"/>
      <c r="EN44" s="110"/>
      <c r="EO44" s="110"/>
      <c r="EP44" s="110"/>
      <c r="EQ44" s="110"/>
      <c r="ER44" s="110"/>
      <c r="ES44" s="110"/>
      <c r="ET44" s="110"/>
      <c r="EU44" s="110"/>
      <c r="EV44" s="110"/>
      <c r="EW44" s="110"/>
      <c r="EX44" s="110"/>
      <c r="EY44" s="110"/>
      <c r="EZ44" s="110"/>
      <c r="FA44" s="110"/>
      <c r="FB44" s="110"/>
      <c r="FC44" s="110"/>
      <c r="FD44" s="110"/>
      <c r="FE44" s="110"/>
      <c r="FF44" s="110"/>
      <c r="FG44" s="110"/>
      <c r="FH44" s="110"/>
      <c r="FI44" s="110"/>
      <c r="FJ44" s="110"/>
      <c r="FK44" s="110"/>
      <c r="FL44" s="110"/>
      <c r="FM44" s="110"/>
      <c r="FN44" s="110"/>
      <c r="FO44" s="110"/>
      <c r="FP44" s="110"/>
      <c r="FQ44" s="110"/>
      <c r="FR44" s="110"/>
      <c r="FS44" s="110"/>
      <c r="FT44" s="110"/>
      <c r="FU44" s="110"/>
      <c r="FV44" s="110"/>
      <c r="FW44" s="110"/>
      <c r="FX44" s="110"/>
      <c r="FY44" s="110"/>
      <c r="FZ44" s="110"/>
      <c r="GA44" s="110"/>
      <c r="GB44" s="110"/>
      <c r="GC44" s="110"/>
      <c r="GD44" s="110"/>
      <c r="GE44" s="110"/>
      <c r="GF44" s="110"/>
      <c r="GG44" s="110"/>
      <c r="GH44" s="110"/>
      <c r="GI44" s="110"/>
      <c r="GJ44" s="110"/>
      <c r="GK44" s="110"/>
      <c r="GL44" s="110"/>
      <c r="GM44" s="110"/>
      <c r="GN44" s="110"/>
      <c r="GO44" s="110"/>
      <c r="GP44" s="110"/>
      <c r="GQ44" s="110"/>
      <c r="GR44" s="110"/>
      <c r="GS44" s="110"/>
      <c r="GT44" s="110"/>
      <c r="GU44" s="110"/>
      <c r="GV44" s="110"/>
      <c r="GW44" s="110"/>
      <c r="GX44" s="110"/>
      <c r="GY44" s="110"/>
      <c r="GZ44" s="110"/>
      <c r="HA44" s="110"/>
      <c r="HB44" s="110"/>
      <c r="HC44" s="110"/>
      <c r="HD44" s="110"/>
      <c r="HE44" s="110"/>
      <c r="HF44" s="110"/>
      <c r="HG44" s="110"/>
      <c r="HH44" s="110"/>
      <c r="HI44" s="110"/>
      <c r="HJ44" s="110"/>
      <c r="HK44" s="110"/>
      <c r="HL44" s="110"/>
      <c r="HM44" s="110"/>
      <c r="HN44" s="110"/>
      <c r="HO44" s="110"/>
      <c r="HP44" s="110"/>
      <c r="HQ44" s="110"/>
      <c r="HR44" s="110"/>
      <c r="HS44" s="110"/>
      <c r="HT44" s="110"/>
      <c r="HU44" s="110"/>
      <c r="HV44" s="110"/>
      <c r="HW44" s="110"/>
      <c r="HX44" s="110"/>
      <c r="HY44" s="110"/>
      <c r="HZ44" s="110"/>
      <c r="IA44" s="110"/>
      <c r="IB44" s="110"/>
      <c r="IC44" s="110"/>
      <c r="ID44" s="110"/>
      <c r="IE44" s="110"/>
      <c r="IF44" s="110"/>
      <c r="IG44" s="110"/>
      <c r="IH44" s="110"/>
      <c r="II44" s="110"/>
      <c r="IJ44" s="110"/>
      <c r="IK44" s="110"/>
      <c r="IL44" s="110"/>
      <c r="IM44" s="110"/>
      <c r="IN44" s="110"/>
      <c r="IO44" s="110"/>
      <c r="IP44" s="110"/>
      <c r="IQ44" s="110"/>
      <c r="IR44" s="110"/>
      <c r="IS44" s="110"/>
      <c r="IT44" s="110"/>
      <c r="IU44" s="110"/>
      <c r="IV44" s="110"/>
      <c r="IW44" s="110"/>
    </row>
    <row r="45" spans="1:257" x14ac:dyDescent="0.3">
      <c r="A45" s="156"/>
      <c r="B45" s="115" t="str">
        <f>'Parameter Values'!B199</f>
        <v>c_clinic fu</v>
      </c>
      <c r="C45" s="168">
        <f>'Parameter Values'!D199</f>
        <v>-241269.46960387906</v>
      </c>
      <c r="D45" s="169">
        <f>'Parameter Values'!F199</f>
        <v>-240343.66726606304</v>
      </c>
      <c r="E45" s="170">
        <f t="shared" si="0"/>
        <v>925.80233781601419</v>
      </c>
      <c r="F45" s="156"/>
      <c r="G45" s="156"/>
      <c r="H45" s="156"/>
      <c r="I45" s="174" t="s">
        <v>739</v>
      </c>
      <c r="J45" s="168">
        <v>-241347.863919008</v>
      </c>
      <c r="K45" s="169">
        <v>-241347.863919008</v>
      </c>
      <c r="L45" s="170">
        <v>0</v>
      </c>
      <c r="M45" s="156"/>
      <c r="N45" s="156"/>
      <c r="O45" s="110"/>
      <c r="P45" s="110"/>
      <c r="Q45" s="110"/>
      <c r="R45" s="110"/>
      <c r="S45" s="110"/>
      <c r="T45" s="110"/>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c r="CY45" s="110"/>
      <c r="CZ45" s="110"/>
      <c r="DA45" s="110"/>
      <c r="DB45" s="110"/>
      <c r="DC45" s="110"/>
      <c r="DD45" s="110"/>
      <c r="DE45" s="110"/>
      <c r="DF45" s="110"/>
      <c r="DG45" s="110"/>
      <c r="DH45" s="110"/>
      <c r="DI45" s="110"/>
      <c r="DJ45" s="110"/>
      <c r="DK45" s="110"/>
      <c r="DL45" s="110"/>
      <c r="DM45" s="110"/>
      <c r="DN45" s="110"/>
      <c r="DO45" s="110"/>
      <c r="DP45" s="110"/>
      <c r="DQ45" s="110"/>
      <c r="DR45" s="110"/>
      <c r="DS45" s="110"/>
      <c r="DT45" s="110"/>
      <c r="DU45" s="110"/>
      <c r="DV45" s="110"/>
      <c r="DW45" s="110"/>
      <c r="DX45" s="110"/>
      <c r="DY45" s="110"/>
      <c r="DZ45" s="110"/>
      <c r="EA45" s="110"/>
      <c r="EB45" s="110"/>
      <c r="EC45" s="110"/>
      <c r="ED45" s="110"/>
      <c r="EE45" s="110"/>
      <c r="EF45" s="110"/>
      <c r="EG45" s="110"/>
      <c r="EH45" s="110"/>
      <c r="EI45" s="110"/>
      <c r="EJ45" s="110"/>
      <c r="EK45" s="110"/>
      <c r="EL45" s="110"/>
      <c r="EM45" s="110"/>
      <c r="EN45" s="110"/>
      <c r="EO45" s="110"/>
      <c r="EP45" s="110"/>
      <c r="EQ45" s="110"/>
      <c r="ER45" s="110"/>
      <c r="ES45" s="110"/>
      <c r="ET45" s="110"/>
      <c r="EU45" s="110"/>
      <c r="EV45" s="110"/>
      <c r="EW45" s="110"/>
      <c r="EX45" s="110"/>
      <c r="EY45" s="110"/>
      <c r="EZ45" s="110"/>
      <c r="FA45" s="110"/>
      <c r="FB45" s="110"/>
      <c r="FC45" s="110"/>
      <c r="FD45" s="110"/>
      <c r="FE45" s="110"/>
      <c r="FF45" s="110"/>
      <c r="FG45" s="110"/>
      <c r="FH45" s="110"/>
      <c r="FI45" s="110"/>
      <c r="FJ45" s="110"/>
      <c r="FK45" s="110"/>
      <c r="FL45" s="110"/>
      <c r="FM45" s="110"/>
      <c r="FN45" s="110"/>
      <c r="FO45" s="110"/>
      <c r="FP45" s="110"/>
      <c r="FQ45" s="110"/>
      <c r="FR45" s="110"/>
      <c r="FS45" s="110"/>
      <c r="FT45" s="110"/>
      <c r="FU45" s="110"/>
      <c r="FV45" s="110"/>
      <c r="FW45" s="110"/>
      <c r="FX45" s="110"/>
      <c r="FY45" s="110"/>
      <c r="FZ45" s="110"/>
      <c r="GA45" s="110"/>
      <c r="GB45" s="110"/>
      <c r="GC45" s="110"/>
      <c r="GD45" s="110"/>
      <c r="GE45" s="110"/>
      <c r="GF45" s="110"/>
      <c r="GG45" s="110"/>
      <c r="GH45" s="110"/>
      <c r="GI45" s="110"/>
      <c r="GJ45" s="110"/>
      <c r="GK45" s="110"/>
      <c r="GL45" s="110"/>
      <c r="GM45" s="110"/>
      <c r="GN45" s="110"/>
      <c r="GO45" s="110"/>
      <c r="GP45" s="110"/>
      <c r="GQ45" s="110"/>
      <c r="GR45" s="110"/>
      <c r="GS45" s="110"/>
      <c r="GT45" s="110"/>
      <c r="GU45" s="110"/>
      <c r="GV45" s="110"/>
      <c r="GW45" s="110"/>
      <c r="GX45" s="110"/>
      <c r="GY45" s="110"/>
      <c r="GZ45" s="110"/>
      <c r="HA45" s="110"/>
      <c r="HB45" s="110"/>
      <c r="HC45" s="110"/>
      <c r="HD45" s="110"/>
      <c r="HE45" s="110"/>
      <c r="HF45" s="110"/>
      <c r="HG45" s="110"/>
      <c r="HH45" s="110"/>
      <c r="HI45" s="110"/>
      <c r="HJ45" s="110"/>
      <c r="HK45" s="110"/>
      <c r="HL45" s="110"/>
      <c r="HM45" s="110"/>
      <c r="HN45" s="110"/>
      <c r="HO45" s="110"/>
      <c r="HP45" s="110"/>
      <c r="HQ45" s="110"/>
      <c r="HR45" s="110"/>
      <c r="HS45" s="110"/>
      <c r="HT45" s="110"/>
      <c r="HU45" s="110"/>
      <c r="HV45" s="110"/>
      <c r="HW45" s="110"/>
      <c r="HX45" s="110"/>
      <c r="HY45" s="110"/>
      <c r="HZ45" s="110"/>
      <c r="IA45" s="110"/>
      <c r="IB45" s="110"/>
      <c r="IC45" s="110"/>
      <c r="ID45" s="110"/>
      <c r="IE45" s="110"/>
      <c r="IF45" s="110"/>
      <c r="IG45" s="110"/>
      <c r="IH45" s="110"/>
      <c r="II45" s="110"/>
      <c r="IJ45" s="110"/>
      <c r="IK45" s="110"/>
      <c r="IL45" s="110"/>
      <c r="IM45" s="110"/>
      <c r="IN45" s="110"/>
      <c r="IO45" s="110"/>
      <c r="IP45" s="110"/>
      <c r="IQ45" s="110"/>
      <c r="IR45" s="110"/>
      <c r="IS45" s="110"/>
      <c r="IT45" s="110"/>
      <c r="IU45" s="110"/>
      <c r="IV45" s="110"/>
      <c r="IW45" s="110"/>
    </row>
    <row r="46" spans="1:257" x14ac:dyDescent="0.3">
      <c r="A46" s="156"/>
      <c r="B46" s="156"/>
      <c r="C46" s="156"/>
      <c r="D46" s="156"/>
      <c r="E46" s="156"/>
      <c r="F46" s="156"/>
      <c r="G46" s="156"/>
      <c r="H46" s="156"/>
      <c r="I46" s="174"/>
      <c r="J46" s="168"/>
      <c r="K46" s="169"/>
      <c r="L46" s="170"/>
      <c r="M46" s="156"/>
      <c r="N46" s="156"/>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c r="CY46" s="110"/>
      <c r="CZ46" s="110"/>
      <c r="DA46" s="110"/>
      <c r="DB46" s="110"/>
      <c r="DC46" s="110"/>
      <c r="DD46" s="110"/>
      <c r="DE46" s="110"/>
      <c r="DF46" s="110"/>
      <c r="DG46" s="110"/>
      <c r="DH46" s="110"/>
      <c r="DI46" s="110"/>
      <c r="DJ46" s="110"/>
      <c r="DK46" s="110"/>
      <c r="DL46" s="110"/>
      <c r="DM46" s="110"/>
      <c r="DN46" s="110"/>
      <c r="DO46" s="110"/>
      <c r="DP46" s="110"/>
      <c r="DQ46" s="110"/>
      <c r="DR46" s="110"/>
      <c r="DS46" s="110"/>
      <c r="DT46" s="110"/>
      <c r="DU46" s="110"/>
      <c r="DV46" s="110"/>
      <c r="DW46" s="110"/>
      <c r="DX46" s="110"/>
      <c r="DY46" s="110"/>
      <c r="DZ46" s="110"/>
      <c r="EA46" s="110"/>
      <c r="EB46" s="110"/>
      <c r="EC46" s="110"/>
      <c r="ED46" s="110"/>
      <c r="EE46" s="110"/>
      <c r="EF46" s="110"/>
      <c r="EG46" s="110"/>
      <c r="EH46" s="110"/>
      <c r="EI46" s="110"/>
      <c r="EJ46" s="110"/>
      <c r="EK46" s="110"/>
      <c r="EL46" s="110"/>
      <c r="EM46" s="110"/>
      <c r="EN46" s="110"/>
      <c r="EO46" s="110"/>
      <c r="EP46" s="110"/>
      <c r="EQ46" s="110"/>
      <c r="ER46" s="110"/>
      <c r="ES46" s="110"/>
      <c r="ET46" s="110"/>
      <c r="EU46" s="110"/>
      <c r="EV46" s="110"/>
      <c r="EW46" s="110"/>
      <c r="EX46" s="110"/>
      <c r="EY46" s="110"/>
      <c r="EZ46" s="110"/>
      <c r="FA46" s="110"/>
      <c r="FB46" s="110"/>
      <c r="FC46" s="110"/>
      <c r="FD46" s="110"/>
      <c r="FE46" s="110"/>
      <c r="FF46" s="110"/>
      <c r="FG46" s="110"/>
      <c r="FH46" s="110"/>
      <c r="FI46" s="110"/>
      <c r="FJ46" s="110"/>
      <c r="FK46" s="110"/>
      <c r="FL46" s="110"/>
      <c r="FM46" s="110"/>
      <c r="FN46" s="110"/>
      <c r="FO46" s="110"/>
      <c r="FP46" s="110"/>
      <c r="FQ46" s="110"/>
      <c r="FR46" s="110"/>
      <c r="FS46" s="110"/>
      <c r="FT46" s="110"/>
      <c r="FU46" s="110"/>
      <c r="FV46" s="110"/>
      <c r="FW46" s="110"/>
      <c r="FX46" s="110"/>
      <c r="FY46" s="110"/>
      <c r="FZ46" s="110"/>
      <c r="GA46" s="110"/>
      <c r="GB46" s="110"/>
      <c r="GC46" s="110"/>
      <c r="GD46" s="110"/>
      <c r="GE46" s="110"/>
      <c r="GF46" s="110"/>
      <c r="GG46" s="110"/>
      <c r="GH46" s="110"/>
      <c r="GI46" s="110"/>
      <c r="GJ46" s="110"/>
      <c r="GK46" s="110"/>
      <c r="GL46" s="110"/>
      <c r="GM46" s="110"/>
      <c r="GN46" s="110"/>
      <c r="GO46" s="110"/>
      <c r="GP46" s="110"/>
      <c r="GQ46" s="110"/>
      <c r="GR46" s="110"/>
      <c r="GS46" s="110"/>
      <c r="GT46" s="110"/>
      <c r="GU46" s="110"/>
      <c r="GV46" s="110"/>
      <c r="GW46" s="110"/>
      <c r="GX46" s="110"/>
      <c r="GY46" s="110"/>
      <c r="GZ46" s="110"/>
      <c r="HA46" s="110"/>
      <c r="HB46" s="110"/>
      <c r="HC46" s="110"/>
      <c r="HD46" s="110"/>
      <c r="HE46" s="110"/>
      <c r="HF46" s="110"/>
      <c r="HG46" s="110"/>
      <c r="HH46" s="110"/>
      <c r="HI46" s="110"/>
      <c r="HJ46" s="110"/>
      <c r="HK46" s="110"/>
      <c r="HL46" s="110"/>
      <c r="HM46" s="110"/>
      <c r="HN46" s="110"/>
      <c r="HO46" s="110"/>
      <c r="HP46" s="110"/>
      <c r="HQ46" s="110"/>
      <c r="HR46" s="110"/>
      <c r="HS46" s="110"/>
      <c r="HT46" s="110"/>
      <c r="HU46" s="110"/>
      <c r="HV46" s="110"/>
      <c r="HW46" s="110"/>
      <c r="HX46" s="110"/>
      <c r="HY46" s="110"/>
      <c r="HZ46" s="110"/>
      <c r="IA46" s="110"/>
      <c r="IB46" s="110"/>
      <c r="IC46" s="110"/>
      <c r="ID46" s="110"/>
      <c r="IE46" s="110"/>
      <c r="IF46" s="110"/>
      <c r="IG46" s="110"/>
      <c r="IH46" s="110"/>
      <c r="II46" s="110"/>
      <c r="IJ46" s="110"/>
      <c r="IK46" s="110"/>
      <c r="IL46" s="110"/>
      <c r="IM46" s="110"/>
      <c r="IN46" s="110"/>
      <c r="IO46" s="110"/>
      <c r="IP46" s="110"/>
      <c r="IQ46" s="110"/>
      <c r="IR46" s="110"/>
      <c r="IS46" s="110"/>
      <c r="IT46" s="110"/>
      <c r="IU46" s="110"/>
      <c r="IV46" s="110"/>
      <c r="IW46" s="110"/>
    </row>
    <row r="47" spans="1:257" x14ac:dyDescent="0.3">
      <c r="A47" s="156"/>
      <c r="B47" s="156"/>
      <c r="C47" s="156"/>
      <c r="D47" s="156"/>
      <c r="E47" s="156"/>
      <c r="F47" s="156"/>
      <c r="G47" s="156"/>
      <c r="H47" s="156"/>
      <c r="I47" s="174"/>
      <c r="J47" s="168"/>
      <c r="K47" s="169"/>
      <c r="L47" s="170"/>
      <c r="M47" s="156"/>
      <c r="N47" s="156"/>
      <c r="O47" s="110"/>
      <c r="P47" s="110"/>
      <c r="Q47" s="110"/>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c r="CY47" s="110"/>
      <c r="CZ47" s="110"/>
      <c r="DA47" s="110"/>
      <c r="DB47" s="110"/>
      <c r="DC47" s="110"/>
      <c r="DD47" s="110"/>
      <c r="DE47" s="110"/>
      <c r="DF47" s="110"/>
      <c r="DG47" s="110"/>
      <c r="DH47" s="110"/>
      <c r="DI47" s="110"/>
      <c r="DJ47" s="110"/>
      <c r="DK47" s="110"/>
      <c r="DL47" s="110"/>
      <c r="DM47" s="110"/>
      <c r="DN47" s="110"/>
      <c r="DO47" s="110"/>
      <c r="DP47" s="110"/>
      <c r="DQ47" s="110"/>
      <c r="DR47" s="110"/>
      <c r="DS47" s="110"/>
      <c r="DT47" s="110"/>
      <c r="DU47" s="110"/>
      <c r="DV47" s="110"/>
      <c r="DW47" s="110"/>
      <c r="DX47" s="110"/>
      <c r="DY47" s="110"/>
      <c r="DZ47" s="110"/>
      <c r="EA47" s="110"/>
      <c r="EB47" s="110"/>
      <c r="EC47" s="110"/>
      <c r="ED47" s="110"/>
      <c r="EE47" s="110"/>
      <c r="EF47" s="110"/>
      <c r="EG47" s="110"/>
      <c r="EH47" s="110"/>
      <c r="EI47" s="110"/>
      <c r="EJ47" s="110"/>
      <c r="EK47" s="110"/>
      <c r="EL47" s="110"/>
      <c r="EM47" s="110"/>
      <c r="EN47" s="110"/>
      <c r="EO47" s="110"/>
      <c r="EP47" s="110"/>
      <c r="EQ47" s="110"/>
      <c r="ER47" s="110"/>
      <c r="ES47" s="110"/>
      <c r="ET47" s="110"/>
      <c r="EU47" s="110"/>
      <c r="EV47" s="110"/>
      <c r="EW47" s="110"/>
      <c r="EX47" s="110"/>
      <c r="EY47" s="110"/>
      <c r="EZ47" s="110"/>
      <c r="FA47" s="110"/>
      <c r="FB47" s="110"/>
      <c r="FC47" s="110"/>
      <c r="FD47" s="110"/>
      <c r="FE47" s="110"/>
      <c r="FF47" s="110"/>
      <c r="FG47" s="110"/>
      <c r="FH47" s="110"/>
      <c r="FI47" s="110"/>
      <c r="FJ47" s="110"/>
      <c r="FK47" s="110"/>
      <c r="FL47" s="110"/>
      <c r="FM47" s="110"/>
      <c r="FN47" s="110"/>
      <c r="FO47" s="110"/>
      <c r="FP47" s="110"/>
      <c r="FQ47" s="110"/>
      <c r="FR47" s="110"/>
      <c r="FS47" s="110"/>
      <c r="FT47" s="110"/>
      <c r="FU47" s="110"/>
      <c r="FV47" s="110"/>
      <c r="FW47" s="110"/>
      <c r="FX47" s="110"/>
      <c r="FY47" s="110"/>
      <c r="FZ47" s="110"/>
      <c r="GA47" s="110"/>
      <c r="GB47" s="110"/>
      <c r="GC47" s="110"/>
      <c r="GD47" s="110"/>
      <c r="GE47" s="110"/>
      <c r="GF47" s="110"/>
      <c r="GG47" s="110"/>
      <c r="GH47" s="110"/>
      <c r="GI47" s="110"/>
      <c r="GJ47" s="110"/>
      <c r="GK47" s="110"/>
      <c r="GL47" s="110"/>
      <c r="GM47" s="110"/>
      <c r="GN47" s="110"/>
      <c r="GO47" s="110"/>
      <c r="GP47" s="110"/>
      <c r="GQ47" s="110"/>
      <c r="GR47" s="110"/>
      <c r="GS47" s="110"/>
      <c r="GT47" s="110"/>
      <c r="GU47" s="110"/>
      <c r="GV47" s="110"/>
      <c r="GW47" s="110"/>
      <c r="GX47" s="110"/>
      <c r="GY47" s="110"/>
      <c r="GZ47" s="110"/>
      <c r="HA47" s="110"/>
      <c r="HB47" s="110"/>
      <c r="HC47" s="110"/>
      <c r="HD47" s="110"/>
      <c r="HE47" s="110"/>
      <c r="HF47" s="110"/>
      <c r="HG47" s="110"/>
      <c r="HH47" s="110"/>
      <c r="HI47" s="110"/>
      <c r="HJ47" s="110"/>
      <c r="HK47" s="110"/>
      <c r="HL47" s="110"/>
      <c r="HM47" s="110"/>
      <c r="HN47" s="110"/>
      <c r="HO47" s="110"/>
      <c r="HP47" s="110"/>
      <c r="HQ47" s="110"/>
      <c r="HR47" s="110"/>
      <c r="HS47" s="110"/>
      <c r="HT47" s="110"/>
      <c r="HU47" s="110"/>
      <c r="HV47" s="110"/>
      <c r="HW47" s="110"/>
      <c r="HX47" s="110"/>
      <c r="HY47" s="110"/>
      <c r="HZ47" s="110"/>
      <c r="IA47" s="110"/>
      <c r="IB47" s="110"/>
      <c r="IC47" s="110"/>
      <c r="ID47" s="110"/>
      <c r="IE47" s="110"/>
      <c r="IF47" s="110"/>
      <c r="IG47" s="110"/>
      <c r="IH47" s="110"/>
      <c r="II47" s="110"/>
      <c r="IJ47" s="110"/>
      <c r="IK47" s="110"/>
      <c r="IL47" s="110"/>
      <c r="IM47" s="110"/>
      <c r="IN47" s="110"/>
      <c r="IO47" s="110"/>
      <c r="IP47" s="110"/>
      <c r="IQ47" s="110"/>
      <c r="IR47" s="110"/>
      <c r="IS47" s="110"/>
      <c r="IT47" s="110"/>
      <c r="IU47" s="110"/>
      <c r="IV47" s="110"/>
      <c r="IW47" s="110"/>
    </row>
    <row r="48" spans="1:257" x14ac:dyDescent="0.3">
      <c r="A48" s="156"/>
      <c r="B48" s="156"/>
      <c r="C48" s="156"/>
      <c r="D48" s="156"/>
      <c r="E48" s="156"/>
      <c r="F48" s="156"/>
      <c r="G48" s="156"/>
      <c r="H48" s="156"/>
      <c r="I48" s="174"/>
      <c r="J48" s="168"/>
      <c r="K48" s="169"/>
      <c r="L48" s="170"/>
      <c r="M48" s="156"/>
      <c r="N48" s="156"/>
      <c r="O48" s="110"/>
      <c r="P48" s="110"/>
      <c r="Q48" s="110"/>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c r="CY48" s="110"/>
      <c r="CZ48" s="110"/>
      <c r="DA48" s="110"/>
      <c r="DB48" s="110"/>
      <c r="DC48" s="110"/>
      <c r="DD48" s="110"/>
      <c r="DE48" s="110"/>
      <c r="DF48" s="110"/>
      <c r="DG48" s="110"/>
      <c r="DH48" s="110"/>
      <c r="DI48" s="110"/>
      <c r="DJ48" s="110"/>
      <c r="DK48" s="110"/>
      <c r="DL48" s="110"/>
      <c r="DM48" s="110"/>
      <c r="DN48" s="110"/>
      <c r="DO48" s="110"/>
      <c r="DP48" s="110"/>
      <c r="DQ48" s="110"/>
      <c r="DR48" s="110"/>
      <c r="DS48" s="110"/>
      <c r="DT48" s="110"/>
      <c r="DU48" s="110"/>
      <c r="DV48" s="110"/>
      <c r="DW48" s="110"/>
      <c r="DX48" s="110"/>
      <c r="DY48" s="110"/>
      <c r="DZ48" s="110"/>
      <c r="EA48" s="110"/>
      <c r="EB48" s="110"/>
      <c r="EC48" s="110"/>
      <c r="ED48" s="110"/>
      <c r="EE48" s="110"/>
      <c r="EF48" s="110"/>
      <c r="EG48" s="110"/>
      <c r="EH48" s="110"/>
      <c r="EI48" s="110"/>
      <c r="EJ48" s="110"/>
      <c r="EK48" s="110"/>
      <c r="EL48" s="110"/>
      <c r="EM48" s="110"/>
      <c r="EN48" s="110"/>
      <c r="EO48" s="110"/>
      <c r="EP48" s="110"/>
      <c r="EQ48" s="110"/>
      <c r="ER48" s="110"/>
      <c r="ES48" s="110"/>
      <c r="ET48" s="110"/>
      <c r="EU48" s="110"/>
      <c r="EV48" s="110"/>
      <c r="EW48" s="110"/>
      <c r="EX48" s="110"/>
      <c r="EY48" s="110"/>
      <c r="EZ48" s="110"/>
      <c r="FA48" s="110"/>
      <c r="FB48" s="110"/>
      <c r="FC48" s="110"/>
      <c r="FD48" s="110"/>
      <c r="FE48" s="110"/>
      <c r="FF48" s="110"/>
      <c r="FG48" s="110"/>
      <c r="FH48" s="110"/>
      <c r="FI48" s="110"/>
      <c r="FJ48" s="110"/>
      <c r="FK48" s="110"/>
      <c r="FL48" s="110"/>
      <c r="FM48" s="110"/>
      <c r="FN48" s="110"/>
      <c r="FO48" s="110"/>
      <c r="FP48" s="110"/>
      <c r="FQ48" s="110"/>
      <c r="FR48" s="110"/>
      <c r="FS48" s="110"/>
      <c r="FT48" s="110"/>
      <c r="FU48" s="110"/>
      <c r="FV48" s="110"/>
      <c r="FW48" s="110"/>
      <c r="FX48" s="110"/>
      <c r="FY48" s="110"/>
      <c r="FZ48" s="110"/>
      <c r="GA48" s="110"/>
      <c r="GB48" s="110"/>
      <c r="GC48" s="110"/>
      <c r="GD48" s="110"/>
      <c r="GE48" s="110"/>
      <c r="GF48" s="110"/>
      <c r="GG48" s="110"/>
      <c r="GH48" s="110"/>
      <c r="GI48" s="110"/>
      <c r="GJ48" s="110"/>
      <c r="GK48" s="110"/>
      <c r="GL48" s="110"/>
      <c r="GM48" s="110"/>
      <c r="GN48" s="110"/>
      <c r="GO48" s="110"/>
      <c r="GP48" s="110"/>
      <c r="GQ48" s="110"/>
      <c r="GR48" s="110"/>
      <c r="GS48" s="110"/>
      <c r="GT48" s="110"/>
      <c r="GU48" s="110"/>
      <c r="GV48" s="110"/>
      <c r="GW48" s="110"/>
      <c r="GX48" s="110"/>
      <c r="GY48" s="110"/>
      <c r="GZ48" s="110"/>
      <c r="HA48" s="110"/>
      <c r="HB48" s="110"/>
      <c r="HC48" s="110"/>
      <c r="HD48" s="110"/>
      <c r="HE48" s="110"/>
      <c r="HF48" s="110"/>
      <c r="HG48" s="110"/>
      <c r="HH48" s="110"/>
      <c r="HI48" s="110"/>
      <c r="HJ48" s="110"/>
      <c r="HK48" s="110"/>
      <c r="HL48" s="110"/>
      <c r="HM48" s="110"/>
      <c r="HN48" s="110"/>
      <c r="HO48" s="110"/>
      <c r="HP48" s="110"/>
      <c r="HQ48" s="110"/>
      <c r="HR48" s="110"/>
      <c r="HS48" s="110"/>
      <c r="HT48" s="110"/>
      <c r="HU48" s="110"/>
      <c r="HV48" s="110"/>
      <c r="HW48" s="110"/>
      <c r="HX48" s="110"/>
      <c r="HY48" s="110"/>
      <c r="HZ48" s="110"/>
      <c r="IA48" s="110"/>
      <c r="IB48" s="110"/>
      <c r="IC48" s="110"/>
      <c r="ID48" s="110"/>
      <c r="IE48" s="110"/>
      <c r="IF48" s="110"/>
      <c r="IG48" s="110"/>
      <c r="IH48" s="110"/>
      <c r="II48" s="110"/>
      <c r="IJ48" s="110"/>
      <c r="IK48" s="110"/>
      <c r="IL48" s="110"/>
      <c r="IM48" s="110"/>
      <c r="IN48" s="110"/>
      <c r="IO48" s="110"/>
      <c r="IP48" s="110"/>
      <c r="IQ48" s="110"/>
      <c r="IR48" s="110"/>
      <c r="IS48" s="110"/>
      <c r="IT48" s="110"/>
      <c r="IU48" s="110"/>
      <c r="IV48" s="110"/>
      <c r="IW48" s="110"/>
    </row>
    <row r="49" spans="1:257" x14ac:dyDescent="0.3">
      <c r="A49" s="156"/>
      <c r="B49" s="156"/>
      <c r="C49" s="156"/>
      <c r="D49" s="156"/>
      <c r="E49" s="156"/>
      <c r="F49" s="156"/>
      <c r="G49" s="156"/>
      <c r="H49" s="156"/>
      <c r="I49" s="174"/>
      <c r="J49" s="168"/>
      <c r="K49" s="169"/>
      <c r="L49" s="170"/>
      <c r="M49" s="156"/>
      <c r="N49" s="156"/>
      <c r="O49" s="110"/>
      <c r="P49" s="110"/>
      <c r="Q49" s="110"/>
      <c r="R49" s="110"/>
      <c r="S49" s="110"/>
      <c r="T49" s="110"/>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c r="CY49" s="110"/>
      <c r="CZ49" s="110"/>
      <c r="DA49" s="110"/>
      <c r="DB49" s="110"/>
      <c r="DC49" s="110"/>
      <c r="DD49" s="110"/>
      <c r="DE49" s="110"/>
      <c r="DF49" s="110"/>
      <c r="DG49" s="110"/>
      <c r="DH49" s="110"/>
      <c r="DI49" s="110"/>
      <c r="DJ49" s="110"/>
      <c r="DK49" s="110"/>
      <c r="DL49" s="110"/>
      <c r="DM49" s="110"/>
      <c r="DN49" s="110"/>
      <c r="DO49" s="110"/>
      <c r="DP49" s="110"/>
      <c r="DQ49" s="110"/>
      <c r="DR49" s="110"/>
      <c r="DS49" s="110"/>
      <c r="DT49" s="110"/>
      <c r="DU49" s="110"/>
      <c r="DV49" s="110"/>
      <c r="DW49" s="110"/>
      <c r="DX49" s="110"/>
      <c r="DY49" s="110"/>
      <c r="DZ49" s="110"/>
      <c r="EA49" s="110"/>
      <c r="EB49" s="110"/>
      <c r="EC49" s="110"/>
      <c r="ED49" s="110"/>
      <c r="EE49" s="110"/>
      <c r="EF49" s="110"/>
      <c r="EG49" s="110"/>
      <c r="EH49" s="110"/>
      <c r="EI49" s="110"/>
      <c r="EJ49" s="110"/>
      <c r="EK49" s="110"/>
      <c r="EL49" s="110"/>
      <c r="EM49" s="110"/>
      <c r="EN49" s="110"/>
      <c r="EO49" s="110"/>
      <c r="EP49" s="110"/>
      <c r="EQ49" s="110"/>
      <c r="ER49" s="110"/>
      <c r="ES49" s="110"/>
      <c r="ET49" s="110"/>
      <c r="EU49" s="110"/>
      <c r="EV49" s="110"/>
      <c r="EW49" s="110"/>
      <c r="EX49" s="110"/>
      <c r="EY49" s="110"/>
      <c r="EZ49" s="110"/>
      <c r="FA49" s="110"/>
      <c r="FB49" s="110"/>
      <c r="FC49" s="110"/>
      <c r="FD49" s="110"/>
      <c r="FE49" s="110"/>
      <c r="FF49" s="110"/>
      <c r="FG49" s="110"/>
      <c r="FH49" s="110"/>
      <c r="FI49" s="110"/>
      <c r="FJ49" s="110"/>
      <c r="FK49" s="110"/>
      <c r="FL49" s="110"/>
      <c r="FM49" s="110"/>
      <c r="FN49" s="110"/>
      <c r="FO49" s="110"/>
      <c r="FP49" s="110"/>
      <c r="FQ49" s="110"/>
      <c r="FR49" s="110"/>
      <c r="FS49" s="110"/>
      <c r="FT49" s="110"/>
      <c r="FU49" s="110"/>
      <c r="FV49" s="110"/>
      <c r="FW49" s="110"/>
      <c r="FX49" s="110"/>
      <c r="FY49" s="110"/>
      <c r="FZ49" s="110"/>
      <c r="GA49" s="110"/>
      <c r="GB49" s="110"/>
      <c r="GC49" s="110"/>
      <c r="GD49" s="110"/>
      <c r="GE49" s="110"/>
      <c r="GF49" s="110"/>
      <c r="GG49" s="110"/>
      <c r="GH49" s="110"/>
      <c r="GI49" s="110"/>
      <c r="GJ49" s="110"/>
      <c r="GK49" s="110"/>
      <c r="GL49" s="110"/>
      <c r="GM49" s="110"/>
      <c r="GN49" s="110"/>
      <c r="GO49" s="110"/>
      <c r="GP49" s="110"/>
      <c r="GQ49" s="110"/>
      <c r="GR49" s="110"/>
      <c r="GS49" s="110"/>
      <c r="GT49" s="110"/>
      <c r="GU49" s="110"/>
      <c r="GV49" s="110"/>
      <c r="GW49" s="110"/>
      <c r="GX49" s="110"/>
      <c r="GY49" s="110"/>
      <c r="GZ49" s="110"/>
      <c r="HA49" s="110"/>
      <c r="HB49" s="110"/>
      <c r="HC49" s="110"/>
      <c r="HD49" s="110"/>
      <c r="HE49" s="110"/>
      <c r="HF49" s="110"/>
      <c r="HG49" s="110"/>
      <c r="HH49" s="110"/>
      <c r="HI49" s="110"/>
      <c r="HJ49" s="110"/>
      <c r="HK49" s="110"/>
      <c r="HL49" s="110"/>
      <c r="HM49" s="110"/>
      <c r="HN49" s="110"/>
      <c r="HO49" s="110"/>
      <c r="HP49" s="110"/>
      <c r="HQ49" s="110"/>
      <c r="HR49" s="110"/>
      <c r="HS49" s="110"/>
      <c r="HT49" s="110"/>
      <c r="HU49" s="110"/>
      <c r="HV49" s="110"/>
      <c r="HW49" s="110"/>
      <c r="HX49" s="110"/>
      <c r="HY49" s="110"/>
      <c r="HZ49" s="110"/>
      <c r="IA49" s="110"/>
      <c r="IB49" s="110"/>
      <c r="IC49" s="110"/>
      <c r="ID49" s="110"/>
      <c r="IE49" s="110"/>
      <c r="IF49" s="110"/>
      <c r="IG49" s="110"/>
      <c r="IH49" s="110"/>
      <c r="II49" s="110"/>
      <c r="IJ49" s="110"/>
      <c r="IK49" s="110"/>
      <c r="IL49" s="110"/>
      <c r="IM49" s="110"/>
      <c r="IN49" s="110"/>
      <c r="IO49" s="110"/>
      <c r="IP49" s="110"/>
      <c r="IQ49" s="110"/>
      <c r="IR49" s="110"/>
      <c r="IS49" s="110"/>
      <c r="IT49" s="110"/>
      <c r="IU49" s="110"/>
      <c r="IV49" s="110"/>
      <c r="IW49" s="110"/>
    </row>
    <row r="50" spans="1:257" x14ac:dyDescent="0.3">
      <c r="A50" s="156"/>
      <c r="B50" s="156"/>
      <c r="C50" s="156"/>
      <c r="D50" s="156"/>
      <c r="E50" s="156"/>
      <c r="F50" s="156"/>
      <c r="G50" s="156"/>
      <c r="H50" s="156"/>
      <c r="I50" s="174"/>
      <c r="J50" s="168"/>
      <c r="K50" s="169"/>
      <c r="L50" s="170"/>
      <c r="M50" s="156"/>
      <c r="N50" s="156"/>
      <c r="O50" s="110"/>
      <c r="P50" s="110"/>
      <c r="Q50" s="110"/>
      <c r="R50" s="110"/>
      <c r="S50" s="110"/>
      <c r="T50" s="110"/>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c r="CY50" s="110"/>
      <c r="CZ50" s="110"/>
      <c r="DA50" s="110"/>
      <c r="DB50" s="110"/>
      <c r="DC50" s="110"/>
      <c r="DD50" s="110"/>
      <c r="DE50" s="110"/>
      <c r="DF50" s="110"/>
      <c r="DG50" s="110"/>
      <c r="DH50" s="110"/>
      <c r="DI50" s="110"/>
      <c r="DJ50" s="110"/>
      <c r="DK50" s="110"/>
      <c r="DL50" s="110"/>
      <c r="DM50" s="110"/>
      <c r="DN50" s="110"/>
      <c r="DO50" s="110"/>
      <c r="DP50" s="110"/>
      <c r="DQ50" s="110"/>
      <c r="DR50" s="110"/>
      <c r="DS50" s="110"/>
      <c r="DT50" s="110"/>
      <c r="DU50" s="110"/>
      <c r="DV50" s="110"/>
      <c r="DW50" s="110"/>
      <c r="DX50" s="110"/>
      <c r="DY50" s="110"/>
      <c r="DZ50" s="110"/>
      <c r="EA50" s="110"/>
      <c r="EB50" s="110"/>
      <c r="EC50" s="110"/>
      <c r="ED50" s="110"/>
      <c r="EE50" s="110"/>
      <c r="EF50" s="110"/>
      <c r="EG50" s="110"/>
      <c r="EH50" s="110"/>
      <c r="EI50" s="110"/>
      <c r="EJ50" s="110"/>
      <c r="EK50" s="110"/>
      <c r="EL50" s="110"/>
      <c r="EM50" s="110"/>
      <c r="EN50" s="110"/>
      <c r="EO50" s="110"/>
      <c r="EP50" s="110"/>
      <c r="EQ50" s="110"/>
      <c r="ER50" s="110"/>
      <c r="ES50" s="110"/>
      <c r="ET50" s="110"/>
      <c r="EU50" s="110"/>
      <c r="EV50" s="110"/>
      <c r="EW50" s="110"/>
      <c r="EX50" s="110"/>
      <c r="EY50" s="110"/>
      <c r="EZ50" s="110"/>
      <c r="FA50" s="110"/>
      <c r="FB50" s="110"/>
      <c r="FC50" s="110"/>
      <c r="FD50" s="110"/>
      <c r="FE50" s="110"/>
      <c r="FF50" s="110"/>
      <c r="FG50" s="110"/>
      <c r="FH50" s="110"/>
      <c r="FI50" s="110"/>
      <c r="FJ50" s="110"/>
      <c r="FK50" s="110"/>
      <c r="FL50" s="110"/>
      <c r="FM50" s="110"/>
      <c r="FN50" s="110"/>
      <c r="FO50" s="110"/>
      <c r="FP50" s="110"/>
      <c r="FQ50" s="110"/>
      <c r="FR50" s="110"/>
      <c r="FS50" s="110"/>
      <c r="FT50" s="110"/>
      <c r="FU50" s="110"/>
      <c r="FV50" s="110"/>
      <c r="FW50" s="110"/>
      <c r="FX50" s="110"/>
      <c r="FY50" s="110"/>
      <c r="FZ50" s="110"/>
      <c r="GA50" s="110"/>
      <c r="GB50" s="110"/>
      <c r="GC50" s="110"/>
      <c r="GD50" s="110"/>
      <c r="GE50" s="110"/>
      <c r="GF50" s="110"/>
      <c r="GG50" s="110"/>
      <c r="GH50" s="110"/>
      <c r="GI50" s="110"/>
      <c r="GJ50" s="110"/>
      <c r="GK50" s="110"/>
      <c r="GL50" s="110"/>
      <c r="GM50" s="110"/>
      <c r="GN50" s="110"/>
      <c r="GO50" s="110"/>
      <c r="GP50" s="110"/>
      <c r="GQ50" s="110"/>
      <c r="GR50" s="110"/>
      <c r="GS50" s="110"/>
      <c r="GT50" s="110"/>
      <c r="GU50" s="110"/>
      <c r="GV50" s="110"/>
      <c r="GW50" s="110"/>
      <c r="GX50" s="110"/>
      <c r="GY50" s="110"/>
      <c r="GZ50" s="110"/>
      <c r="HA50" s="110"/>
      <c r="HB50" s="110"/>
      <c r="HC50" s="110"/>
      <c r="HD50" s="110"/>
      <c r="HE50" s="110"/>
      <c r="HF50" s="110"/>
      <c r="HG50" s="110"/>
      <c r="HH50" s="110"/>
      <c r="HI50" s="110"/>
      <c r="HJ50" s="110"/>
      <c r="HK50" s="110"/>
      <c r="HL50" s="110"/>
      <c r="HM50" s="110"/>
      <c r="HN50" s="110"/>
      <c r="HO50" s="110"/>
      <c r="HP50" s="110"/>
      <c r="HQ50" s="110"/>
      <c r="HR50" s="110"/>
      <c r="HS50" s="110"/>
      <c r="HT50" s="110"/>
      <c r="HU50" s="110"/>
      <c r="HV50" s="110"/>
      <c r="HW50" s="110"/>
      <c r="HX50" s="110"/>
      <c r="HY50" s="110"/>
      <c r="HZ50" s="110"/>
      <c r="IA50" s="110"/>
      <c r="IB50" s="110"/>
      <c r="IC50" s="110"/>
      <c r="ID50" s="110"/>
      <c r="IE50" s="110"/>
      <c r="IF50" s="110"/>
      <c r="IG50" s="110"/>
      <c r="IH50" s="110"/>
      <c r="II50" s="110"/>
      <c r="IJ50" s="110"/>
      <c r="IK50" s="110"/>
      <c r="IL50" s="110"/>
      <c r="IM50" s="110"/>
      <c r="IN50" s="110"/>
      <c r="IO50" s="110"/>
      <c r="IP50" s="110"/>
      <c r="IQ50" s="110"/>
      <c r="IR50" s="110"/>
      <c r="IS50" s="110"/>
      <c r="IT50" s="110"/>
      <c r="IU50" s="110"/>
      <c r="IV50" s="110"/>
      <c r="IW50" s="110"/>
    </row>
    <row r="51" spans="1:257" x14ac:dyDescent="0.3">
      <c r="A51" s="156"/>
      <c r="B51" s="156"/>
      <c r="C51" s="156"/>
      <c r="D51" s="156"/>
      <c r="E51" s="156"/>
      <c r="F51" s="156"/>
      <c r="G51" s="156"/>
      <c r="H51" s="156"/>
      <c r="I51" s="174"/>
      <c r="J51" s="168"/>
      <c r="K51" s="169"/>
      <c r="L51" s="170"/>
      <c r="M51" s="156"/>
      <c r="N51" s="156"/>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c r="CY51" s="110"/>
      <c r="CZ51" s="110"/>
      <c r="DA51" s="110"/>
      <c r="DB51" s="110"/>
      <c r="DC51" s="110"/>
      <c r="DD51" s="110"/>
      <c r="DE51" s="110"/>
      <c r="DF51" s="110"/>
      <c r="DG51" s="110"/>
      <c r="DH51" s="110"/>
      <c r="DI51" s="110"/>
      <c r="DJ51" s="110"/>
      <c r="DK51" s="110"/>
      <c r="DL51" s="110"/>
      <c r="DM51" s="110"/>
      <c r="DN51" s="110"/>
      <c r="DO51" s="110"/>
      <c r="DP51" s="110"/>
      <c r="DQ51" s="110"/>
      <c r="DR51" s="110"/>
      <c r="DS51" s="110"/>
      <c r="DT51" s="110"/>
      <c r="DU51" s="110"/>
      <c r="DV51" s="110"/>
      <c r="DW51" s="110"/>
      <c r="DX51" s="110"/>
      <c r="DY51" s="110"/>
      <c r="DZ51" s="110"/>
      <c r="EA51" s="110"/>
      <c r="EB51" s="110"/>
      <c r="EC51" s="110"/>
      <c r="ED51" s="110"/>
      <c r="EE51" s="110"/>
      <c r="EF51" s="110"/>
      <c r="EG51" s="110"/>
      <c r="EH51" s="110"/>
      <c r="EI51" s="110"/>
      <c r="EJ51" s="110"/>
      <c r="EK51" s="110"/>
      <c r="EL51" s="110"/>
      <c r="EM51" s="110"/>
      <c r="EN51" s="110"/>
      <c r="EO51" s="110"/>
      <c r="EP51" s="110"/>
      <c r="EQ51" s="110"/>
      <c r="ER51" s="110"/>
      <c r="ES51" s="110"/>
      <c r="ET51" s="110"/>
      <c r="EU51" s="110"/>
      <c r="EV51" s="110"/>
      <c r="EW51" s="110"/>
      <c r="EX51" s="110"/>
      <c r="EY51" s="110"/>
      <c r="EZ51" s="110"/>
      <c r="FA51" s="110"/>
      <c r="FB51" s="110"/>
      <c r="FC51" s="110"/>
      <c r="FD51" s="110"/>
      <c r="FE51" s="110"/>
      <c r="FF51" s="110"/>
      <c r="FG51" s="110"/>
      <c r="FH51" s="110"/>
      <c r="FI51" s="110"/>
      <c r="FJ51" s="110"/>
      <c r="FK51" s="110"/>
      <c r="FL51" s="110"/>
      <c r="FM51" s="110"/>
      <c r="FN51" s="110"/>
      <c r="FO51" s="110"/>
      <c r="FP51" s="110"/>
      <c r="FQ51" s="110"/>
      <c r="FR51" s="110"/>
      <c r="FS51" s="110"/>
      <c r="FT51" s="110"/>
      <c r="FU51" s="110"/>
      <c r="FV51" s="110"/>
      <c r="FW51" s="110"/>
      <c r="FX51" s="110"/>
      <c r="FY51" s="110"/>
      <c r="FZ51" s="110"/>
      <c r="GA51" s="110"/>
      <c r="GB51" s="110"/>
      <c r="GC51" s="110"/>
      <c r="GD51" s="110"/>
      <c r="GE51" s="110"/>
      <c r="GF51" s="110"/>
      <c r="GG51" s="110"/>
      <c r="GH51" s="110"/>
      <c r="GI51" s="110"/>
      <c r="GJ51" s="110"/>
      <c r="GK51" s="110"/>
      <c r="GL51" s="110"/>
      <c r="GM51" s="110"/>
      <c r="GN51" s="110"/>
      <c r="GO51" s="110"/>
      <c r="GP51" s="110"/>
      <c r="GQ51" s="110"/>
      <c r="GR51" s="110"/>
      <c r="GS51" s="110"/>
      <c r="GT51" s="110"/>
      <c r="GU51" s="110"/>
      <c r="GV51" s="110"/>
      <c r="GW51" s="110"/>
      <c r="GX51" s="110"/>
      <c r="GY51" s="110"/>
      <c r="GZ51" s="110"/>
      <c r="HA51" s="110"/>
      <c r="HB51" s="110"/>
      <c r="HC51" s="110"/>
      <c r="HD51" s="110"/>
      <c r="HE51" s="110"/>
      <c r="HF51" s="110"/>
      <c r="HG51" s="110"/>
      <c r="HH51" s="110"/>
      <c r="HI51" s="110"/>
      <c r="HJ51" s="110"/>
      <c r="HK51" s="110"/>
      <c r="HL51" s="110"/>
      <c r="HM51" s="110"/>
      <c r="HN51" s="110"/>
      <c r="HO51" s="110"/>
      <c r="HP51" s="110"/>
      <c r="HQ51" s="110"/>
      <c r="HR51" s="110"/>
      <c r="HS51" s="110"/>
      <c r="HT51" s="110"/>
      <c r="HU51" s="110"/>
      <c r="HV51" s="110"/>
      <c r="HW51" s="110"/>
      <c r="HX51" s="110"/>
      <c r="HY51" s="110"/>
      <c r="HZ51" s="110"/>
      <c r="IA51" s="110"/>
      <c r="IB51" s="110"/>
      <c r="IC51" s="110"/>
      <c r="ID51" s="110"/>
      <c r="IE51" s="110"/>
      <c r="IF51" s="110"/>
      <c r="IG51" s="110"/>
      <c r="IH51" s="110"/>
      <c r="II51" s="110"/>
      <c r="IJ51" s="110"/>
      <c r="IK51" s="110"/>
      <c r="IL51" s="110"/>
      <c r="IM51" s="110"/>
      <c r="IN51" s="110"/>
      <c r="IO51" s="110"/>
      <c r="IP51" s="110"/>
      <c r="IQ51" s="110"/>
      <c r="IR51" s="110"/>
      <c r="IS51" s="110"/>
      <c r="IT51" s="110"/>
      <c r="IU51" s="110"/>
      <c r="IV51" s="110"/>
      <c r="IW51" s="110"/>
    </row>
    <row r="52" spans="1:257" x14ac:dyDescent="0.3">
      <c r="A52" s="156"/>
      <c r="B52" s="156"/>
      <c r="C52" s="156"/>
      <c r="D52" s="156"/>
      <c r="E52" s="156"/>
      <c r="F52" s="156"/>
      <c r="G52" s="156"/>
      <c r="H52" s="156"/>
      <c r="I52" s="174"/>
      <c r="J52" s="168"/>
      <c r="K52" s="169"/>
      <c r="L52" s="170"/>
      <c r="M52" s="156"/>
      <c r="N52" s="156"/>
      <c r="O52" s="110"/>
      <c r="P52" s="110"/>
      <c r="Q52" s="110"/>
      <c r="R52" s="110"/>
      <c r="S52" s="110"/>
      <c r="T52" s="110"/>
      <c r="U52" s="110"/>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c r="CY52" s="110"/>
      <c r="CZ52" s="110"/>
      <c r="DA52" s="110"/>
      <c r="DB52" s="110"/>
      <c r="DC52" s="110"/>
      <c r="DD52" s="110"/>
      <c r="DE52" s="110"/>
      <c r="DF52" s="110"/>
      <c r="DG52" s="110"/>
      <c r="DH52" s="110"/>
      <c r="DI52" s="110"/>
      <c r="DJ52" s="110"/>
      <c r="DK52" s="110"/>
      <c r="DL52" s="110"/>
      <c r="DM52" s="110"/>
      <c r="DN52" s="110"/>
      <c r="DO52" s="110"/>
      <c r="DP52" s="110"/>
      <c r="DQ52" s="110"/>
      <c r="DR52" s="110"/>
      <c r="DS52" s="110"/>
      <c r="DT52" s="110"/>
      <c r="DU52" s="110"/>
      <c r="DV52" s="110"/>
      <c r="DW52" s="110"/>
      <c r="DX52" s="110"/>
      <c r="DY52" s="110"/>
      <c r="DZ52" s="110"/>
      <c r="EA52" s="110"/>
      <c r="EB52" s="110"/>
      <c r="EC52" s="110"/>
      <c r="ED52" s="110"/>
      <c r="EE52" s="110"/>
      <c r="EF52" s="110"/>
      <c r="EG52" s="110"/>
      <c r="EH52" s="110"/>
      <c r="EI52" s="110"/>
      <c r="EJ52" s="110"/>
      <c r="EK52" s="110"/>
      <c r="EL52" s="110"/>
      <c r="EM52" s="110"/>
      <c r="EN52" s="110"/>
      <c r="EO52" s="110"/>
      <c r="EP52" s="110"/>
      <c r="EQ52" s="110"/>
      <c r="ER52" s="110"/>
      <c r="ES52" s="110"/>
      <c r="ET52" s="110"/>
      <c r="EU52" s="110"/>
      <c r="EV52" s="110"/>
      <c r="EW52" s="110"/>
      <c r="EX52" s="110"/>
      <c r="EY52" s="110"/>
      <c r="EZ52" s="110"/>
      <c r="FA52" s="110"/>
      <c r="FB52" s="110"/>
      <c r="FC52" s="110"/>
      <c r="FD52" s="110"/>
      <c r="FE52" s="110"/>
      <c r="FF52" s="110"/>
      <c r="FG52" s="110"/>
      <c r="FH52" s="110"/>
      <c r="FI52" s="110"/>
      <c r="FJ52" s="110"/>
      <c r="FK52" s="110"/>
      <c r="FL52" s="110"/>
      <c r="FM52" s="110"/>
      <c r="FN52" s="110"/>
      <c r="FO52" s="110"/>
      <c r="FP52" s="110"/>
      <c r="FQ52" s="110"/>
      <c r="FR52" s="110"/>
      <c r="FS52" s="110"/>
      <c r="FT52" s="110"/>
      <c r="FU52" s="110"/>
      <c r="FV52" s="110"/>
      <c r="FW52" s="110"/>
      <c r="FX52" s="110"/>
      <c r="FY52" s="110"/>
      <c r="FZ52" s="110"/>
      <c r="GA52" s="110"/>
      <c r="GB52" s="110"/>
      <c r="GC52" s="110"/>
      <c r="GD52" s="110"/>
      <c r="GE52" s="110"/>
      <c r="GF52" s="110"/>
      <c r="GG52" s="110"/>
      <c r="GH52" s="110"/>
      <c r="GI52" s="110"/>
      <c r="GJ52" s="110"/>
      <c r="GK52" s="110"/>
      <c r="GL52" s="110"/>
      <c r="GM52" s="110"/>
      <c r="GN52" s="110"/>
      <c r="GO52" s="110"/>
      <c r="GP52" s="110"/>
      <c r="GQ52" s="110"/>
      <c r="GR52" s="110"/>
      <c r="GS52" s="110"/>
      <c r="GT52" s="110"/>
      <c r="GU52" s="110"/>
      <c r="GV52" s="110"/>
      <c r="GW52" s="110"/>
      <c r="GX52" s="110"/>
      <c r="GY52" s="110"/>
      <c r="GZ52" s="110"/>
      <c r="HA52" s="110"/>
      <c r="HB52" s="110"/>
      <c r="HC52" s="110"/>
      <c r="HD52" s="110"/>
      <c r="HE52" s="110"/>
      <c r="HF52" s="110"/>
      <c r="HG52" s="110"/>
      <c r="HH52" s="110"/>
      <c r="HI52" s="110"/>
      <c r="HJ52" s="110"/>
      <c r="HK52" s="110"/>
      <c r="HL52" s="110"/>
      <c r="HM52" s="110"/>
      <c r="HN52" s="110"/>
      <c r="HO52" s="110"/>
      <c r="HP52" s="110"/>
      <c r="HQ52" s="110"/>
      <c r="HR52" s="110"/>
      <c r="HS52" s="110"/>
      <c r="HT52" s="110"/>
      <c r="HU52" s="110"/>
      <c r="HV52" s="110"/>
      <c r="HW52" s="110"/>
      <c r="HX52" s="110"/>
      <c r="HY52" s="110"/>
      <c r="HZ52" s="110"/>
      <c r="IA52" s="110"/>
      <c r="IB52" s="110"/>
      <c r="IC52" s="110"/>
      <c r="ID52" s="110"/>
      <c r="IE52" s="110"/>
      <c r="IF52" s="110"/>
      <c r="IG52" s="110"/>
      <c r="IH52" s="110"/>
      <c r="II52" s="110"/>
      <c r="IJ52" s="110"/>
      <c r="IK52" s="110"/>
      <c r="IL52" s="110"/>
      <c r="IM52" s="110"/>
      <c r="IN52" s="110"/>
      <c r="IO52" s="110"/>
      <c r="IP52" s="110"/>
      <c r="IQ52" s="110"/>
      <c r="IR52" s="110"/>
      <c r="IS52" s="110"/>
      <c r="IT52" s="110"/>
      <c r="IU52" s="110"/>
      <c r="IV52" s="110"/>
      <c r="IW52" s="110"/>
    </row>
    <row r="53" spans="1:257" x14ac:dyDescent="0.3">
      <c r="A53" s="156"/>
      <c r="B53" s="156"/>
      <c r="C53" s="156"/>
      <c r="D53" s="156"/>
      <c r="E53" s="156"/>
      <c r="F53" s="156"/>
      <c r="G53" s="156"/>
      <c r="H53" s="156"/>
      <c r="I53" s="174"/>
      <c r="J53" s="156"/>
      <c r="K53" s="156"/>
      <c r="L53" s="156"/>
      <c r="M53" s="156"/>
      <c r="N53" s="156"/>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c r="CY53" s="110"/>
      <c r="CZ53" s="110"/>
      <c r="DA53" s="110"/>
      <c r="DB53" s="110"/>
      <c r="DC53" s="110"/>
      <c r="DD53" s="110"/>
      <c r="DE53" s="110"/>
      <c r="DF53" s="110"/>
      <c r="DG53" s="110"/>
      <c r="DH53" s="110"/>
      <c r="DI53" s="110"/>
      <c r="DJ53" s="110"/>
      <c r="DK53" s="110"/>
      <c r="DL53" s="110"/>
      <c r="DM53" s="110"/>
      <c r="DN53" s="110"/>
      <c r="DO53" s="110"/>
      <c r="DP53" s="110"/>
      <c r="DQ53" s="110"/>
      <c r="DR53" s="110"/>
      <c r="DS53" s="110"/>
      <c r="DT53" s="110"/>
      <c r="DU53" s="110"/>
      <c r="DV53" s="110"/>
      <c r="DW53" s="110"/>
      <c r="DX53" s="110"/>
      <c r="DY53" s="110"/>
      <c r="DZ53" s="110"/>
      <c r="EA53" s="110"/>
      <c r="EB53" s="110"/>
      <c r="EC53" s="110"/>
      <c r="ED53" s="110"/>
      <c r="EE53" s="110"/>
      <c r="EF53" s="110"/>
      <c r="EG53" s="110"/>
      <c r="EH53" s="110"/>
      <c r="EI53" s="110"/>
      <c r="EJ53" s="110"/>
      <c r="EK53" s="110"/>
      <c r="EL53" s="110"/>
      <c r="EM53" s="110"/>
      <c r="EN53" s="110"/>
      <c r="EO53" s="110"/>
      <c r="EP53" s="110"/>
      <c r="EQ53" s="110"/>
      <c r="ER53" s="110"/>
      <c r="ES53" s="110"/>
      <c r="ET53" s="110"/>
      <c r="EU53" s="110"/>
      <c r="EV53" s="110"/>
      <c r="EW53" s="110"/>
      <c r="EX53" s="110"/>
      <c r="EY53" s="110"/>
      <c r="EZ53" s="110"/>
      <c r="FA53" s="110"/>
      <c r="FB53" s="110"/>
      <c r="FC53" s="110"/>
      <c r="FD53" s="110"/>
      <c r="FE53" s="110"/>
      <c r="FF53" s="110"/>
      <c r="FG53" s="110"/>
      <c r="FH53" s="110"/>
      <c r="FI53" s="110"/>
      <c r="FJ53" s="110"/>
      <c r="FK53" s="110"/>
      <c r="FL53" s="110"/>
      <c r="FM53" s="110"/>
      <c r="FN53" s="110"/>
      <c r="FO53" s="110"/>
      <c r="FP53" s="110"/>
      <c r="FQ53" s="110"/>
      <c r="FR53" s="110"/>
      <c r="FS53" s="110"/>
      <c r="FT53" s="110"/>
      <c r="FU53" s="110"/>
      <c r="FV53" s="110"/>
      <c r="FW53" s="110"/>
      <c r="FX53" s="110"/>
      <c r="FY53" s="110"/>
      <c r="FZ53" s="110"/>
      <c r="GA53" s="110"/>
      <c r="GB53" s="110"/>
      <c r="GC53" s="110"/>
      <c r="GD53" s="110"/>
      <c r="GE53" s="110"/>
      <c r="GF53" s="110"/>
      <c r="GG53" s="110"/>
      <c r="GH53" s="110"/>
      <c r="GI53" s="110"/>
      <c r="GJ53" s="110"/>
      <c r="GK53" s="110"/>
      <c r="GL53" s="110"/>
      <c r="GM53" s="110"/>
      <c r="GN53" s="110"/>
      <c r="GO53" s="110"/>
      <c r="GP53" s="110"/>
      <c r="GQ53" s="110"/>
      <c r="GR53" s="110"/>
      <c r="GS53" s="110"/>
      <c r="GT53" s="110"/>
      <c r="GU53" s="110"/>
      <c r="GV53" s="110"/>
      <c r="GW53" s="110"/>
      <c r="GX53" s="110"/>
      <c r="GY53" s="110"/>
      <c r="GZ53" s="110"/>
      <c r="HA53" s="110"/>
      <c r="HB53" s="110"/>
      <c r="HC53" s="110"/>
      <c r="HD53" s="110"/>
      <c r="HE53" s="110"/>
      <c r="HF53" s="110"/>
      <c r="HG53" s="110"/>
      <c r="HH53" s="110"/>
      <c r="HI53" s="110"/>
      <c r="HJ53" s="110"/>
      <c r="HK53" s="110"/>
      <c r="HL53" s="110"/>
      <c r="HM53" s="110"/>
      <c r="HN53" s="110"/>
      <c r="HO53" s="110"/>
      <c r="HP53" s="110"/>
      <c r="HQ53" s="110"/>
      <c r="HR53" s="110"/>
      <c r="HS53" s="110"/>
      <c r="HT53" s="110"/>
      <c r="HU53" s="110"/>
      <c r="HV53" s="110"/>
      <c r="HW53" s="110"/>
      <c r="HX53" s="110"/>
      <c r="HY53" s="110"/>
      <c r="HZ53" s="110"/>
      <c r="IA53" s="110"/>
      <c r="IB53" s="110"/>
      <c r="IC53" s="110"/>
      <c r="ID53" s="110"/>
      <c r="IE53" s="110"/>
      <c r="IF53" s="110"/>
      <c r="IG53" s="110"/>
      <c r="IH53" s="110"/>
      <c r="II53" s="110"/>
      <c r="IJ53" s="110"/>
      <c r="IK53" s="110"/>
      <c r="IL53" s="110"/>
      <c r="IM53" s="110"/>
      <c r="IN53" s="110"/>
      <c r="IO53" s="110"/>
      <c r="IP53" s="110"/>
      <c r="IQ53" s="110"/>
      <c r="IR53" s="110"/>
      <c r="IS53" s="110"/>
      <c r="IT53" s="110"/>
      <c r="IU53" s="110"/>
      <c r="IV53" s="110"/>
      <c r="IW53" s="110"/>
    </row>
    <row r="54" spans="1:257" x14ac:dyDescent="0.3">
      <c r="A54" s="156"/>
      <c r="B54" s="156"/>
      <c r="C54" s="156"/>
      <c r="D54" s="156"/>
      <c r="E54" s="156"/>
      <c r="F54" s="156"/>
      <c r="G54" s="156"/>
      <c r="H54" s="156"/>
      <c r="I54" s="174"/>
      <c r="J54" s="156"/>
      <c r="K54" s="156"/>
      <c r="L54" s="156"/>
      <c r="M54" s="156"/>
      <c r="N54" s="156"/>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c r="CY54" s="110"/>
      <c r="CZ54" s="110"/>
      <c r="DA54" s="110"/>
      <c r="DB54" s="110"/>
      <c r="DC54" s="110"/>
      <c r="DD54" s="110"/>
      <c r="DE54" s="110"/>
      <c r="DF54" s="110"/>
      <c r="DG54" s="110"/>
      <c r="DH54" s="110"/>
      <c r="DI54" s="110"/>
      <c r="DJ54" s="110"/>
      <c r="DK54" s="110"/>
      <c r="DL54" s="110"/>
      <c r="DM54" s="110"/>
      <c r="DN54" s="110"/>
      <c r="DO54" s="110"/>
      <c r="DP54" s="110"/>
      <c r="DQ54" s="110"/>
      <c r="DR54" s="110"/>
      <c r="DS54" s="110"/>
      <c r="DT54" s="110"/>
      <c r="DU54" s="110"/>
      <c r="DV54" s="110"/>
      <c r="DW54" s="110"/>
      <c r="DX54" s="110"/>
      <c r="DY54" s="110"/>
      <c r="DZ54" s="110"/>
      <c r="EA54" s="110"/>
      <c r="EB54" s="110"/>
      <c r="EC54" s="110"/>
      <c r="ED54" s="110"/>
      <c r="EE54" s="110"/>
      <c r="EF54" s="110"/>
      <c r="EG54" s="110"/>
      <c r="EH54" s="110"/>
      <c r="EI54" s="110"/>
      <c r="EJ54" s="110"/>
      <c r="EK54" s="110"/>
      <c r="EL54" s="110"/>
      <c r="EM54" s="110"/>
      <c r="EN54" s="110"/>
      <c r="EO54" s="110"/>
      <c r="EP54" s="110"/>
      <c r="EQ54" s="110"/>
      <c r="ER54" s="110"/>
      <c r="ES54" s="110"/>
      <c r="ET54" s="110"/>
      <c r="EU54" s="110"/>
      <c r="EV54" s="110"/>
      <c r="EW54" s="110"/>
      <c r="EX54" s="110"/>
      <c r="EY54" s="110"/>
      <c r="EZ54" s="110"/>
      <c r="FA54" s="110"/>
      <c r="FB54" s="110"/>
      <c r="FC54" s="110"/>
      <c r="FD54" s="110"/>
      <c r="FE54" s="110"/>
      <c r="FF54" s="110"/>
      <c r="FG54" s="110"/>
      <c r="FH54" s="110"/>
      <c r="FI54" s="110"/>
      <c r="FJ54" s="110"/>
      <c r="FK54" s="110"/>
      <c r="FL54" s="110"/>
      <c r="FM54" s="110"/>
      <c r="FN54" s="110"/>
      <c r="FO54" s="110"/>
      <c r="FP54" s="110"/>
      <c r="FQ54" s="110"/>
      <c r="FR54" s="110"/>
      <c r="FS54" s="110"/>
      <c r="FT54" s="110"/>
      <c r="FU54" s="110"/>
      <c r="FV54" s="110"/>
      <c r="FW54" s="110"/>
      <c r="FX54" s="110"/>
      <c r="FY54" s="110"/>
      <c r="FZ54" s="110"/>
      <c r="GA54" s="110"/>
      <c r="GB54" s="110"/>
      <c r="GC54" s="110"/>
      <c r="GD54" s="110"/>
      <c r="GE54" s="110"/>
      <c r="GF54" s="110"/>
      <c r="GG54" s="110"/>
      <c r="GH54" s="110"/>
      <c r="GI54" s="110"/>
      <c r="GJ54" s="110"/>
      <c r="GK54" s="110"/>
      <c r="GL54" s="110"/>
      <c r="GM54" s="110"/>
      <c r="GN54" s="110"/>
      <c r="GO54" s="110"/>
      <c r="GP54" s="110"/>
      <c r="GQ54" s="110"/>
      <c r="GR54" s="110"/>
      <c r="GS54" s="110"/>
      <c r="GT54" s="110"/>
      <c r="GU54" s="110"/>
      <c r="GV54" s="110"/>
      <c r="GW54" s="110"/>
      <c r="GX54" s="110"/>
      <c r="GY54" s="110"/>
      <c r="GZ54" s="110"/>
      <c r="HA54" s="110"/>
      <c r="HB54" s="110"/>
      <c r="HC54" s="110"/>
      <c r="HD54" s="110"/>
      <c r="HE54" s="110"/>
      <c r="HF54" s="110"/>
      <c r="HG54" s="110"/>
      <c r="HH54" s="110"/>
      <c r="HI54" s="110"/>
      <c r="HJ54" s="110"/>
      <c r="HK54" s="110"/>
      <c r="HL54" s="110"/>
      <c r="HM54" s="110"/>
      <c r="HN54" s="110"/>
      <c r="HO54" s="110"/>
      <c r="HP54" s="110"/>
      <c r="HQ54" s="110"/>
      <c r="HR54" s="110"/>
      <c r="HS54" s="110"/>
      <c r="HT54" s="110"/>
      <c r="HU54" s="110"/>
      <c r="HV54" s="110"/>
      <c r="HW54" s="110"/>
      <c r="HX54" s="110"/>
      <c r="HY54" s="110"/>
      <c r="HZ54" s="110"/>
      <c r="IA54" s="110"/>
      <c r="IB54" s="110"/>
      <c r="IC54" s="110"/>
      <c r="ID54" s="110"/>
      <c r="IE54" s="110"/>
      <c r="IF54" s="110"/>
      <c r="IG54" s="110"/>
      <c r="IH54" s="110"/>
      <c r="II54" s="110"/>
      <c r="IJ54" s="110"/>
      <c r="IK54" s="110"/>
      <c r="IL54" s="110"/>
      <c r="IM54" s="110"/>
      <c r="IN54" s="110"/>
      <c r="IO54" s="110"/>
      <c r="IP54" s="110"/>
      <c r="IQ54" s="110"/>
      <c r="IR54" s="110"/>
      <c r="IS54" s="110"/>
      <c r="IT54" s="110"/>
      <c r="IU54" s="110"/>
      <c r="IV54" s="110"/>
      <c r="IW54" s="110"/>
    </row>
    <row r="55" spans="1:257" x14ac:dyDescent="0.3">
      <c r="A55" s="156"/>
      <c r="B55" s="156"/>
      <c r="C55" s="156"/>
      <c r="D55" s="156"/>
      <c r="E55" s="156"/>
      <c r="F55" s="156"/>
      <c r="G55" s="156"/>
      <c r="H55" s="156"/>
      <c r="I55" s="174"/>
      <c r="J55" s="156"/>
      <c r="K55" s="156"/>
      <c r="L55" s="156"/>
      <c r="M55" s="156"/>
      <c r="N55" s="156"/>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c r="CY55" s="110"/>
      <c r="CZ55" s="110"/>
      <c r="DA55" s="110"/>
      <c r="DB55" s="110"/>
      <c r="DC55" s="110"/>
      <c r="DD55" s="110"/>
      <c r="DE55" s="110"/>
      <c r="DF55" s="110"/>
      <c r="DG55" s="110"/>
      <c r="DH55" s="110"/>
      <c r="DI55" s="110"/>
      <c r="DJ55" s="110"/>
      <c r="DK55" s="110"/>
      <c r="DL55" s="110"/>
      <c r="DM55" s="110"/>
      <c r="DN55" s="110"/>
      <c r="DO55" s="110"/>
      <c r="DP55" s="110"/>
      <c r="DQ55" s="110"/>
      <c r="DR55" s="110"/>
      <c r="DS55" s="110"/>
      <c r="DT55" s="110"/>
      <c r="DU55" s="110"/>
      <c r="DV55" s="110"/>
      <c r="DW55" s="110"/>
      <c r="DX55" s="110"/>
      <c r="DY55" s="110"/>
      <c r="DZ55" s="110"/>
      <c r="EA55" s="110"/>
      <c r="EB55" s="110"/>
      <c r="EC55" s="110"/>
      <c r="ED55" s="110"/>
      <c r="EE55" s="110"/>
      <c r="EF55" s="110"/>
      <c r="EG55" s="110"/>
      <c r="EH55" s="110"/>
      <c r="EI55" s="110"/>
      <c r="EJ55" s="110"/>
      <c r="EK55" s="110"/>
      <c r="EL55" s="110"/>
      <c r="EM55" s="110"/>
      <c r="EN55" s="110"/>
      <c r="EO55" s="110"/>
      <c r="EP55" s="110"/>
      <c r="EQ55" s="110"/>
      <c r="ER55" s="110"/>
      <c r="ES55" s="110"/>
      <c r="ET55" s="110"/>
      <c r="EU55" s="110"/>
      <c r="EV55" s="110"/>
      <c r="EW55" s="110"/>
      <c r="EX55" s="110"/>
      <c r="EY55" s="110"/>
      <c r="EZ55" s="110"/>
      <c r="FA55" s="110"/>
      <c r="FB55" s="110"/>
      <c r="FC55" s="110"/>
      <c r="FD55" s="110"/>
      <c r="FE55" s="110"/>
      <c r="FF55" s="110"/>
      <c r="FG55" s="110"/>
      <c r="FH55" s="110"/>
      <c r="FI55" s="110"/>
      <c r="FJ55" s="110"/>
      <c r="FK55" s="110"/>
      <c r="FL55" s="110"/>
      <c r="FM55" s="110"/>
      <c r="FN55" s="110"/>
      <c r="FO55" s="110"/>
      <c r="FP55" s="110"/>
      <c r="FQ55" s="110"/>
      <c r="FR55" s="110"/>
      <c r="FS55" s="110"/>
      <c r="FT55" s="110"/>
      <c r="FU55" s="110"/>
      <c r="FV55" s="110"/>
      <c r="FW55" s="110"/>
      <c r="FX55" s="110"/>
      <c r="FY55" s="110"/>
      <c r="FZ55" s="110"/>
      <c r="GA55" s="110"/>
      <c r="GB55" s="110"/>
      <c r="GC55" s="110"/>
      <c r="GD55" s="110"/>
      <c r="GE55" s="110"/>
      <c r="GF55" s="110"/>
      <c r="GG55" s="110"/>
      <c r="GH55" s="110"/>
      <c r="GI55" s="110"/>
      <c r="GJ55" s="110"/>
      <c r="GK55" s="110"/>
      <c r="GL55" s="110"/>
      <c r="GM55" s="110"/>
      <c r="GN55" s="110"/>
      <c r="GO55" s="110"/>
      <c r="GP55" s="110"/>
      <c r="GQ55" s="110"/>
      <c r="GR55" s="110"/>
      <c r="GS55" s="110"/>
      <c r="GT55" s="110"/>
      <c r="GU55" s="110"/>
      <c r="GV55" s="110"/>
      <c r="GW55" s="110"/>
      <c r="GX55" s="110"/>
      <c r="GY55" s="110"/>
      <c r="GZ55" s="110"/>
      <c r="HA55" s="110"/>
      <c r="HB55" s="110"/>
      <c r="HC55" s="110"/>
      <c r="HD55" s="110"/>
      <c r="HE55" s="110"/>
      <c r="HF55" s="110"/>
      <c r="HG55" s="110"/>
      <c r="HH55" s="110"/>
      <c r="HI55" s="110"/>
      <c r="HJ55" s="110"/>
      <c r="HK55" s="110"/>
      <c r="HL55" s="110"/>
      <c r="HM55" s="110"/>
      <c r="HN55" s="110"/>
      <c r="HO55" s="110"/>
      <c r="HP55" s="110"/>
      <c r="HQ55" s="110"/>
      <c r="HR55" s="110"/>
      <c r="HS55" s="110"/>
      <c r="HT55" s="110"/>
      <c r="HU55" s="110"/>
      <c r="HV55" s="110"/>
      <c r="HW55" s="110"/>
      <c r="HX55" s="110"/>
      <c r="HY55" s="110"/>
      <c r="HZ55" s="110"/>
      <c r="IA55" s="110"/>
      <c r="IB55" s="110"/>
      <c r="IC55" s="110"/>
      <c r="ID55" s="110"/>
      <c r="IE55" s="110"/>
      <c r="IF55" s="110"/>
      <c r="IG55" s="110"/>
      <c r="IH55" s="110"/>
      <c r="II55" s="110"/>
      <c r="IJ55" s="110"/>
      <c r="IK55" s="110"/>
      <c r="IL55" s="110"/>
      <c r="IM55" s="110"/>
      <c r="IN55" s="110"/>
      <c r="IO55" s="110"/>
      <c r="IP55" s="110"/>
      <c r="IQ55" s="110"/>
      <c r="IR55" s="110"/>
      <c r="IS55" s="110"/>
      <c r="IT55" s="110"/>
      <c r="IU55" s="110"/>
      <c r="IV55" s="110"/>
      <c r="IW55" s="110"/>
    </row>
    <row r="56" spans="1:257" x14ac:dyDescent="0.3">
      <c r="A56" s="156"/>
      <c r="B56" s="156"/>
      <c r="C56" s="156"/>
      <c r="D56" s="156"/>
      <c r="E56" s="156"/>
      <c r="F56" s="156"/>
      <c r="G56" s="156"/>
      <c r="H56" s="156"/>
      <c r="I56" s="174"/>
      <c r="J56" s="156"/>
      <c r="K56" s="156"/>
      <c r="L56" s="156"/>
      <c r="M56" s="156"/>
      <c r="N56" s="156"/>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c r="CY56" s="110"/>
      <c r="CZ56" s="110"/>
      <c r="DA56" s="110"/>
      <c r="DB56" s="110"/>
      <c r="DC56" s="110"/>
      <c r="DD56" s="110"/>
      <c r="DE56" s="110"/>
      <c r="DF56" s="110"/>
      <c r="DG56" s="110"/>
      <c r="DH56" s="110"/>
      <c r="DI56" s="110"/>
      <c r="DJ56" s="110"/>
      <c r="DK56" s="110"/>
      <c r="DL56" s="110"/>
      <c r="DM56" s="110"/>
      <c r="DN56" s="110"/>
      <c r="DO56" s="110"/>
      <c r="DP56" s="110"/>
      <c r="DQ56" s="110"/>
      <c r="DR56" s="110"/>
      <c r="DS56" s="110"/>
      <c r="DT56" s="110"/>
      <c r="DU56" s="110"/>
      <c r="DV56" s="110"/>
      <c r="DW56" s="110"/>
      <c r="DX56" s="110"/>
      <c r="DY56" s="110"/>
      <c r="DZ56" s="110"/>
      <c r="EA56" s="110"/>
      <c r="EB56" s="110"/>
      <c r="EC56" s="110"/>
      <c r="ED56" s="110"/>
      <c r="EE56" s="110"/>
      <c r="EF56" s="110"/>
      <c r="EG56" s="110"/>
      <c r="EH56" s="110"/>
      <c r="EI56" s="110"/>
      <c r="EJ56" s="110"/>
      <c r="EK56" s="110"/>
      <c r="EL56" s="110"/>
      <c r="EM56" s="110"/>
      <c r="EN56" s="110"/>
      <c r="EO56" s="110"/>
      <c r="EP56" s="110"/>
      <c r="EQ56" s="110"/>
      <c r="ER56" s="110"/>
      <c r="ES56" s="110"/>
      <c r="ET56" s="110"/>
      <c r="EU56" s="110"/>
      <c r="EV56" s="110"/>
      <c r="EW56" s="110"/>
      <c r="EX56" s="110"/>
      <c r="EY56" s="110"/>
      <c r="EZ56" s="110"/>
      <c r="FA56" s="110"/>
      <c r="FB56" s="110"/>
      <c r="FC56" s="110"/>
      <c r="FD56" s="110"/>
      <c r="FE56" s="110"/>
      <c r="FF56" s="110"/>
      <c r="FG56" s="110"/>
      <c r="FH56" s="110"/>
      <c r="FI56" s="110"/>
      <c r="FJ56" s="110"/>
      <c r="FK56" s="110"/>
      <c r="FL56" s="110"/>
      <c r="FM56" s="110"/>
      <c r="FN56" s="110"/>
      <c r="FO56" s="110"/>
      <c r="FP56" s="110"/>
      <c r="FQ56" s="110"/>
      <c r="FR56" s="110"/>
      <c r="FS56" s="110"/>
      <c r="FT56" s="110"/>
      <c r="FU56" s="110"/>
      <c r="FV56" s="110"/>
      <c r="FW56" s="110"/>
      <c r="FX56" s="110"/>
      <c r="FY56" s="110"/>
      <c r="FZ56" s="110"/>
      <c r="GA56" s="110"/>
      <c r="GB56" s="110"/>
      <c r="GC56" s="110"/>
      <c r="GD56" s="110"/>
      <c r="GE56" s="110"/>
      <c r="GF56" s="110"/>
      <c r="GG56" s="110"/>
      <c r="GH56" s="110"/>
      <c r="GI56" s="110"/>
      <c r="GJ56" s="110"/>
      <c r="GK56" s="110"/>
      <c r="GL56" s="110"/>
      <c r="GM56" s="110"/>
      <c r="GN56" s="110"/>
      <c r="GO56" s="110"/>
      <c r="GP56" s="110"/>
      <c r="GQ56" s="110"/>
      <c r="GR56" s="110"/>
      <c r="GS56" s="110"/>
      <c r="GT56" s="110"/>
      <c r="GU56" s="110"/>
      <c r="GV56" s="110"/>
      <c r="GW56" s="110"/>
      <c r="GX56" s="110"/>
      <c r="GY56" s="110"/>
      <c r="GZ56" s="110"/>
      <c r="HA56" s="110"/>
      <c r="HB56" s="110"/>
      <c r="HC56" s="110"/>
      <c r="HD56" s="110"/>
      <c r="HE56" s="110"/>
      <c r="HF56" s="110"/>
      <c r="HG56" s="110"/>
      <c r="HH56" s="110"/>
      <c r="HI56" s="110"/>
      <c r="HJ56" s="110"/>
      <c r="HK56" s="110"/>
      <c r="HL56" s="110"/>
      <c r="HM56" s="110"/>
      <c r="HN56" s="110"/>
      <c r="HO56" s="110"/>
      <c r="HP56" s="110"/>
      <c r="HQ56" s="110"/>
      <c r="HR56" s="110"/>
      <c r="HS56" s="110"/>
      <c r="HT56" s="110"/>
      <c r="HU56" s="110"/>
      <c r="HV56" s="110"/>
      <c r="HW56" s="110"/>
      <c r="HX56" s="110"/>
      <c r="HY56" s="110"/>
      <c r="HZ56" s="110"/>
      <c r="IA56" s="110"/>
      <c r="IB56" s="110"/>
      <c r="IC56" s="110"/>
      <c r="ID56" s="110"/>
      <c r="IE56" s="110"/>
      <c r="IF56" s="110"/>
      <c r="IG56" s="110"/>
      <c r="IH56" s="110"/>
      <c r="II56" s="110"/>
      <c r="IJ56" s="110"/>
      <c r="IK56" s="110"/>
      <c r="IL56" s="110"/>
      <c r="IM56" s="110"/>
      <c r="IN56" s="110"/>
      <c r="IO56" s="110"/>
      <c r="IP56" s="110"/>
      <c r="IQ56" s="110"/>
      <c r="IR56" s="110"/>
      <c r="IS56" s="110"/>
      <c r="IT56" s="110"/>
      <c r="IU56" s="110"/>
      <c r="IV56" s="110"/>
      <c r="IW56" s="110"/>
    </row>
    <row r="57" spans="1:257" x14ac:dyDescent="0.3">
      <c r="A57" s="156"/>
      <c r="B57" s="156"/>
      <c r="C57" s="156"/>
      <c r="D57" s="156"/>
      <c r="E57" s="156"/>
      <c r="F57" s="156"/>
      <c r="G57" s="156"/>
      <c r="H57" s="156"/>
      <c r="I57" s="174"/>
      <c r="J57" s="156"/>
      <c r="K57" s="156"/>
      <c r="L57" s="156"/>
      <c r="M57" s="156"/>
      <c r="N57" s="156"/>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c r="CY57" s="110"/>
      <c r="CZ57" s="110"/>
      <c r="DA57" s="110"/>
      <c r="DB57" s="110"/>
      <c r="DC57" s="110"/>
      <c r="DD57" s="110"/>
      <c r="DE57" s="110"/>
      <c r="DF57" s="110"/>
      <c r="DG57" s="110"/>
      <c r="DH57" s="110"/>
      <c r="DI57" s="110"/>
      <c r="DJ57" s="110"/>
      <c r="DK57" s="110"/>
      <c r="DL57" s="110"/>
      <c r="DM57" s="110"/>
      <c r="DN57" s="110"/>
      <c r="DO57" s="110"/>
      <c r="DP57" s="110"/>
      <c r="DQ57" s="110"/>
      <c r="DR57" s="110"/>
      <c r="DS57" s="110"/>
      <c r="DT57" s="110"/>
      <c r="DU57" s="110"/>
      <c r="DV57" s="110"/>
      <c r="DW57" s="110"/>
      <c r="DX57" s="110"/>
      <c r="DY57" s="110"/>
      <c r="DZ57" s="110"/>
      <c r="EA57" s="110"/>
      <c r="EB57" s="110"/>
      <c r="EC57" s="110"/>
      <c r="ED57" s="110"/>
      <c r="EE57" s="110"/>
      <c r="EF57" s="110"/>
      <c r="EG57" s="110"/>
      <c r="EH57" s="110"/>
      <c r="EI57" s="110"/>
      <c r="EJ57" s="110"/>
      <c r="EK57" s="110"/>
      <c r="EL57" s="110"/>
      <c r="EM57" s="110"/>
      <c r="EN57" s="110"/>
      <c r="EO57" s="110"/>
      <c r="EP57" s="110"/>
      <c r="EQ57" s="110"/>
      <c r="ER57" s="110"/>
      <c r="ES57" s="110"/>
      <c r="ET57" s="110"/>
      <c r="EU57" s="110"/>
      <c r="EV57" s="110"/>
      <c r="EW57" s="110"/>
      <c r="EX57" s="110"/>
      <c r="EY57" s="110"/>
      <c r="EZ57" s="110"/>
      <c r="FA57" s="110"/>
      <c r="FB57" s="110"/>
      <c r="FC57" s="110"/>
      <c r="FD57" s="110"/>
      <c r="FE57" s="110"/>
      <c r="FF57" s="110"/>
      <c r="FG57" s="110"/>
      <c r="FH57" s="110"/>
      <c r="FI57" s="110"/>
      <c r="FJ57" s="110"/>
      <c r="FK57" s="110"/>
      <c r="FL57" s="110"/>
      <c r="FM57" s="110"/>
      <c r="FN57" s="110"/>
      <c r="FO57" s="110"/>
      <c r="FP57" s="110"/>
      <c r="FQ57" s="110"/>
      <c r="FR57" s="110"/>
      <c r="FS57" s="110"/>
      <c r="FT57" s="110"/>
      <c r="FU57" s="110"/>
      <c r="FV57" s="110"/>
      <c r="FW57" s="110"/>
      <c r="FX57" s="110"/>
      <c r="FY57" s="110"/>
      <c r="FZ57" s="110"/>
      <c r="GA57" s="110"/>
      <c r="GB57" s="110"/>
      <c r="GC57" s="110"/>
      <c r="GD57" s="110"/>
      <c r="GE57" s="110"/>
      <c r="GF57" s="110"/>
      <c r="GG57" s="110"/>
      <c r="GH57" s="110"/>
      <c r="GI57" s="110"/>
      <c r="GJ57" s="110"/>
      <c r="GK57" s="110"/>
      <c r="GL57" s="110"/>
      <c r="GM57" s="110"/>
      <c r="GN57" s="110"/>
      <c r="GO57" s="110"/>
      <c r="GP57" s="110"/>
      <c r="GQ57" s="110"/>
      <c r="GR57" s="110"/>
      <c r="GS57" s="110"/>
      <c r="GT57" s="110"/>
      <c r="GU57" s="110"/>
      <c r="GV57" s="110"/>
      <c r="GW57" s="110"/>
      <c r="GX57" s="110"/>
      <c r="GY57" s="110"/>
      <c r="GZ57" s="110"/>
      <c r="HA57" s="110"/>
      <c r="HB57" s="110"/>
      <c r="HC57" s="110"/>
      <c r="HD57" s="110"/>
      <c r="HE57" s="110"/>
      <c r="HF57" s="110"/>
      <c r="HG57" s="110"/>
      <c r="HH57" s="110"/>
      <c r="HI57" s="110"/>
      <c r="HJ57" s="110"/>
      <c r="HK57" s="110"/>
      <c r="HL57" s="110"/>
      <c r="HM57" s="110"/>
      <c r="HN57" s="110"/>
      <c r="HO57" s="110"/>
      <c r="HP57" s="110"/>
      <c r="HQ57" s="110"/>
      <c r="HR57" s="110"/>
      <c r="HS57" s="110"/>
      <c r="HT57" s="110"/>
      <c r="HU57" s="110"/>
      <c r="HV57" s="110"/>
      <c r="HW57" s="110"/>
      <c r="HX57" s="110"/>
      <c r="HY57" s="110"/>
      <c r="HZ57" s="110"/>
      <c r="IA57" s="110"/>
      <c r="IB57" s="110"/>
      <c r="IC57" s="110"/>
      <c r="ID57" s="110"/>
      <c r="IE57" s="110"/>
      <c r="IF57" s="110"/>
      <c r="IG57" s="110"/>
      <c r="IH57" s="110"/>
      <c r="II57" s="110"/>
      <c r="IJ57" s="110"/>
      <c r="IK57" s="110"/>
      <c r="IL57" s="110"/>
      <c r="IM57" s="110"/>
      <c r="IN57" s="110"/>
      <c r="IO57" s="110"/>
      <c r="IP57" s="110"/>
      <c r="IQ57" s="110"/>
      <c r="IR57" s="110"/>
      <c r="IS57" s="110"/>
      <c r="IT57" s="110"/>
      <c r="IU57" s="110"/>
      <c r="IV57" s="110"/>
      <c r="IW57" s="110"/>
    </row>
    <row r="58" spans="1:257" x14ac:dyDescent="0.3">
      <c r="A58" s="156"/>
      <c r="B58" s="156"/>
      <c r="C58" s="156"/>
      <c r="D58" s="156"/>
      <c r="E58" s="156"/>
      <c r="F58" s="156"/>
      <c r="G58" s="156"/>
      <c r="H58" s="156"/>
      <c r="I58" s="174"/>
      <c r="J58" s="156"/>
      <c r="K58" s="156"/>
      <c r="L58" s="156"/>
      <c r="M58" s="156"/>
      <c r="N58" s="156"/>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c r="CY58" s="110"/>
      <c r="CZ58" s="110"/>
      <c r="DA58" s="110"/>
      <c r="DB58" s="110"/>
      <c r="DC58" s="110"/>
      <c r="DD58" s="110"/>
      <c r="DE58" s="110"/>
      <c r="DF58" s="110"/>
      <c r="DG58" s="110"/>
      <c r="DH58" s="110"/>
      <c r="DI58" s="110"/>
      <c r="DJ58" s="110"/>
      <c r="DK58" s="110"/>
      <c r="DL58" s="110"/>
      <c r="DM58" s="110"/>
      <c r="DN58" s="110"/>
      <c r="DO58" s="110"/>
      <c r="DP58" s="110"/>
      <c r="DQ58" s="110"/>
      <c r="DR58" s="110"/>
      <c r="DS58" s="110"/>
      <c r="DT58" s="110"/>
      <c r="DU58" s="110"/>
      <c r="DV58" s="110"/>
      <c r="DW58" s="110"/>
      <c r="DX58" s="110"/>
      <c r="DY58" s="110"/>
      <c r="DZ58" s="110"/>
      <c r="EA58" s="110"/>
      <c r="EB58" s="110"/>
      <c r="EC58" s="110"/>
      <c r="ED58" s="110"/>
      <c r="EE58" s="110"/>
      <c r="EF58" s="110"/>
      <c r="EG58" s="110"/>
      <c r="EH58" s="110"/>
      <c r="EI58" s="110"/>
      <c r="EJ58" s="110"/>
      <c r="EK58" s="110"/>
      <c r="EL58" s="110"/>
      <c r="EM58" s="110"/>
      <c r="EN58" s="110"/>
      <c r="EO58" s="110"/>
      <c r="EP58" s="110"/>
      <c r="EQ58" s="110"/>
      <c r="ER58" s="110"/>
      <c r="ES58" s="110"/>
      <c r="ET58" s="110"/>
      <c r="EU58" s="110"/>
      <c r="EV58" s="110"/>
      <c r="EW58" s="110"/>
      <c r="EX58" s="110"/>
      <c r="EY58" s="110"/>
      <c r="EZ58" s="110"/>
      <c r="FA58" s="110"/>
      <c r="FB58" s="110"/>
      <c r="FC58" s="110"/>
      <c r="FD58" s="110"/>
      <c r="FE58" s="110"/>
      <c r="FF58" s="110"/>
      <c r="FG58" s="110"/>
      <c r="FH58" s="110"/>
      <c r="FI58" s="110"/>
      <c r="FJ58" s="110"/>
      <c r="FK58" s="110"/>
      <c r="FL58" s="110"/>
      <c r="FM58" s="110"/>
      <c r="FN58" s="110"/>
      <c r="FO58" s="110"/>
      <c r="FP58" s="110"/>
      <c r="FQ58" s="110"/>
      <c r="FR58" s="110"/>
      <c r="FS58" s="110"/>
      <c r="FT58" s="110"/>
      <c r="FU58" s="110"/>
      <c r="FV58" s="110"/>
      <c r="FW58" s="110"/>
      <c r="FX58" s="110"/>
      <c r="FY58" s="110"/>
      <c r="FZ58" s="110"/>
      <c r="GA58" s="110"/>
      <c r="GB58" s="110"/>
      <c r="GC58" s="110"/>
      <c r="GD58" s="110"/>
      <c r="GE58" s="110"/>
      <c r="GF58" s="110"/>
      <c r="GG58" s="110"/>
      <c r="GH58" s="110"/>
      <c r="GI58" s="110"/>
      <c r="GJ58" s="110"/>
      <c r="GK58" s="110"/>
      <c r="GL58" s="110"/>
      <c r="GM58" s="110"/>
      <c r="GN58" s="110"/>
      <c r="GO58" s="110"/>
      <c r="GP58" s="110"/>
      <c r="GQ58" s="110"/>
      <c r="GR58" s="110"/>
      <c r="GS58" s="110"/>
      <c r="GT58" s="110"/>
      <c r="GU58" s="110"/>
      <c r="GV58" s="110"/>
      <c r="GW58" s="110"/>
      <c r="GX58" s="110"/>
      <c r="GY58" s="110"/>
      <c r="GZ58" s="110"/>
      <c r="HA58" s="110"/>
      <c r="HB58" s="110"/>
      <c r="HC58" s="110"/>
      <c r="HD58" s="110"/>
      <c r="HE58" s="110"/>
      <c r="HF58" s="110"/>
      <c r="HG58" s="110"/>
      <c r="HH58" s="110"/>
      <c r="HI58" s="110"/>
      <c r="HJ58" s="110"/>
      <c r="HK58" s="110"/>
      <c r="HL58" s="110"/>
      <c r="HM58" s="110"/>
      <c r="HN58" s="110"/>
      <c r="HO58" s="110"/>
      <c r="HP58" s="110"/>
      <c r="HQ58" s="110"/>
      <c r="HR58" s="110"/>
      <c r="HS58" s="110"/>
      <c r="HT58" s="110"/>
      <c r="HU58" s="110"/>
      <c r="HV58" s="110"/>
      <c r="HW58" s="110"/>
      <c r="HX58" s="110"/>
      <c r="HY58" s="110"/>
      <c r="HZ58" s="110"/>
      <c r="IA58" s="110"/>
      <c r="IB58" s="110"/>
      <c r="IC58" s="110"/>
      <c r="ID58" s="110"/>
      <c r="IE58" s="110"/>
      <c r="IF58" s="110"/>
      <c r="IG58" s="110"/>
      <c r="IH58" s="110"/>
      <c r="II58" s="110"/>
      <c r="IJ58" s="110"/>
      <c r="IK58" s="110"/>
      <c r="IL58" s="110"/>
      <c r="IM58" s="110"/>
      <c r="IN58" s="110"/>
      <c r="IO58" s="110"/>
      <c r="IP58" s="110"/>
      <c r="IQ58" s="110"/>
      <c r="IR58" s="110"/>
      <c r="IS58" s="110"/>
      <c r="IT58" s="110"/>
      <c r="IU58" s="110"/>
      <c r="IV58" s="110"/>
      <c r="IW58" s="110"/>
    </row>
    <row r="59" spans="1:257" x14ac:dyDescent="0.3">
      <c r="A59" s="156"/>
      <c r="B59" s="156"/>
      <c r="C59" s="156"/>
      <c r="D59" s="156"/>
      <c r="E59" s="156"/>
      <c r="F59" s="156"/>
      <c r="G59" s="156"/>
      <c r="H59" s="156"/>
      <c r="I59" s="174"/>
      <c r="J59" s="156"/>
      <c r="K59" s="156"/>
      <c r="L59" s="156"/>
      <c r="M59" s="156"/>
      <c r="N59" s="156"/>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c r="CY59" s="110"/>
      <c r="CZ59" s="110"/>
      <c r="DA59" s="110"/>
      <c r="DB59" s="110"/>
      <c r="DC59" s="110"/>
      <c r="DD59" s="110"/>
      <c r="DE59" s="110"/>
      <c r="DF59" s="110"/>
      <c r="DG59" s="110"/>
      <c r="DH59" s="110"/>
      <c r="DI59" s="110"/>
      <c r="DJ59" s="110"/>
      <c r="DK59" s="110"/>
      <c r="DL59" s="110"/>
      <c r="DM59" s="110"/>
      <c r="DN59" s="110"/>
      <c r="DO59" s="110"/>
      <c r="DP59" s="110"/>
      <c r="DQ59" s="110"/>
      <c r="DR59" s="110"/>
      <c r="DS59" s="110"/>
      <c r="DT59" s="110"/>
      <c r="DU59" s="110"/>
      <c r="DV59" s="110"/>
      <c r="DW59" s="110"/>
      <c r="DX59" s="110"/>
      <c r="DY59" s="110"/>
      <c r="DZ59" s="110"/>
      <c r="EA59" s="110"/>
      <c r="EB59" s="110"/>
      <c r="EC59" s="110"/>
      <c r="ED59" s="110"/>
      <c r="EE59" s="110"/>
      <c r="EF59" s="110"/>
      <c r="EG59" s="110"/>
      <c r="EH59" s="110"/>
      <c r="EI59" s="110"/>
      <c r="EJ59" s="110"/>
      <c r="EK59" s="110"/>
      <c r="EL59" s="110"/>
      <c r="EM59" s="110"/>
      <c r="EN59" s="110"/>
      <c r="EO59" s="110"/>
      <c r="EP59" s="110"/>
      <c r="EQ59" s="110"/>
      <c r="ER59" s="110"/>
      <c r="ES59" s="110"/>
      <c r="ET59" s="110"/>
      <c r="EU59" s="110"/>
      <c r="EV59" s="110"/>
      <c r="EW59" s="110"/>
      <c r="EX59" s="110"/>
      <c r="EY59" s="110"/>
      <c r="EZ59" s="110"/>
      <c r="FA59" s="110"/>
      <c r="FB59" s="110"/>
      <c r="FC59" s="110"/>
      <c r="FD59" s="110"/>
      <c r="FE59" s="110"/>
      <c r="FF59" s="110"/>
      <c r="FG59" s="110"/>
      <c r="FH59" s="110"/>
      <c r="FI59" s="110"/>
      <c r="FJ59" s="110"/>
      <c r="FK59" s="110"/>
      <c r="FL59" s="110"/>
      <c r="FM59" s="110"/>
      <c r="FN59" s="110"/>
      <c r="FO59" s="110"/>
      <c r="FP59" s="110"/>
      <c r="FQ59" s="110"/>
      <c r="FR59" s="110"/>
      <c r="FS59" s="110"/>
      <c r="FT59" s="110"/>
      <c r="FU59" s="110"/>
      <c r="FV59" s="110"/>
      <c r="FW59" s="110"/>
      <c r="FX59" s="110"/>
      <c r="FY59" s="110"/>
      <c r="FZ59" s="110"/>
      <c r="GA59" s="110"/>
      <c r="GB59" s="110"/>
      <c r="GC59" s="110"/>
      <c r="GD59" s="110"/>
      <c r="GE59" s="110"/>
      <c r="GF59" s="110"/>
      <c r="GG59" s="110"/>
      <c r="GH59" s="110"/>
      <c r="GI59" s="110"/>
      <c r="GJ59" s="110"/>
      <c r="GK59" s="110"/>
      <c r="GL59" s="110"/>
      <c r="GM59" s="110"/>
      <c r="GN59" s="110"/>
      <c r="GO59" s="110"/>
      <c r="GP59" s="110"/>
      <c r="GQ59" s="110"/>
      <c r="GR59" s="110"/>
      <c r="GS59" s="110"/>
      <c r="GT59" s="110"/>
      <c r="GU59" s="110"/>
      <c r="GV59" s="110"/>
      <c r="GW59" s="110"/>
      <c r="GX59" s="110"/>
      <c r="GY59" s="110"/>
      <c r="GZ59" s="110"/>
      <c r="HA59" s="110"/>
      <c r="HB59" s="110"/>
      <c r="HC59" s="110"/>
      <c r="HD59" s="110"/>
      <c r="HE59" s="110"/>
      <c r="HF59" s="110"/>
      <c r="HG59" s="110"/>
      <c r="HH59" s="110"/>
      <c r="HI59" s="110"/>
      <c r="HJ59" s="110"/>
      <c r="HK59" s="110"/>
      <c r="HL59" s="110"/>
      <c r="HM59" s="110"/>
      <c r="HN59" s="110"/>
      <c r="HO59" s="110"/>
      <c r="HP59" s="110"/>
      <c r="HQ59" s="110"/>
      <c r="HR59" s="110"/>
      <c r="HS59" s="110"/>
      <c r="HT59" s="110"/>
      <c r="HU59" s="110"/>
      <c r="HV59" s="110"/>
      <c r="HW59" s="110"/>
      <c r="HX59" s="110"/>
      <c r="HY59" s="110"/>
      <c r="HZ59" s="110"/>
      <c r="IA59" s="110"/>
      <c r="IB59" s="110"/>
      <c r="IC59" s="110"/>
      <c r="ID59" s="110"/>
      <c r="IE59" s="110"/>
      <c r="IF59" s="110"/>
      <c r="IG59" s="110"/>
      <c r="IH59" s="110"/>
      <c r="II59" s="110"/>
      <c r="IJ59" s="110"/>
      <c r="IK59" s="110"/>
      <c r="IL59" s="110"/>
      <c r="IM59" s="110"/>
      <c r="IN59" s="110"/>
      <c r="IO59" s="110"/>
      <c r="IP59" s="110"/>
      <c r="IQ59" s="110"/>
      <c r="IR59" s="110"/>
      <c r="IS59" s="110"/>
      <c r="IT59" s="110"/>
      <c r="IU59" s="110"/>
      <c r="IV59" s="110"/>
      <c r="IW59" s="110"/>
    </row>
    <row r="60" spans="1:257" x14ac:dyDescent="0.3">
      <c r="A60" s="156"/>
      <c r="B60" s="156"/>
      <c r="C60" s="156"/>
      <c r="D60" s="156"/>
      <c r="E60" s="156"/>
      <c r="F60" s="156"/>
      <c r="G60" s="156"/>
      <c r="H60" s="156"/>
      <c r="I60" s="174"/>
      <c r="J60" s="156"/>
      <c r="K60" s="156"/>
      <c r="L60" s="156"/>
      <c r="M60" s="156"/>
      <c r="N60" s="156"/>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c r="CY60" s="110"/>
      <c r="CZ60" s="110"/>
      <c r="DA60" s="110"/>
      <c r="DB60" s="110"/>
      <c r="DC60" s="110"/>
      <c r="DD60" s="110"/>
      <c r="DE60" s="110"/>
      <c r="DF60" s="110"/>
      <c r="DG60" s="110"/>
      <c r="DH60" s="110"/>
      <c r="DI60" s="110"/>
      <c r="DJ60" s="110"/>
      <c r="DK60" s="110"/>
      <c r="DL60" s="110"/>
      <c r="DM60" s="110"/>
      <c r="DN60" s="110"/>
      <c r="DO60" s="110"/>
      <c r="DP60" s="110"/>
      <c r="DQ60" s="110"/>
      <c r="DR60" s="110"/>
      <c r="DS60" s="110"/>
      <c r="DT60" s="110"/>
      <c r="DU60" s="110"/>
      <c r="DV60" s="110"/>
      <c r="DW60" s="110"/>
      <c r="DX60" s="110"/>
      <c r="DY60" s="110"/>
      <c r="DZ60" s="110"/>
      <c r="EA60" s="110"/>
      <c r="EB60" s="110"/>
      <c r="EC60" s="110"/>
      <c r="ED60" s="110"/>
      <c r="EE60" s="110"/>
      <c r="EF60" s="110"/>
      <c r="EG60" s="110"/>
      <c r="EH60" s="110"/>
      <c r="EI60" s="110"/>
      <c r="EJ60" s="110"/>
      <c r="EK60" s="110"/>
      <c r="EL60" s="110"/>
      <c r="EM60" s="110"/>
      <c r="EN60" s="110"/>
      <c r="EO60" s="110"/>
      <c r="EP60" s="110"/>
      <c r="EQ60" s="110"/>
      <c r="ER60" s="110"/>
      <c r="ES60" s="110"/>
      <c r="ET60" s="110"/>
      <c r="EU60" s="110"/>
      <c r="EV60" s="110"/>
      <c r="EW60" s="110"/>
      <c r="EX60" s="110"/>
      <c r="EY60" s="110"/>
      <c r="EZ60" s="110"/>
      <c r="FA60" s="110"/>
      <c r="FB60" s="110"/>
      <c r="FC60" s="110"/>
      <c r="FD60" s="110"/>
      <c r="FE60" s="110"/>
      <c r="FF60" s="110"/>
      <c r="FG60" s="110"/>
      <c r="FH60" s="110"/>
      <c r="FI60" s="110"/>
      <c r="FJ60" s="110"/>
      <c r="FK60" s="110"/>
      <c r="FL60" s="110"/>
      <c r="FM60" s="110"/>
      <c r="FN60" s="110"/>
      <c r="FO60" s="110"/>
      <c r="FP60" s="110"/>
      <c r="FQ60" s="110"/>
      <c r="FR60" s="110"/>
      <c r="FS60" s="110"/>
      <c r="FT60" s="110"/>
      <c r="FU60" s="110"/>
      <c r="FV60" s="110"/>
      <c r="FW60" s="110"/>
      <c r="FX60" s="110"/>
      <c r="FY60" s="110"/>
      <c r="FZ60" s="110"/>
      <c r="GA60" s="110"/>
      <c r="GB60" s="110"/>
      <c r="GC60" s="110"/>
      <c r="GD60" s="110"/>
      <c r="GE60" s="110"/>
      <c r="GF60" s="110"/>
      <c r="GG60" s="110"/>
      <c r="GH60" s="110"/>
      <c r="GI60" s="110"/>
      <c r="GJ60" s="110"/>
      <c r="GK60" s="110"/>
      <c r="GL60" s="110"/>
      <c r="GM60" s="110"/>
      <c r="GN60" s="110"/>
      <c r="GO60" s="110"/>
      <c r="GP60" s="110"/>
      <c r="GQ60" s="110"/>
      <c r="GR60" s="110"/>
      <c r="GS60" s="110"/>
      <c r="GT60" s="110"/>
      <c r="GU60" s="110"/>
      <c r="GV60" s="110"/>
      <c r="GW60" s="110"/>
      <c r="GX60" s="110"/>
      <c r="GY60" s="110"/>
      <c r="GZ60" s="110"/>
      <c r="HA60" s="110"/>
      <c r="HB60" s="110"/>
      <c r="HC60" s="110"/>
      <c r="HD60" s="110"/>
      <c r="HE60" s="110"/>
      <c r="HF60" s="110"/>
      <c r="HG60" s="110"/>
      <c r="HH60" s="110"/>
      <c r="HI60" s="110"/>
      <c r="HJ60" s="110"/>
      <c r="HK60" s="110"/>
      <c r="HL60" s="110"/>
      <c r="HM60" s="110"/>
      <c r="HN60" s="110"/>
      <c r="HO60" s="110"/>
      <c r="HP60" s="110"/>
      <c r="HQ60" s="110"/>
      <c r="HR60" s="110"/>
      <c r="HS60" s="110"/>
      <c r="HT60" s="110"/>
      <c r="HU60" s="110"/>
      <c r="HV60" s="110"/>
      <c r="HW60" s="110"/>
      <c r="HX60" s="110"/>
      <c r="HY60" s="110"/>
      <c r="HZ60" s="110"/>
      <c r="IA60" s="110"/>
      <c r="IB60" s="110"/>
      <c r="IC60" s="110"/>
      <c r="ID60" s="110"/>
      <c r="IE60" s="110"/>
      <c r="IF60" s="110"/>
      <c r="IG60" s="110"/>
      <c r="IH60" s="110"/>
      <c r="II60" s="110"/>
      <c r="IJ60" s="110"/>
      <c r="IK60" s="110"/>
      <c r="IL60" s="110"/>
      <c r="IM60" s="110"/>
      <c r="IN60" s="110"/>
      <c r="IO60" s="110"/>
      <c r="IP60" s="110"/>
      <c r="IQ60" s="110"/>
      <c r="IR60" s="110"/>
      <c r="IS60" s="110"/>
      <c r="IT60" s="110"/>
      <c r="IU60" s="110"/>
      <c r="IV60" s="110"/>
      <c r="IW60" s="110"/>
    </row>
    <row r="61" spans="1:257" x14ac:dyDescent="0.3">
      <c r="A61" s="156"/>
      <c r="B61" s="156"/>
      <c r="C61" s="156"/>
      <c r="D61" s="156"/>
      <c r="E61" s="156"/>
      <c r="F61" s="156"/>
      <c r="G61" s="156"/>
      <c r="H61" s="156"/>
      <c r="I61" s="174"/>
      <c r="J61" s="156"/>
      <c r="K61" s="156"/>
      <c r="L61" s="156"/>
      <c r="M61" s="156"/>
      <c r="N61" s="156"/>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c r="CY61" s="110"/>
      <c r="CZ61" s="110"/>
      <c r="DA61" s="110"/>
      <c r="DB61" s="110"/>
      <c r="DC61" s="110"/>
      <c r="DD61" s="110"/>
      <c r="DE61" s="110"/>
      <c r="DF61" s="110"/>
      <c r="DG61" s="110"/>
      <c r="DH61" s="110"/>
      <c r="DI61" s="110"/>
      <c r="DJ61" s="110"/>
      <c r="DK61" s="110"/>
      <c r="DL61" s="110"/>
      <c r="DM61" s="110"/>
      <c r="DN61" s="110"/>
      <c r="DO61" s="110"/>
      <c r="DP61" s="110"/>
      <c r="DQ61" s="110"/>
      <c r="DR61" s="110"/>
      <c r="DS61" s="110"/>
      <c r="DT61" s="110"/>
      <c r="DU61" s="110"/>
      <c r="DV61" s="110"/>
      <c r="DW61" s="110"/>
      <c r="DX61" s="110"/>
      <c r="DY61" s="110"/>
      <c r="DZ61" s="110"/>
      <c r="EA61" s="110"/>
      <c r="EB61" s="110"/>
      <c r="EC61" s="110"/>
      <c r="ED61" s="110"/>
      <c r="EE61" s="110"/>
      <c r="EF61" s="110"/>
      <c r="EG61" s="110"/>
      <c r="EH61" s="110"/>
      <c r="EI61" s="110"/>
      <c r="EJ61" s="110"/>
      <c r="EK61" s="110"/>
      <c r="EL61" s="110"/>
      <c r="EM61" s="110"/>
      <c r="EN61" s="110"/>
      <c r="EO61" s="110"/>
      <c r="EP61" s="110"/>
      <c r="EQ61" s="110"/>
      <c r="ER61" s="110"/>
      <c r="ES61" s="110"/>
      <c r="ET61" s="110"/>
      <c r="EU61" s="110"/>
      <c r="EV61" s="110"/>
      <c r="EW61" s="110"/>
      <c r="EX61" s="110"/>
      <c r="EY61" s="110"/>
      <c r="EZ61" s="110"/>
      <c r="FA61" s="110"/>
      <c r="FB61" s="110"/>
      <c r="FC61" s="110"/>
      <c r="FD61" s="110"/>
      <c r="FE61" s="110"/>
      <c r="FF61" s="110"/>
      <c r="FG61" s="110"/>
      <c r="FH61" s="110"/>
      <c r="FI61" s="110"/>
      <c r="FJ61" s="110"/>
      <c r="FK61" s="110"/>
      <c r="FL61" s="110"/>
      <c r="FM61" s="110"/>
      <c r="FN61" s="110"/>
      <c r="FO61" s="110"/>
      <c r="FP61" s="110"/>
      <c r="FQ61" s="110"/>
      <c r="FR61" s="110"/>
      <c r="FS61" s="110"/>
      <c r="FT61" s="110"/>
      <c r="FU61" s="110"/>
      <c r="FV61" s="110"/>
      <c r="FW61" s="110"/>
      <c r="FX61" s="110"/>
      <c r="FY61" s="110"/>
      <c r="FZ61" s="110"/>
      <c r="GA61" s="110"/>
      <c r="GB61" s="110"/>
      <c r="GC61" s="110"/>
      <c r="GD61" s="110"/>
      <c r="GE61" s="110"/>
      <c r="GF61" s="110"/>
      <c r="GG61" s="110"/>
      <c r="GH61" s="110"/>
      <c r="GI61" s="110"/>
      <c r="GJ61" s="110"/>
      <c r="GK61" s="110"/>
      <c r="GL61" s="110"/>
      <c r="GM61" s="110"/>
      <c r="GN61" s="110"/>
      <c r="GO61" s="110"/>
      <c r="GP61" s="110"/>
      <c r="GQ61" s="110"/>
      <c r="GR61" s="110"/>
      <c r="GS61" s="110"/>
      <c r="GT61" s="110"/>
      <c r="GU61" s="110"/>
      <c r="GV61" s="110"/>
      <c r="GW61" s="110"/>
      <c r="GX61" s="110"/>
      <c r="GY61" s="110"/>
      <c r="GZ61" s="110"/>
      <c r="HA61" s="110"/>
      <c r="HB61" s="110"/>
      <c r="HC61" s="110"/>
      <c r="HD61" s="110"/>
      <c r="HE61" s="110"/>
      <c r="HF61" s="110"/>
      <c r="HG61" s="110"/>
      <c r="HH61" s="110"/>
      <c r="HI61" s="110"/>
      <c r="HJ61" s="110"/>
      <c r="HK61" s="110"/>
      <c r="HL61" s="110"/>
      <c r="HM61" s="110"/>
      <c r="HN61" s="110"/>
      <c r="HO61" s="110"/>
      <c r="HP61" s="110"/>
      <c r="HQ61" s="110"/>
      <c r="HR61" s="110"/>
      <c r="HS61" s="110"/>
      <c r="HT61" s="110"/>
      <c r="HU61" s="110"/>
      <c r="HV61" s="110"/>
      <c r="HW61" s="110"/>
      <c r="HX61" s="110"/>
      <c r="HY61" s="110"/>
      <c r="HZ61" s="110"/>
      <c r="IA61" s="110"/>
      <c r="IB61" s="110"/>
      <c r="IC61" s="110"/>
      <c r="ID61" s="110"/>
      <c r="IE61" s="110"/>
      <c r="IF61" s="110"/>
      <c r="IG61" s="110"/>
      <c r="IH61" s="110"/>
      <c r="II61" s="110"/>
      <c r="IJ61" s="110"/>
      <c r="IK61" s="110"/>
      <c r="IL61" s="110"/>
      <c r="IM61" s="110"/>
      <c r="IN61" s="110"/>
      <c r="IO61" s="110"/>
      <c r="IP61" s="110"/>
      <c r="IQ61" s="110"/>
      <c r="IR61" s="110"/>
      <c r="IS61" s="110"/>
      <c r="IT61" s="110"/>
      <c r="IU61" s="110"/>
      <c r="IV61" s="110"/>
      <c r="IW61" s="110"/>
    </row>
    <row r="62" spans="1:257" x14ac:dyDescent="0.3">
      <c r="A62" s="156"/>
      <c r="B62" s="156"/>
      <c r="C62" s="156"/>
      <c r="D62" s="156"/>
      <c r="E62" s="156"/>
      <c r="F62" s="156"/>
      <c r="G62" s="156"/>
      <c r="H62" s="156"/>
      <c r="I62" s="174"/>
      <c r="J62" s="156"/>
      <c r="K62" s="156"/>
      <c r="L62" s="156"/>
      <c r="M62" s="156"/>
      <c r="N62" s="156"/>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c r="CY62" s="110"/>
      <c r="CZ62" s="110"/>
      <c r="DA62" s="110"/>
      <c r="DB62" s="110"/>
      <c r="DC62" s="110"/>
      <c r="DD62" s="110"/>
      <c r="DE62" s="110"/>
      <c r="DF62" s="110"/>
      <c r="DG62" s="110"/>
      <c r="DH62" s="110"/>
      <c r="DI62" s="110"/>
      <c r="DJ62" s="110"/>
      <c r="DK62" s="110"/>
      <c r="DL62" s="110"/>
      <c r="DM62" s="110"/>
      <c r="DN62" s="110"/>
      <c r="DO62" s="110"/>
      <c r="DP62" s="110"/>
      <c r="DQ62" s="110"/>
      <c r="DR62" s="110"/>
      <c r="DS62" s="110"/>
      <c r="DT62" s="110"/>
      <c r="DU62" s="110"/>
      <c r="DV62" s="110"/>
      <c r="DW62" s="110"/>
      <c r="DX62" s="110"/>
      <c r="DY62" s="110"/>
      <c r="DZ62" s="110"/>
      <c r="EA62" s="110"/>
      <c r="EB62" s="110"/>
      <c r="EC62" s="110"/>
      <c r="ED62" s="110"/>
      <c r="EE62" s="110"/>
      <c r="EF62" s="110"/>
      <c r="EG62" s="110"/>
      <c r="EH62" s="110"/>
      <c r="EI62" s="110"/>
      <c r="EJ62" s="110"/>
      <c r="EK62" s="110"/>
      <c r="EL62" s="110"/>
      <c r="EM62" s="110"/>
      <c r="EN62" s="110"/>
      <c r="EO62" s="110"/>
      <c r="EP62" s="110"/>
      <c r="EQ62" s="110"/>
      <c r="ER62" s="110"/>
      <c r="ES62" s="110"/>
      <c r="ET62" s="110"/>
      <c r="EU62" s="110"/>
      <c r="EV62" s="110"/>
      <c r="EW62" s="110"/>
      <c r="EX62" s="110"/>
      <c r="EY62" s="110"/>
      <c r="EZ62" s="110"/>
      <c r="FA62" s="110"/>
      <c r="FB62" s="110"/>
      <c r="FC62" s="110"/>
      <c r="FD62" s="110"/>
      <c r="FE62" s="110"/>
      <c r="FF62" s="110"/>
      <c r="FG62" s="110"/>
      <c r="FH62" s="110"/>
      <c r="FI62" s="110"/>
      <c r="FJ62" s="110"/>
      <c r="FK62" s="110"/>
      <c r="FL62" s="110"/>
      <c r="FM62" s="110"/>
      <c r="FN62" s="110"/>
      <c r="FO62" s="110"/>
      <c r="FP62" s="110"/>
      <c r="FQ62" s="110"/>
      <c r="FR62" s="110"/>
      <c r="FS62" s="110"/>
      <c r="FT62" s="110"/>
      <c r="FU62" s="110"/>
      <c r="FV62" s="110"/>
      <c r="FW62" s="110"/>
      <c r="FX62" s="110"/>
      <c r="FY62" s="110"/>
      <c r="FZ62" s="110"/>
      <c r="GA62" s="110"/>
      <c r="GB62" s="110"/>
      <c r="GC62" s="110"/>
      <c r="GD62" s="110"/>
      <c r="GE62" s="110"/>
      <c r="GF62" s="110"/>
      <c r="GG62" s="110"/>
      <c r="GH62" s="110"/>
      <c r="GI62" s="110"/>
      <c r="GJ62" s="110"/>
      <c r="GK62" s="110"/>
      <c r="GL62" s="110"/>
      <c r="GM62" s="110"/>
      <c r="GN62" s="110"/>
      <c r="GO62" s="110"/>
      <c r="GP62" s="110"/>
      <c r="GQ62" s="110"/>
      <c r="GR62" s="110"/>
      <c r="GS62" s="110"/>
      <c r="GT62" s="110"/>
      <c r="GU62" s="110"/>
      <c r="GV62" s="110"/>
      <c r="GW62" s="110"/>
      <c r="GX62" s="110"/>
      <c r="GY62" s="110"/>
      <c r="GZ62" s="110"/>
      <c r="HA62" s="110"/>
      <c r="HB62" s="110"/>
      <c r="HC62" s="110"/>
      <c r="HD62" s="110"/>
      <c r="HE62" s="110"/>
      <c r="HF62" s="110"/>
      <c r="HG62" s="110"/>
      <c r="HH62" s="110"/>
      <c r="HI62" s="110"/>
      <c r="HJ62" s="110"/>
      <c r="HK62" s="110"/>
      <c r="HL62" s="110"/>
      <c r="HM62" s="110"/>
      <c r="HN62" s="110"/>
      <c r="HO62" s="110"/>
      <c r="HP62" s="110"/>
      <c r="HQ62" s="110"/>
      <c r="HR62" s="110"/>
      <c r="HS62" s="110"/>
      <c r="HT62" s="110"/>
      <c r="HU62" s="110"/>
      <c r="HV62" s="110"/>
      <c r="HW62" s="110"/>
      <c r="HX62" s="110"/>
      <c r="HY62" s="110"/>
      <c r="HZ62" s="110"/>
      <c r="IA62" s="110"/>
      <c r="IB62" s="110"/>
      <c r="IC62" s="110"/>
      <c r="ID62" s="110"/>
      <c r="IE62" s="110"/>
      <c r="IF62" s="110"/>
      <c r="IG62" s="110"/>
      <c r="IH62" s="110"/>
      <c r="II62" s="110"/>
      <c r="IJ62" s="110"/>
      <c r="IK62" s="110"/>
      <c r="IL62" s="110"/>
      <c r="IM62" s="110"/>
      <c r="IN62" s="110"/>
      <c r="IO62" s="110"/>
      <c r="IP62" s="110"/>
      <c r="IQ62" s="110"/>
      <c r="IR62" s="110"/>
      <c r="IS62" s="110"/>
      <c r="IT62" s="110"/>
      <c r="IU62" s="110"/>
      <c r="IV62" s="110"/>
      <c r="IW62" s="110"/>
    </row>
    <row r="63" spans="1:257" x14ac:dyDescent="0.3">
      <c r="A63" s="156"/>
      <c r="B63" s="156"/>
      <c r="C63" s="156"/>
      <c r="D63" s="156"/>
      <c r="E63" s="156"/>
      <c r="F63" s="156"/>
      <c r="G63" s="156"/>
      <c r="H63" s="156"/>
      <c r="I63" s="174"/>
      <c r="J63" s="156"/>
      <c r="K63" s="156"/>
      <c r="L63" s="156"/>
      <c r="M63" s="156"/>
      <c r="N63" s="156"/>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c r="CY63" s="110"/>
      <c r="CZ63" s="110"/>
      <c r="DA63" s="110"/>
      <c r="DB63" s="110"/>
      <c r="DC63" s="110"/>
      <c r="DD63" s="110"/>
      <c r="DE63" s="110"/>
      <c r="DF63" s="110"/>
      <c r="DG63" s="110"/>
      <c r="DH63" s="110"/>
      <c r="DI63" s="110"/>
      <c r="DJ63" s="110"/>
      <c r="DK63" s="110"/>
      <c r="DL63" s="110"/>
      <c r="DM63" s="110"/>
      <c r="DN63" s="110"/>
      <c r="DO63" s="110"/>
      <c r="DP63" s="110"/>
      <c r="DQ63" s="110"/>
      <c r="DR63" s="110"/>
      <c r="DS63" s="110"/>
      <c r="DT63" s="110"/>
      <c r="DU63" s="110"/>
      <c r="DV63" s="110"/>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10"/>
      <c r="FA63" s="110"/>
      <c r="FB63" s="110"/>
      <c r="FC63" s="110"/>
      <c r="FD63" s="110"/>
      <c r="FE63" s="110"/>
      <c r="FF63" s="110"/>
      <c r="FG63" s="110"/>
      <c r="FH63" s="110"/>
      <c r="FI63" s="110"/>
      <c r="FJ63" s="110"/>
      <c r="FK63" s="110"/>
      <c r="FL63" s="110"/>
      <c r="FM63" s="110"/>
      <c r="FN63" s="110"/>
      <c r="FO63" s="110"/>
      <c r="FP63" s="110"/>
      <c r="FQ63" s="110"/>
      <c r="FR63" s="110"/>
      <c r="FS63" s="110"/>
      <c r="FT63" s="110"/>
      <c r="FU63" s="110"/>
      <c r="FV63" s="110"/>
      <c r="FW63" s="110"/>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10"/>
      <c r="HZ63" s="110"/>
      <c r="IA63" s="110"/>
      <c r="IB63" s="110"/>
      <c r="IC63" s="110"/>
      <c r="ID63" s="110"/>
      <c r="IE63" s="110"/>
      <c r="IF63" s="110"/>
      <c r="IG63" s="110"/>
      <c r="IH63" s="110"/>
      <c r="II63" s="110"/>
      <c r="IJ63" s="110"/>
      <c r="IK63" s="110"/>
      <c r="IL63" s="110"/>
      <c r="IM63" s="110"/>
      <c r="IN63" s="110"/>
      <c r="IO63" s="110"/>
      <c r="IP63" s="110"/>
      <c r="IQ63" s="110"/>
      <c r="IR63" s="110"/>
      <c r="IS63" s="110"/>
      <c r="IT63" s="110"/>
      <c r="IU63" s="110"/>
      <c r="IV63" s="110"/>
      <c r="IW63" s="110"/>
    </row>
    <row r="64" spans="1:257" x14ac:dyDescent="0.3">
      <c r="A64" s="156"/>
      <c r="B64" s="156"/>
      <c r="C64" s="156"/>
      <c r="D64" s="156"/>
      <c r="E64" s="156"/>
      <c r="F64" s="156"/>
      <c r="G64" s="156"/>
      <c r="H64" s="156"/>
      <c r="I64" s="174"/>
      <c r="J64" s="156"/>
      <c r="K64" s="156"/>
      <c r="L64" s="156"/>
      <c r="M64" s="156"/>
      <c r="N64" s="156"/>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c r="CY64" s="110"/>
      <c r="CZ64" s="110"/>
      <c r="DA64" s="110"/>
      <c r="DB64" s="110"/>
      <c r="DC64" s="110"/>
      <c r="DD64" s="110"/>
      <c r="DE64" s="110"/>
      <c r="DF64" s="110"/>
      <c r="DG64" s="110"/>
      <c r="DH64" s="110"/>
      <c r="DI64" s="110"/>
      <c r="DJ64" s="110"/>
      <c r="DK64" s="110"/>
      <c r="DL64" s="110"/>
      <c r="DM64" s="110"/>
      <c r="DN64" s="110"/>
      <c r="DO64" s="110"/>
      <c r="DP64" s="110"/>
      <c r="DQ64" s="110"/>
      <c r="DR64" s="110"/>
      <c r="DS64" s="110"/>
      <c r="DT64" s="110"/>
      <c r="DU64" s="110"/>
      <c r="DV64" s="110"/>
      <c r="DW64" s="110"/>
      <c r="DX64" s="110"/>
      <c r="DY64" s="110"/>
      <c r="DZ64" s="110"/>
      <c r="EA64" s="110"/>
      <c r="EB64" s="110"/>
      <c r="EC64" s="110"/>
      <c r="ED64" s="110"/>
      <c r="EE64" s="110"/>
      <c r="EF64" s="110"/>
      <c r="EG64" s="110"/>
      <c r="EH64" s="110"/>
      <c r="EI64" s="110"/>
      <c r="EJ64" s="110"/>
      <c r="EK64" s="110"/>
      <c r="EL64" s="110"/>
      <c r="EM64" s="110"/>
      <c r="EN64" s="110"/>
      <c r="EO64" s="110"/>
      <c r="EP64" s="110"/>
      <c r="EQ64" s="110"/>
      <c r="ER64" s="110"/>
      <c r="ES64" s="110"/>
      <c r="ET64" s="110"/>
      <c r="EU64" s="110"/>
      <c r="EV64" s="110"/>
      <c r="EW64" s="110"/>
      <c r="EX64" s="110"/>
      <c r="EY64" s="110"/>
      <c r="EZ64" s="110"/>
      <c r="FA64" s="110"/>
      <c r="FB64" s="110"/>
      <c r="FC64" s="110"/>
      <c r="FD64" s="110"/>
      <c r="FE64" s="110"/>
      <c r="FF64" s="110"/>
      <c r="FG64" s="110"/>
      <c r="FH64" s="110"/>
      <c r="FI64" s="110"/>
      <c r="FJ64" s="110"/>
      <c r="FK64" s="110"/>
      <c r="FL64" s="110"/>
      <c r="FM64" s="110"/>
      <c r="FN64" s="110"/>
      <c r="FO64" s="110"/>
      <c r="FP64" s="110"/>
      <c r="FQ64" s="110"/>
      <c r="FR64" s="110"/>
      <c r="FS64" s="110"/>
      <c r="FT64" s="110"/>
      <c r="FU64" s="110"/>
      <c r="FV64" s="110"/>
      <c r="FW64" s="110"/>
      <c r="FX64" s="110"/>
      <c r="FY64" s="110"/>
      <c r="FZ64" s="110"/>
      <c r="GA64" s="110"/>
      <c r="GB64" s="110"/>
      <c r="GC64" s="110"/>
      <c r="GD64" s="110"/>
      <c r="GE64" s="110"/>
      <c r="GF64" s="110"/>
      <c r="GG64" s="110"/>
      <c r="GH64" s="110"/>
      <c r="GI64" s="110"/>
      <c r="GJ64" s="110"/>
      <c r="GK64" s="110"/>
      <c r="GL64" s="110"/>
      <c r="GM64" s="110"/>
      <c r="GN64" s="110"/>
      <c r="GO64" s="110"/>
      <c r="GP64" s="110"/>
      <c r="GQ64" s="110"/>
      <c r="GR64" s="110"/>
      <c r="GS64" s="110"/>
      <c r="GT64" s="110"/>
      <c r="GU64" s="110"/>
      <c r="GV64" s="110"/>
      <c r="GW64" s="110"/>
      <c r="GX64" s="110"/>
      <c r="GY64" s="110"/>
      <c r="GZ64" s="110"/>
      <c r="HA64" s="110"/>
      <c r="HB64" s="110"/>
      <c r="HC64" s="110"/>
      <c r="HD64" s="110"/>
      <c r="HE64" s="110"/>
      <c r="HF64" s="110"/>
      <c r="HG64" s="110"/>
      <c r="HH64" s="110"/>
      <c r="HI64" s="110"/>
      <c r="HJ64" s="110"/>
      <c r="HK64" s="110"/>
      <c r="HL64" s="110"/>
      <c r="HM64" s="110"/>
      <c r="HN64" s="110"/>
      <c r="HO64" s="110"/>
      <c r="HP64" s="110"/>
      <c r="HQ64" s="110"/>
      <c r="HR64" s="110"/>
      <c r="HS64" s="110"/>
      <c r="HT64" s="110"/>
      <c r="HU64" s="110"/>
      <c r="HV64" s="110"/>
      <c r="HW64" s="110"/>
      <c r="HX64" s="110"/>
      <c r="HY64" s="110"/>
      <c r="HZ64" s="110"/>
      <c r="IA64" s="110"/>
      <c r="IB64" s="110"/>
      <c r="IC64" s="110"/>
      <c r="ID64" s="110"/>
      <c r="IE64" s="110"/>
      <c r="IF64" s="110"/>
      <c r="IG64" s="110"/>
      <c r="IH64" s="110"/>
      <c r="II64" s="110"/>
      <c r="IJ64" s="110"/>
      <c r="IK64" s="110"/>
      <c r="IL64" s="110"/>
      <c r="IM64" s="110"/>
      <c r="IN64" s="110"/>
      <c r="IO64" s="110"/>
      <c r="IP64" s="110"/>
      <c r="IQ64" s="110"/>
      <c r="IR64" s="110"/>
      <c r="IS64" s="110"/>
      <c r="IT64" s="110"/>
      <c r="IU64" s="110"/>
      <c r="IV64" s="110"/>
      <c r="IW64" s="110"/>
    </row>
    <row r="65" spans="1:257" x14ac:dyDescent="0.3">
      <c r="A65" s="156"/>
      <c r="B65" s="156"/>
      <c r="C65" s="156"/>
      <c r="D65" s="156"/>
      <c r="E65" s="156"/>
      <c r="F65" s="156"/>
      <c r="G65" s="156"/>
      <c r="H65" s="156"/>
      <c r="I65" s="174"/>
      <c r="J65" s="156"/>
      <c r="K65" s="156"/>
      <c r="L65" s="156"/>
      <c r="M65" s="156"/>
      <c r="N65" s="156"/>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c r="CY65" s="110"/>
      <c r="CZ65" s="110"/>
      <c r="DA65" s="110"/>
      <c r="DB65" s="110"/>
      <c r="DC65" s="110"/>
      <c r="DD65" s="110"/>
      <c r="DE65" s="110"/>
      <c r="DF65" s="110"/>
      <c r="DG65" s="110"/>
      <c r="DH65" s="110"/>
      <c r="DI65" s="110"/>
      <c r="DJ65" s="110"/>
      <c r="DK65" s="110"/>
      <c r="DL65" s="110"/>
      <c r="DM65" s="110"/>
      <c r="DN65" s="110"/>
      <c r="DO65" s="110"/>
      <c r="DP65" s="110"/>
      <c r="DQ65" s="110"/>
      <c r="DR65" s="110"/>
      <c r="DS65" s="110"/>
      <c r="DT65" s="110"/>
      <c r="DU65" s="110"/>
      <c r="DV65" s="110"/>
      <c r="DW65" s="110"/>
      <c r="DX65" s="110"/>
      <c r="DY65" s="110"/>
      <c r="DZ65" s="110"/>
      <c r="EA65" s="110"/>
      <c r="EB65" s="110"/>
      <c r="EC65" s="110"/>
      <c r="ED65" s="110"/>
      <c r="EE65" s="110"/>
      <c r="EF65" s="110"/>
      <c r="EG65" s="110"/>
      <c r="EH65" s="110"/>
      <c r="EI65" s="110"/>
      <c r="EJ65" s="110"/>
      <c r="EK65" s="110"/>
      <c r="EL65" s="110"/>
      <c r="EM65" s="110"/>
      <c r="EN65" s="110"/>
      <c r="EO65" s="110"/>
      <c r="EP65" s="110"/>
      <c r="EQ65" s="110"/>
      <c r="ER65" s="110"/>
      <c r="ES65" s="110"/>
      <c r="ET65" s="110"/>
      <c r="EU65" s="110"/>
      <c r="EV65" s="110"/>
      <c r="EW65" s="110"/>
      <c r="EX65" s="110"/>
      <c r="EY65" s="110"/>
      <c r="EZ65" s="110"/>
      <c r="FA65" s="110"/>
      <c r="FB65" s="110"/>
      <c r="FC65" s="110"/>
      <c r="FD65" s="110"/>
      <c r="FE65" s="110"/>
      <c r="FF65" s="110"/>
      <c r="FG65" s="110"/>
      <c r="FH65" s="110"/>
      <c r="FI65" s="110"/>
      <c r="FJ65" s="110"/>
      <c r="FK65" s="110"/>
      <c r="FL65" s="110"/>
      <c r="FM65" s="110"/>
      <c r="FN65" s="110"/>
      <c r="FO65" s="110"/>
      <c r="FP65" s="110"/>
      <c r="FQ65" s="110"/>
      <c r="FR65" s="110"/>
      <c r="FS65" s="110"/>
      <c r="FT65" s="110"/>
      <c r="FU65" s="110"/>
      <c r="FV65" s="110"/>
      <c r="FW65" s="110"/>
      <c r="FX65" s="110"/>
      <c r="FY65" s="110"/>
      <c r="FZ65" s="110"/>
      <c r="GA65" s="110"/>
      <c r="GB65" s="110"/>
      <c r="GC65" s="110"/>
      <c r="GD65" s="110"/>
      <c r="GE65" s="110"/>
      <c r="GF65" s="110"/>
      <c r="GG65" s="110"/>
      <c r="GH65" s="110"/>
      <c r="GI65" s="110"/>
      <c r="GJ65" s="110"/>
      <c r="GK65" s="110"/>
      <c r="GL65" s="110"/>
      <c r="GM65" s="110"/>
      <c r="GN65" s="110"/>
      <c r="GO65" s="110"/>
      <c r="GP65" s="110"/>
      <c r="GQ65" s="110"/>
      <c r="GR65" s="110"/>
      <c r="GS65" s="110"/>
      <c r="GT65" s="110"/>
      <c r="GU65" s="110"/>
      <c r="GV65" s="110"/>
      <c r="GW65" s="110"/>
      <c r="GX65" s="110"/>
      <c r="GY65" s="110"/>
      <c r="GZ65" s="110"/>
      <c r="HA65" s="110"/>
      <c r="HB65" s="110"/>
      <c r="HC65" s="110"/>
      <c r="HD65" s="110"/>
      <c r="HE65" s="110"/>
      <c r="HF65" s="110"/>
      <c r="HG65" s="110"/>
      <c r="HH65" s="110"/>
      <c r="HI65" s="110"/>
      <c r="HJ65" s="110"/>
      <c r="HK65" s="110"/>
      <c r="HL65" s="110"/>
      <c r="HM65" s="110"/>
      <c r="HN65" s="110"/>
      <c r="HO65" s="110"/>
      <c r="HP65" s="110"/>
      <c r="HQ65" s="110"/>
      <c r="HR65" s="110"/>
      <c r="HS65" s="110"/>
      <c r="HT65" s="110"/>
      <c r="HU65" s="110"/>
      <c r="HV65" s="110"/>
      <c r="HW65" s="110"/>
      <c r="HX65" s="110"/>
      <c r="HY65" s="110"/>
      <c r="HZ65" s="110"/>
      <c r="IA65" s="110"/>
      <c r="IB65" s="110"/>
      <c r="IC65" s="110"/>
      <c r="ID65" s="110"/>
      <c r="IE65" s="110"/>
      <c r="IF65" s="110"/>
      <c r="IG65" s="110"/>
      <c r="IH65" s="110"/>
      <c r="II65" s="110"/>
      <c r="IJ65" s="110"/>
      <c r="IK65" s="110"/>
      <c r="IL65" s="110"/>
      <c r="IM65" s="110"/>
      <c r="IN65" s="110"/>
      <c r="IO65" s="110"/>
      <c r="IP65" s="110"/>
      <c r="IQ65" s="110"/>
      <c r="IR65" s="110"/>
      <c r="IS65" s="110"/>
      <c r="IT65" s="110"/>
      <c r="IU65" s="110"/>
      <c r="IV65" s="110"/>
      <c r="IW65" s="110"/>
    </row>
    <row r="66" spans="1:257" x14ac:dyDescent="0.3">
      <c r="A66" s="156"/>
      <c r="B66" s="156"/>
      <c r="C66" s="156"/>
      <c r="D66" s="156"/>
      <c r="E66" s="156"/>
      <c r="F66" s="156"/>
      <c r="G66" s="156"/>
      <c r="H66" s="156"/>
      <c r="I66" s="174"/>
      <c r="J66" s="156"/>
      <c r="K66" s="156"/>
      <c r="L66" s="156"/>
      <c r="M66" s="156"/>
      <c r="N66" s="156"/>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10"/>
      <c r="DF66" s="110"/>
      <c r="DG66" s="110"/>
      <c r="DH66" s="110"/>
      <c r="DI66" s="110"/>
      <c r="DJ66" s="110"/>
      <c r="DK66" s="110"/>
      <c r="DL66" s="110"/>
      <c r="DM66" s="110"/>
      <c r="DN66" s="110"/>
      <c r="DO66" s="110"/>
      <c r="DP66" s="110"/>
      <c r="DQ66" s="110"/>
      <c r="DR66" s="110"/>
      <c r="DS66" s="110"/>
      <c r="DT66" s="110"/>
      <c r="DU66" s="110"/>
      <c r="DV66" s="110"/>
      <c r="DW66" s="110"/>
      <c r="DX66" s="110"/>
      <c r="DY66" s="110"/>
      <c r="DZ66" s="110"/>
      <c r="EA66" s="110"/>
      <c r="EB66" s="110"/>
      <c r="EC66" s="110"/>
      <c r="ED66" s="110"/>
      <c r="EE66" s="110"/>
      <c r="EF66" s="110"/>
      <c r="EG66" s="110"/>
      <c r="EH66" s="110"/>
      <c r="EI66" s="110"/>
      <c r="EJ66" s="110"/>
      <c r="EK66" s="110"/>
      <c r="EL66" s="110"/>
      <c r="EM66" s="110"/>
      <c r="EN66" s="110"/>
      <c r="EO66" s="110"/>
      <c r="EP66" s="110"/>
      <c r="EQ66" s="110"/>
      <c r="ER66" s="110"/>
      <c r="ES66" s="110"/>
      <c r="ET66" s="110"/>
      <c r="EU66" s="110"/>
      <c r="EV66" s="110"/>
      <c r="EW66" s="110"/>
      <c r="EX66" s="110"/>
      <c r="EY66" s="110"/>
      <c r="EZ66" s="110"/>
      <c r="FA66" s="110"/>
      <c r="FB66" s="110"/>
      <c r="FC66" s="110"/>
      <c r="FD66" s="110"/>
      <c r="FE66" s="110"/>
      <c r="FF66" s="110"/>
      <c r="FG66" s="110"/>
      <c r="FH66" s="110"/>
      <c r="FI66" s="110"/>
      <c r="FJ66" s="110"/>
      <c r="FK66" s="110"/>
      <c r="FL66" s="110"/>
      <c r="FM66" s="110"/>
      <c r="FN66" s="110"/>
      <c r="FO66" s="110"/>
      <c r="FP66" s="110"/>
      <c r="FQ66" s="110"/>
      <c r="FR66" s="110"/>
      <c r="FS66" s="110"/>
      <c r="FT66" s="110"/>
      <c r="FU66" s="110"/>
      <c r="FV66" s="110"/>
      <c r="FW66" s="110"/>
      <c r="FX66" s="110"/>
      <c r="FY66" s="110"/>
      <c r="FZ66" s="110"/>
      <c r="GA66" s="110"/>
      <c r="GB66" s="110"/>
      <c r="GC66" s="110"/>
      <c r="GD66" s="110"/>
      <c r="GE66" s="110"/>
      <c r="GF66" s="110"/>
      <c r="GG66" s="110"/>
      <c r="GH66" s="110"/>
      <c r="GI66" s="110"/>
      <c r="GJ66" s="110"/>
      <c r="GK66" s="110"/>
      <c r="GL66" s="110"/>
      <c r="GM66" s="110"/>
      <c r="GN66" s="110"/>
      <c r="GO66" s="110"/>
      <c r="GP66" s="110"/>
      <c r="GQ66" s="110"/>
      <c r="GR66" s="110"/>
      <c r="GS66" s="110"/>
      <c r="GT66" s="110"/>
      <c r="GU66" s="110"/>
      <c r="GV66" s="110"/>
      <c r="GW66" s="110"/>
      <c r="GX66" s="110"/>
      <c r="GY66" s="110"/>
      <c r="GZ66" s="110"/>
      <c r="HA66" s="110"/>
      <c r="HB66" s="110"/>
      <c r="HC66" s="110"/>
      <c r="HD66" s="110"/>
      <c r="HE66" s="110"/>
      <c r="HF66" s="110"/>
      <c r="HG66" s="110"/>
      <c r="HH66" s="110"/>
      <c r="HI66" s="110"/>
      <c r="HJ66" s="110"/>
      <c r="HK66" s="110"/>
      <c r="HL66" s="110"/>
      <c r="HM66" s="110"/>
      <c r="HN66" s="110"/>
      <c r="HO66" s="110"/>
      <c r="HP66" s="110"/>
      <c r="HQ66" s="110"/>
      <c r="HR66" s="110"/>
      <c r="HS66" s="110"/>
      <c r="HT66" s="110"/>
      <c r="HU66" s="110"/>
      <c r="HV66" s="110"/>
      <c r="HW66" s="110"/>
      <c r="HX66" s="110"/>
      <c r="HY66" s="110"/>
      <c r="HZ66" s="110"/>
      <c r="IA66" s="110"/>
      <c r="IB66" s="110"/>
      <c r="IC66" s="110"/>
      <c r="ID66" s="110"/>
      <c r="IE66" s="110"/>
      <c r="IF66" s="110"/>
      <c r="IG66" s="110"/>
      <c r="IH66" s="110"/>
      <c r="II66" s="110"/>
      <c r="IJ66" s="110"/>
      <c r="IK66" s="110"/>
      <c r="IL66" s="110"/>
      <c r="IM66" s="110"/>
      <c r="IN66" s="110"/>
      <c r="IO66" s="110"/>
      <c r="IP66" s="110"/>
      <c r="IQ66" s="110"/>
      <c r="IR66" s="110"/>
      <c r="IS66" s="110"/>
      <c r="IT66" s="110"/>
      <c r="IU66" s="110"/>
      <c r="IV66" s="110"/>
      <c r="IW66" s="110"/>
    </row>
    <row r="67" spans="1:257" x14ac:dyDescent="0.3">
      <c r="A67" s="156"/>
      <c r="B67" s="156"/>
      <c r="C67" s="156"/>
      <c r="D67" s="156"/>
      <c r="E67" s="156"/>
      <c r="F67" s="156"/>
      <c r="G67" s="156"/>
      <c r="H67" s="156"/>
      <c r="I67" s="174"/>
      <c r="J67" s="156"/>
      <c r="K67" s="156"/>
      <c r="L67" s="156"/>
      <c r="M67" s="156"/>
      <c r="N67" s="156"/>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c r="CY67" s="110"/>
      <c r="CZ67" s="110"/>
      <c r="DA67" s="110"/>
      <c r="DB67" s="110"/>
      <c r="DC67" s="110"/>
      <c r="DD67" s="110"/>
      <c r="DE67" s="110"/>
      <c r="DF67" s="110"/>
      <c r="DG67" s="110"/>
      <c r="DH67" s="110"/>
      <c r="DI67" s="110"/>
      <c r="DJ67" s="110"/>
      <c r="DK67" s="110"/>
      <c r="DL67" s="110"/>
      <c r="DM67" s="110"/>
      <c r="DN67" s="110"/>
      <c r="DO67" s="110"/>
      <c r="DP67" s="110"/>
      <c r="DQ67" s="110"/>
      <c r="DR67" s="110"/>
      <c r="DS67" s="110"/>
      <c r="DT67" s="110"/>
      <c r="DU67" s="110"/>
      <c r="DV67" s="110"/>
      <c r="DW67" s="110"/>
      <c r="DX67" s="110"/>
      <c r="DY67" s="110"/>
      <c r="DZ67" s="110"/>
      <c r="EA67" s="110"/>
      <c r="EB67" s="110"/>
      <c r="EC67" s="110"/>
      <c r="ED67" s="110"/>
      <c r="EE67" s="110"/>
      <c r="EF67" s="110"/>
      <c r="EG67" s="110"/>
      <c r="EH67" s="110"/>
      <c r="EI67" s="110"/>
      <c r="EJ67" s="110"/>
      <c r="EK67" s="110"/>
      <c r="EL67" s="110"/>
      <c r="EM67" s="110"/>
      <c r="EN67" s="110"/>
      <c r="EO67" s="110"/>
      <c r="EP67" s="110"/>
      <c r="EQ67" s="110"/>
      <c r="ER67" s="110"/>
      <c r="ES67" s="110"/>
      <c r="ET67" s="110"/>
      <c r="EU67" s="110"/>
      <c r="EV67" s="110"/>
      <c r="EW67" s="110"/>
      <c r="EX67" s="110"/>
      <c r="EY67" s="110"/>
      <c r="EZ67" s="110"/>
      <c r="FA67" s="110"/>
      <c r="FB67" s="110"/>
      <c r="FC67" s="110"/>
      <c r="FD67" s="110"/>
      <c r="FE67" s="110"/>
      <c r="FF67" s="110"/>
      <c r="FG67" s="110"/>
      <c r="FH67" s="110"/>
      <c r="FI67" s="110"/>
      <c r="FJ67" s="110"/>
      <c r="FK67" s="110"/>
      <c r="FL67" s="110"/>
      <c r="FM67" s="110"/>
      <c r="FN67" s="110"/>
      <c r="FO67" s="110"/>
      <c r="FP67" s="110"/>
      <c r="FQ67" s="110"/>
      <c r="FR67" s="110"/>
      <c r="FS67" s="110"/>
      <c r="FT67" s="110"/>
      <c r="FU67" s="110"/>
      <c r="FV67" s="110"/>
      <c r="FW67" s="110"/>
      <c r="FX67" s="110"/>
      <c r="FY67" s="110"/>
      <c r="FZ67" s="110"/>
      <c r="GA67" s="110"/>
      <c r="GB67" s="110"/>
      <c r="GC67" s="110"/>
      <c r="GD67" s="110"/>
      <c r="GE67" s="110"/>
      <c r="GF67" s="110"/>
      <c r="GG67" s="110"/>
      <c r="GH67" s="110"/>
      <c r="GI67" s="110"/>
      <c r="GJ67" s="110"/>
      <c r="GK67" s="110"/>
      <c r="GL67" s="110"/>
      <c r="GM67" s="110"/>
      <c r="GN67" s="110"/>
      <c r="GO67" s="110"/>
      <c r="GP67" s="110"/>
      <c r="GQ67" s="110"/>
      <c r="GR67" s="110"/>
      <c r="GS67" s="110"/>
      <c r="GT67" s="110"/>
      <c r="GU67" s="110"/>
      <c r="GV67" s="110"/>
      <c r="GW67" s="110"/>
      <c r="GX67" s="110"/>
      <c r="GY67" s="110"/>
      <c r="GZ67" s="110"/>
      <c r="HA67" s="110"/>
      <c r="HB67" s="110"/>
      <c r="HC67" s="110"/>
      <c r="HD67" s="110"/>
      <c r="HE67" s="110"/>
      <c r="HF67" s="110"/>
      <c r="HG67" s="110"/>
      <c r="HH67" s="110"/>
      <c r="HI67" s="110"/>
      <c r="HJ67" s="110"/>
      <c r="HK67" s="110"/>
      <c r="HL67" s="110"/>
      <c r="HM67" s="110"/>
      <c r="HN67" s="110"/>
      <c r="HO67" s="110"/>
      <c r="HP67" s="110"/>
      <c r="HQ67" s="110"/>
      <c r="HR67" s="110"/>
      <c r="HS67" s="110"/>
      <c r="HT67" s="110"/>
      <c r="HU67" s="110"/>
      <c r="HV67" s="110"/>
      <c r="HW67" s="110"/>
      <c r="HX67" s="110"/>
      <c r="HY67" s="110"/>
      <c r="HZ67" s="110"/>
      <c r="IA67" s="110"/>
      <c r="IB67" s="110"/>
      <c r="IC67" s="110"/>
      <c r="ID67" s="110"/>
      <c r="IE67" s="110"/>
      <c r="IF67" s="110"/>
      <c r="IG67" s="110"/>
      <c r="IH67" s="110"/>
      <c r="II67" s="110"/>
      <c r="IJ67" s="110"/>
      <c r="IK67" s="110"/>
      <c r="IL67" s="110"/>
      <c r="IM67" s="110"/>
      <c r="IN67" s="110"/>
      <c r="IO67" s="110"/>
      <c r="IP67" s="110"/>
      <c r="IQ67" s="110"/>
      <c r="IR67" s="110"/>
      <c r="IS67" s="110"/>
      <c r="IT67" s="110"/>
      <c r="IU67" s="110"/>
      <c r="IV67" s="110"/>
      <c r="IW67" s="110"/>
    </row>
    <row r="68" spans="1:257" x14ac:dyDescent="0.3">
      <c r="A68" s="156"/>
      <c r="B68" s="156"/>
      <c r="C68" s="156"/>
      <c r="D68" s="156"/>
      <c r="E68" s="156"/>
      <c r="F68" s="156"/>
      <c r="G68" s="156"/>
      <c r="H68" s="156"/>
      <c r="I68" s="174"/>
      <c r="J68" s="156"/>
      <c r="K68" s="156"/>
      <c r="L68" s="156"/>
      <c r="M68" s="156"/>
      <c r="N68" s="156"/>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c r="CY68" s="110"/>
      <c r="CZ68" s="110"/>
      <c r="DA68" s="110"/>
      <c r="DB68" s="110"/>
      <c r="DC68" s="110"/>
      <c r="DD68" s="110"/>
      <c r="DE68" s="110"/>
      <c r="DF68" s="110"/>
      <c r="DG68" s="110"/>
      <c r="DH68" s="110"/>
      <c r="DI68" s="110"/>
      <c r="DJ68" s="110"/>
      <c r="DK68" s="110"/>
      <c r="DL68" s="110"/>
      <c r="DM68" s="110"/>
      <c r="DN68" s="110"/>
      <c r="DO68" s="110"/>
      <c r="DP68" s="110"/>
      <c r="DQ68" s="110"/>
      <c r="DR68" s="110"/>
      <c r="DS68" s="110"/>
      <c r="DT68" s="110"/>
      <c r="DU68" s="110"/>
      <c r="DV68" s="110"/>
      <c r="DW68" s="110"/>
      <c r="DX68" s="110"/>
      <c r="DY68" s="110"/>
      <c r="DZ68" s="110"/>
      <c r="EA68" s="110"/>
      <c r="EB68" s="110"/>
      <c r="EC68" s="110"/>
      <c r="ED68" s="110"/>
      <c r="EE68" s="110"/>
      <c r="EF68" s="110"/>
      <c r="EG68" s="110"/>
      <c r="EH68" s="110"/>
      <c r="EI68" s="110"/>
      <c r="EJ68" s="110"/>
      <c r="EK68" s="110"/>
      <c r="EL68" s="110"/>
      <c r="EM68" s="110"/>
      <c r="EN68" s="110"/>
      <c r="EO68" s="110"/>
      <c r="EP68" s="110"/>
      <c r="EQ68" s="110"/>
      <c r="ER68" s="110"/>
      <c r="ES68" s="110"/>
      <c r="ET68" s="110"/>
      <c r="EU68" s="110"/>
      <c r="EV68" s="110"/>
      <c r="EW68" s="110"/>
      <c r="EX68" s="110"/>
      <c r="EY68" s="110"/>
      <c r="EZ68" s="110"/>
      <c r="FA68" s="110"/>
      <c r="FB68" s="110"/>
      <c r="FC68" s="110"/>
      <c r="FD68" s="110"/>
      <c r="FE68" s="110"/>
      <c r="FF68" s="110"/>
      <c r="FG68" s="110"/>
      <c r="FH68" s="110"/>
      <c r="FI68" s="110"/>
      <c r="FJ68" s="110"/>
      <c r="FK68" s="110"/>
      <c r="FL68" s="110"/>
      <c r="FM68" s="110"/>
      <c r="FN68" s="110"/>
      <c r="FO68" s="110"/>
      <c r="FP68" s="110"/>
      <c r="FQ68" s="110"/>
      <c r="FR68" s="110"/>
      <c r="FS68" s="110"/>
      <c r="FT68" s="110"/>
      <c r="FU68" s="110"/>
      <c r="FV68" s="110"/>
      <c r="FW68" s="110"/>
      <c r="FX68" s="110"/>
      <c r="FY68" s="110"/>
      <c r="FZ68" s="110"/>
      <c r="GA68" s="110"/>
      <c r="GB68" s="110"/>
      <c r="GC68" s="110"/>
      <c r="GD68" s="110"/>
      <c r="GE68" s="110"/>
      <c r="GF68" s="110"/>
      <c r="GG68" s="110"/>
      <c r="GH68" s="110"/>
      <c r="GI68" s="110"/>
      <c r="GJ68" s="110"/>
      <c r="GK68" s="110"/>
      <c r="GL68" s="110"/>
      <c r="GM68" s="110"/>
      <c r="GN68" s="110"/>
      <c r="GO68" s="110"/>
      <c r="GP68" s="110"/>
      <c r="GQ68" s="110"/>
      <c r="GR68" s="110"/>
      <c r="GS68" s="110"/>
      <c r="GT68" s="110"/>
      <c r="GU68" s="110"/>
      <c r="GV68" s="110"/>
      <c r="GW68" s="110"/>
      <c r="GX68" s="110"/>
      <c r="GY68" s="110"/>
      <c r="GZ68" s="110"/>
      <c r="HA68" s="110"/>
      <c r="HB68" s="110"/>
      <c r="HC68" s="110"/>
      <c r="HD68" s="110"/>
      <c r="HE68" s="110"/>
      <c r="HF68" s="110"/>
      <c r="HG68" s="110"/>
      <c r="HH68" s="110"/>
      <c r="HI68" s="110"/>
      <c r="HJ68" s="110"/>
      <c r="HK68" s="110"/>
      <c r="HL68" s="110"/>
      <c r="HM68" s="110"/>
      <c r="HN68" s="110"/>
      <c r="HO68" s="110"/>
      <c r="HP68" s="110"/>
      <c r="HQ68" s="110"/>
      <c r="HR68" s="110"/>
      <c r="HS68" s="110"/>
      <c r="HT68" s="110"/>
      <c r="HU68" s="110"/>
      <c r="HV68" s="110"/>
      <c r="HW68" s="110"/>
      <c r="HX68" s="110"/>
      <c r="HY68" s="110"/>
      <c r="HZ68" s="110"/>
      <c r="IA68" s="110"/>
      <c r="IB68" s="110"/>
      <c r="IC68" s="110"/>
      <c r="ID68" s="110"/>
      <c r="IE68" s="110"/>
      <c r="IF68" s="110"/>
      <c r="IG68" s="110"/>
      <c r="IH68" s="110"/>
      <c r="II68" s="110"/>
      <c r="IJ68" s="110"/>
      <c r="IK68" s="110"/>
      <c r="IL68" s="110"/>
      <c r="IM68" s="110"/>
      <c r="IN68" s="110"/>
      <c r="IO68" s="110"/>
      <c r="IP68" s="110"/>
      <c r="IQ68" s="110"/>
      <c r="IR68" s="110"/>
      <c r="IS68" s="110"/>
      <c r="IT68" s="110"/>
      <c r="IU68" s="110"/>
      <c r="IV68" s="110"/>
      <c r="IW68" s="110"/>
    </row>
    <row r="69" spans="1:257" x14ac:dyDescent="0.3">
      <c r="A69" s="156"/>
      <c r="B69" s="156"/>
      <c r="C69" s="156"/>
      <c r="D69" s="156"/>
      <c r="E69" s="156"/>
      <c r="F69" s="156"/>
      <c r="G69" s="156"/>
      <c r="H69" s="156"/>
      <c r="I69" s="174"/>
      <c r="J69" s="156"/>
      <c r="K69" s="156"/>
      <c r="L69" s="156"/>
      <c r="M69" s="156"/>
      <c r="N69" s="156"/>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c r="CY69" s="110"/>
      <c r="CZ69" s="110"/>
      <c r="DA69" s="110"/>
      <c r="DB69" s="110"/>
      <c r="DC69" s="110"/>
      <c r="DD69" s="110"/>
      <c r="DE69" s="110"/>
      <c r="DF69" s="110"/>
      <c r="DG69" s="110"/>
      <c r="DH69" s="110"/>
      <c r="DI69" s="110"/>
      <c r="DJ69" s="110"/>
      <c r="DK69" s="110"/>
      <c r="DL69" s="110"/>
      <c r="DM69" s="110"/>
      <c r="DN69" s="110"/>
      <c r="DO69" s="110"/>
      <c r="DP69" s="110"/>
      <c r="DQ69" s="110"/>
      <c r="DR69" s="110"/>
      <c r="DS69" s="110"/>
      <c r="DT69" s="110"/>
      <c r="DU69" s="110"/>
      <c r="DV69" s="110"/>
      <c r="DW69" s="110"/>
      <c r="DX69" s="110"/>
      <c r="DY69" s="110"/>
      <c r="DZ69" s="110"/>
      <c r="EA69" s="110"/>
      <c r="EB69" s="110"/>
      <c r="EC69" s="110"/>
      <c r="ED69" s="110"/>
      <c r="EE69" s="110"/>
      <c r="EF69" s="110"/>
      <c r="EG69" s="110"/>
      <c r="EH69" s="110"/>
      <c r="EI69" s="110"/>
      <c r="EJ69" s="110"/>
      <c r="EK69" s="110"/>
      <c r="EL69" s="110"/>
      <c r="EM69" s="110"/>
      <c r="EN69" s="110"/>
      <c r="EO69" s="110"/>
      <c r="EP69" s="110"/>
      <c r="EQ69" s="110"/>
      <c r="ER69" s="110"/>
      <c r="ES69" s="110"/>
      <c r="ET69" s="110"/>
      <c r="EU69" s="110"/>
      <c r="EV69" s="110"/>
      <c r="EW69" s="110"/>
      <c r="EX69" s="110"/>
      <c r="EY69" s="110"/>
      <c r="EZ69" s="110"/>
      <c r="FA69" s="110"/>
      <c r="FB69" s="110"/>
      <c r="FC69" s="110"/>
      <c r="FD69" s="110"/>
      <c r="FE69" s="110"/>
      <c r="FF69" s="110"/>
      <c r="FG69" s="110"/>
      <c r="FH69" s="110"/>
      <c r="FI69" s="110"/>
      <c r="FJ69" s="110"/>
      <c r="FK69" s="110"/>
      <c r="FL69" s="110"/>
      <c r="FM69" s="110"/>
      <c r="FN69" s="110"/>
      <c r="FO69" s="110"/>
      <c r="FP69" s="110"/>
      <c r="FQ69" s="110"/>
      <c r="FR69" s="110"/>
      <c r="FS69" s="110"/>
      <c r="FT69" s="110"/>
      <c r="FU69" s="110"/>
      <c r="FV69" s="110"/>
      <c r="FW69" s="110"/>
      <c r="FX69" s="110"/>
      <c r="FY69" s="110"/>
      <c r="FZ69" s="110"/>
      <c r="GA69" s="110"/>
      <c r="GB69" s="110"/>
      <c r="GC69" s="110"/>
      <c r="GD69" s="110"/>
      <c r="GE69" s="110"/>
      <c r="GF69" s="110"/>
      <c r="GG69" s="110"/>
      <c r="GH69" s="110"/>
      <c r="GI69" s="110"/>
      <c r="GJ69" s="110"/>
      <c r="GK69" s="110"/>
      <c r="GL69" s="110"/>
      <c r="GM69" s="110"/>
      <c r="GN69" s="110"/>
      <c r="GO69" s="110"/>
      <c r="GP69" s="110"/>
      <c r="GQ69" s="110"/>
      <c r="GR69" s="110"/>
      <c r="GS69" s="110"/>
      <c r="GT69" s="110"/>
      <c r="GU69" s="110"/>
      <c r="GV69" s="110"/>
      <c r="GW69" s="110"/>
      <c r="GX69" s="110"/>
      <c r="GY69" s="110"/>
      <c r="GZ69" s="110"/>
      <c r="HA69" s="110"/>
      <c r="HB69" s="110"/>
      <c r="HC69" s="110"/>
      <c r="HD69" s="110"/>
      <c r="HE69" s="110"/>
      <c r="HF69" s="110"/>
      <c r="HG69" s="110"/>
      <c r="HH69" s="110"/>
      <c r="HI69" s="110"/>
      <c r="HJ69" s="110"/>
      <c r="HK69" s="110"/>
      <c r="HL69" s="110"/>
      <c r="HM69" s="110"/>
      <c r="HN69" s="110"/>
      <c r="HO69" s="110"/>
      <c r="HP69" s="110"/>
      <c r="HQ69" s="110"/>
      <c r="HR69" s="110"/>
      <c r="HS69" s="110"/>
      <c r="HT69" s="110"/>
      <c r="HU69" s="110"/>
      <c r="HV69" s="110"/>
      <c r="HW69" s="110"/>
      <c r="HX69" s="110"/>
      <c r="HY69" s="110"/>
      <c r="HZ69" s="110"/>
      <c r="IA69" s="110"/>
      <c r="IB69" s="110"/>
      <c r="IC69" s="110"/>
      <c r="ID69" s="110"/>
      <c r="IE69" s="110"/>
      <c r="IF69" s="110"/>
      <c r="IG69" s="110"/>
      <c r="IH69" s="110"/>
      <c r="II69" s="110"/>
      <c r="IJ69" s="110"/>
      <c r="IK69" s="110"/>
      <c r="IL69" s="110"/>
      <c r="IM69" s="110"/>
      <c r="IN69" s="110"/>
      <c r="IO69" s="110"/>
      <c r="IP69" s="110"/>
      <c r="IQ69" s="110"/>
      <c r="IR69" s="110"/>
      <c r="IS69" s="110"/>
      <c r="IT69" s="110"/>
      <c r="IU69" s="110"/>
      <c r="IV69" s="110"/>
      <c r="IW69" s="110"/>
    </row>
    <row r="70" spans="1:257" x14ac:dyDescent="0.3">
      <c r="A70" s="156"/>
      <c r="B70" s="156"/>
      <c r="C70" s="156"/>
      <c r="D70" s="156"/>
      <c r="E70" s="156"/>
      <c r="F70" s="156"/>
      <c r="G70" s="156"/>
      <c r="H70" s="156"/>
      <c r="I70" s="174"/>
      <c r="J70" s="156"/>
      <c r="K70" s="156"/>
      <c r="L70" s="156"/>
      <c r="M70" s="156"/>
      <c r="N70" s="156"/>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c r="CY70" s="110"/>
      <c r="CZ70" s="110"/>
      <c r="DA70" s="110"/>
      <c r="DB70" s="110"/>
      <c r="DC70" s="110"/>
      <c r="DD70" s="110"/>
      <c r="DE70" s="110"/>
      <c r="DF70" s="110"/>
      <c r="DG70" s="110"/>
      <c r="DH70" s="110"/>
      <c r="DI70" s="110"/>
      <c r="DJ70" s="110"/>
      <c r="DK70" s="110"/>
      <c r="DL70" s="110"/>
      <c r="DM70" s="110"/>
      <c r="DN70" s="110"/>
      <c r="DO70" s="110"/>
      <c r="DP70" s="110"/>
      <c r="DQ70" s="110"/>
      <c r="DR70" s="110"/>
      <c r="DS70" s="110"/>
      <c r="DT70" s="110"/>
      <c r="DU70" s="110"/>
      <c r="DV70" s="110"/>
      <c r="DW70" s="110"/>
      <c r="DX70" s="110"/>
      <c r="DY70" s="110"/>
      <c r="DZ70" s="110"/>
      <c r="EA70" s="110"/>
      <c r="EB70" s="110"/>
      <c r="EC70" s="110"/>
      <c r="ED70" s="110"/>
      <c r="EE70" s="110"/>
      <c r="EF70" s="110"/>
      <c r="EG70" s="110"/>
      <c r="EH70" s="110"/>
      <c r="EI70" s="110"/>
      <c r="EJ70" s="110"/>
      <c r="EK70" s="110"/>
      <c r="EL70" s="110"/>
      <c r="EM70" s="110"/>
      <c r="EN70" s="110"/>
      <c r="EO70" s="110"/>
      <c r="EP70" s="110"/>
      <c r="EQ70" s="110"/>
      <c r="ER70" s="110"/>
      <c r="ES70" s="110"/>
      <c r="ET70" s="110"/>
      <c r="EU70" s="110"/>
      <c r="EV70" s="110"/>
      <c r="EW70" s="110"/>
      <c r="EX70" s="110"/>
      <c r="EY70" s="110"/>
      <c r="EZ70" s="110"/>
      <c r="FA70" s="110"/>
      <c r="FB70" s="110"/>
      <c r="FC70" s="110"/>
      <c r="FD70" s="110"/>
      <c r="FE70" s="110"/>
      <c r="FF70" s="110"/>
      <c r="FG70" s="110"/>
      <c r="FH70" s="110"/>
      <c r="FI70" s="110"/>
      <c r="FJ70" s="110"/>
      <c r="FK70" s="110"/>
      <c r="FL70" s="110"/>
      <c r="FM70" s="110"/>
      <c r="FN70" s="110"/>
      <c r="FO70" s="110"/>
      <c r="FP70" s="110"/>
      <c r="FQ70" s="110"/>
      <c r="FR70" s="110"/>
      <c r="FS70" s="110"/>
      <c r="FT70" s="110"/>
      <c r="FU70" s="110"/>
      <c r="FV70" s="110"/>
      <c r="FW70" s="110"/>
      <c r="FX70" s="110"/>
      <c r="FY70" s="110"/>
      <c r="FZ70" s="110"/>
      <c r="GA70" s="110"/>
      <c r="GB70" s="110"/>
      <c r="GC70" s="110"/>
      <c r="GD70" s="110"/>
      <c r="GE70" s="110"/>
      <c r="GF70" s="110"/>
      <c r="GG70" s="110"/>
      <c r="GH70" s="110"/>
      <c r="GI70" s="110"/>
      <c r="GJ70" s="110"/>
      <c r="GK70" s="110"/>
      <c r="GL70" s="110"/>
      <c r="GM70" s="110"/>
      <c r="GN70" s="110"/>
      <c r="GO70" s="110"/>
      <c r="GP70" s="110"/>
      <c r="GQ70" s="110"/>
      <c r="GR70" s="110"/>
      <c r="GS70" s="110"/>
      <c r="GT70" s="110"/>
      <c r="GU70" s="110"/>
      <c r="GV70" s="110"/>
      <c r="GW70" s="110"/>
      <c r="GX70" s="110"/>
      <c r="GY70" s="110"/>
      <c r="GZ70" s="110"/>
      <c r="HA70" s="110"/>
      <c r="HB70" s="110"/>
      <c r="HC70" s="110"/>
      <c r="HD70" s="110"/>
      <c r="HE70" s="110"/>
      <c r="HF70" s="110"/>
      <c r="HG70" s="110"/>
      <c r="HH70" s="110"/>
      <c r="HI70" s="110"/>
      <c r="HJ70" s="110"/>
      <c r="HK70" s="110"/>
      <c r="HL70" s="110"/>
      <c r="HM70" s="110"/>
      <c r="HN70" s="110"/>
      <c r="HO70" s="110"/>
      <c r="HP70" s="110"/>
      <c r="HQ70" s="110"/>
      <c r="HR70" s="110"/>
      <c r="HS70" s="110"/>
      <c r="HT70" s="110"/>
      <c r="HU70" s="110"/>
      <c r="HV70" s="110"/>
      <c r="HW70" s="110"/>
      <c r="HX70" s="110"/>
      <c r="HY70" s="110"/>
      <c r="HZ70" s="110"/>
      <c r="IA70" s="110"/>
      <c r="IB70" s="110"/>
      <c r="IC70" s="110"/>
      <c r="ID70" s="110"/>
      <c r="IE70" s="110"/>
      <c r="IF70" s="110"/>
      <c r="IG70" s="110"/>
      <c r="IH70" s="110"/>
      <c r="II70" s="110"/>
      <c r="IJ70" s="110"/>
      <c r="IK70" s="110"/>
      <c r="IL70" s="110"/>
      <c r="IM70" s="110"/>
      <c r="IN70" s="110"/>
      <c r="IO70" s="110"/>
      <c r="IP70" s="110"/>
      <c r="IQ70" s="110"/>
      <c r="IR70" s="110"/>
      <c r="IS70" s="110"/>
      <c r="IT70" s="110"/>
      <c r="IU70" s="110"/>
      <c r="IV70" s="110"/>
      <c r="IW70" s="110"/>
    </row>
    <row r="71" spans="1:257" x14ac:dyDescent="0.3">
      <c r="A71" s="156"/>
      <c r="B71" s="156"/>
      <c r="C71" s="156"/>
      <c r="D71" s="156"/>
      <c r="E71" s="156"/>
      <c r="F71" s="156"/>
      <c r="G71" s="156"/>
      <c r="H71" s="156"/>
      <c r="I71" s="174"/>
      <c r="J71" s="156"/>
      <c r="K71" s="156"/>
      <c r="L71" s="156"/>
      <c r="M71" s="156"/>
      <c r="N71" s="156"/>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c r="CY71" s="110"/>
      <c r="CZ71" s="110"/>
      <c r="DA71" s="110"/>
      <c r="DB71" s="110"/>
      <c r="DC71" s="110"/>
      <c r="DD71" s="110"/>
      <c r="DE71" s="110"/>
      <c r="DF71" s="110"/>
      <c r="DG71" s="110"/>
      <c r="DH71" s="110"/>
      <c r="DI71" s="110"/>
      <c r="DJ71" s="110"/>
      <c r="DK71" s="110"/>
      <c r="DL71" s="110"/>
      <c r="DM71" s="110"/>
      <c r="DN71" s="110"/>
      <c r="DO71" s="110"/>
      <c r="DP71" s="110"/>
      <c r="DQ71" s="110"/>
      <c r="DR71" s="110"/>
      <c r="DS71" s="110"/>
      <c r="DT71" s="110"/>
      <c r="DU71" s="110"/>
      <c r="DV71" s="110"/>
      <c r="DW71" s="110"/>
      <c r="DX71" s="110"/>
      <c r="DY71" s="110"/>
      <c r="DZ71" s="110"/>
      <c r="EA71" s="110"/>
      <c r="EB71" s="110"/>
      <c r="EC71" s="110"/>
      <c r="ED71" s="110"/>
      <c r="EE71" s="110"/>
      <c r="EF71" s="110"/>
      <c r="EG71" s="110"/>
      <c r="EH71" s="110"/>
      <c r="EI71" s="110"/>
      <c r="EJ71" s="110"/>
      <c r="EK71" s="110"/>
      <c r="EL71" s="110"/>
      <c r="EM71" s="110"/>
      <c r="EN71" s="110"/>
      <c r="EO71" s="110"/>
      <c r="EP71" s="110"/>
      <c r="EQ71" s="110"/>
      <c r="ER71" s="110"/>
      <c r="ES71" s="110"/>
      <c r="ET71" s="110"/>
      <c r="EU71" s="110"/>
      <c r="EV71" s="110"/>
      <c r="EW71" s="110"/>
      <c r="EX71" s="110"/>
      <c r="EY71" s="110"/>
      <c r="EZ71" s="110"/>
      <c r="FA71" s="110"/>
      <c r="FB71" s="110"/>
      <c r="FC71" s="110"/>
      <c r="FD71" s="110"/>
      <c r="FE71" s="110"/>
      <c r="FF71" s="110"/>
      <c r="FG71" s="110"/>
      <c r="FH71" s="110"/>
      <c r="FI71" s="110"/>
      <c r="FJ71" s="110"/>
      <c r="FK71" s="110"/>
      <c r="FL71" s="110"/>
      <c r="FM71" s="110"/>
      <c r="FN71" s="110"/>
      <c r="FO71" s="110"/>
      <c r="FP71" s="110"/>
      <c r="FQ71" s="110"/>
      <c r="FR71" s="110"/>
      <c r="FS71" s="110"/>
      <c r="FT71" s="110"/>
      <c r="FU71" s="110"/>
      <c r="FV71" s="110"/>
      <c r="FW71" s="110"/>
      <c r="FX71" s="110"/>
      <c r="FY71" s="110"/>
      <c r="FZ71" s="110"/>
      <c r="GA71" s="110"/>
      <c r="GB71" s="110"/>
      <c r="GC71" s="110"/>
      <c r="GD71" s="110"/>
      <c r="GE71" s="110"/>
      <c r="GF71" s="110"/>
      <c r="GG71" s="110"/>
      <c r="GH71" s="110"/>
      <c r="GI71" s="110"/>
      <c r="GJ71" s="110"/>
      <c r="GK71" s="110"/>
      <c r="GL71" s="110"/>
      <c r="GM71" s="110"/>
      <c r="GN71" s="110"/>
      <c r="GO71" s="110"/>
      <c r="GP71" s="110"/>
      <c r="GQ71" s="110"/>
      <c r="GR71" s="110"/>
      <c r="GS71" s="110"/>
      <c r="GT71" s="110"/>
      <c r="GU71" s="110"/>
      <c r="GV71" s="110"/>
      <c r="GW71" s="110"/>
      <c r="GX71" s="110"/>
      <c r="GY71" s="110"/>
      <c r="GZ71" s="110"/>
      <c r="HA71" s="110"/>
      <c r="HB71" s="110"/>
      <c r="HC71" s="110"/>
      <c r="HD71" s="110"/>
      <c r="HE71" s="110"/>
      <c r="HF71" s="110"/>
      <c r="HG71" s="110"/>
      <c r="HH71" s="110"/>
      <c r="HI71" s="110"/>
      <c r="HJ71" s="110"/>
      <c r="HK71" s="110"/>
      <c r="HL71" s="110"/>
      <c r="HM71" s="110"/>
      <c r="HN71" s="110"/>
      <c r="HO71" s="110"/>
      <c r="HP71" s="110"/>
      <c r="HQ71" s="110"/>
      <c r="HR71" s="110"/>
      <c r="HS71" s="110"/>
      <c r="HT71" s="110"/>
      <c r="HU71" s="110"/>
      <c r="HV71" s="110"/>
      <c r="HW71" s="110"/>
      <c r="HX71" s="110"/>
      <c r="HY71" s="110"/>
      <c r="HZ71" s="110"/>
      <c r="IA71" s="110"/>
      <c r="IB71" s="110"/>
      <c r="IC71" s="110"/>
      <c r="ID71" s="110"/>
      <c r="IE71" s="110"/>
      <c r="IF71" s="110"/>
      <c r="IG71" s="110"/>
      <c r="IH71" s="110"/>
      <c r="II71" s="110"/>
      <c r="IJ71" s="110"/>
      <c r="IK71" s="110"/>
      <c r="IL71" s="110"/>
      <c r="IM71" s="110"/>
      <c r="IN71" s="110"/>
      <c r="IO71" s="110"/>
      <c r="IP71" s="110"/>
      <c r="IQ71" s="110"/>
      <c r="IR71" s="110"/>
      <c r="IS71" s="110"/>
      <c r="IT71" s="110"/>
      <c r="IU71" s="110"/>
      <c r="IV71" s="110"/>
      <c r="IW71" s="110"/>
    </row>
    <row r="72" spans="1:257" x14ac:dyDescent="0.3">
      <c r="A72" s="156"/>
      <c r="B72" s="156"/>
      <c r="C72" s="156"/>
      <c r="D72" s="156"/>
      <c r="E72" s="156"/>
      <c r="F72" s="156"/>
      <c r="G72" s="156"/>
      <c r="H72" s="156"/>
      <c r="I72" s="174"/>
      <c r="J72" s="156"/>
      <c r="K72" s="156"/>
      <c r="L72" s="156"/>
      <c r="M72" s="156"/>
      <c r="N72" s="156"/>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c r="CY72" s="110"/>
      <c r="CZ72" s="110"/>
      <c r="DA72" s="110"/>
      <c r="DB72" s="110"/>
      <c r="DC72" s="110"/>
      <c r="DD72" s="110"/>
      <c r="DE72" s="110"/>
      <c r="DF72" s="110"/>
      <c r="DG72" s="110"/>
      <c r="DH72" s="110"/>
      <c r="DI72" s="110"/>
      <c r="DJ72" s="110"/>
      <c r="DK72" s="110"/>
      <c r="DL72" s="110"/>
      <c r="DM72" s="110"/>
      <c r="DN72" s="110"/>
      <c r="DO72" s="110"/>
      <c r="DP72" s="110"/>
      <c r="DQ72" s="110"/>
      <c r="DR72" s="110"/>
      <c r="DS72" s="110"/>
      <c r="DT72" s="110"/>
      <c r="DU72" s="110"/>
      <c r="DV72" s="110"/>
      <c r="DW72" s="110"/>
      <c r="DX72" s="110"/>
      <c r="DY72" s="110"/>
      <c r="DZ72" s="110"/>
      <c r="EA72" s="110"/>
      <c r="EB72" s="110"/>
      <c r="EC72" s="110"/>
      <c r="ED72" s="110"/>
      <c r="EE72" s="110"/>
      <c r="EF72" s="110"/>
      <c r="EG72" s="110"/>
      <c r="EH72" s="110"/>
      <c r="EI72" s="110"/>
      <c r="EJ72" s="110"/>
      <c r="EK72" s="110"/>
      <c r="EL72" s="110"/>
      <c r="EM72" s="110"/>
      <c r="EN72" s="110"/>
      <c r="EO72" s="110"/>
      <c r="EP72" s="110"/>
      <c r="EQ72" s="110"/>
      <c r="ER72" s="110"/>
      <c r="ES72" s="110"/>
      <c r="ET72" s="110"/>
      <c r="EU72" s="110"/>
      <c r="EV72" s="110"/>
      <c r="EW72" s="110"/>
      <c r="EX72" s="110"/>
      <c r="EY72" s="110"/>
      <c r="EZ72" s="110"/>
      <c r="FA72" s="110"/>
      <c r="FB72" s="110"/>
      <c r="FC72" s="110"/>
      <c r="FD72" s="110"/>
      <c r="FE72" s="110"/>
      <c r="FF72" s="110"/>
      <c r="FG72" s="110"/>
      <c r="FH72" s="110"/>
      <c r="FI72" s="110"/>
      <c r="FJ72" s="110"/>
      <c r="FK72" s="110"/>
      <c r="FL72" s="110"/>
      <c r="FM72" s="110"/>
      <c r="FN72" s="110"/>
      <c r="FO72" s="110"/>
      <c r="FP72" s="110"/>
      <c r="FQ72" s="110"/>
      <c r="FR72" s="110"/>
      <c r="FS72" s="110"/>
      <c r="FT72" s="110"/>
      <c r="FU72" s="110"/>
      <c r="FV72" s="110"/>
      <c r="FW72" s="110"/>
      <c r="FX72" s="110"/>
      <c r="FY72" s="110"/>
      <c r="FZ72" s="110"/>
      <c r="GA72" s="110"/>
      <c r="GB72" s="110"/>
      <c r="GC72" s="110"/>
      <c r="GD72" s="110"/>
      <c r="GE72" s="110"/>
      <c r="GF72" s="110"/>
      <c r="GG72" s="110"/>
      <c r="GH72" s="110"/>
      <c r="GI72" s="110"/>
      <c r="GJ72" s="110"/>
      <c r="GK72" s="110"/>
      <c r="GL72" s="110"/>
      <c r="GM72" s="110"/>
      <c r="GN72" s="110"/>
      <c r="GO72" s="110"/>
      <c r="GP72" s="110"/>
      <c r="GQ72" s="110"/>
      <c r="GR72" s="110"/>
      <c r="GS72" s="110"/>
      <c r="GT72" s="110"/>
      <c r="GU72" s="110"/>
      <c r="GV72" s="110"/>
      <c r="GW72" s="110"/>
      <c r="GX72" s="110"/>
      <c r="GY72" s="110"/>
      <c r="GZ72" s="110"/>
      <c r="HA72" s="110"/>
      <c r="HB72" s="110"/>
      <c r="HC72" s="110"/>
      <c r="HD72" s="110"/>
      <c r="HE72" s="110"/>
      <c r="HF72" s="110"/>
      <c r="HG72" s="110"/>
      <c r="HH72" s="110"/>
      <c r="HI72" s="110"/>
      <c r="HJ72" s="110"/>
      <c r="HK72" s="110"/>
      <c r="HL72" s="110"/>
      <c r="HM72" s="110"/>
      <c r="HN72" s="110"/>
      <c r="HO72" s="110"/>
      <c r="HP72" s="110"/>
      <c r="HQ72" s="110"/>
      <c r="HR72" s="110"/>
      <c r="HS72" s="110"/>
      <c r="HT72" s="110"/>
      <c r="HU72" s="110"/>
      <c r="HV72" s="110"/>
      <c r="HW72" s="110"/>
      <c r="HX72" s="110"/>
      <c r="HY72" s="110"/>
      <c r="HZ72" s="110"/>
      <c r="IA72" s="110"/>
      <c r="IB72" s="110"/>
      <c r="IC72" s="110"/>
      <c r="ID72" s="110"/>
      <c r="IE72" s="110"/>
      <c r="IF72" s="110"/>
      <c r="IG72" s="110"/>
      <c r="IH72" s="110"/>
      <c r="II72" s="110"/>
      <c r="IJ72" s="110"/>
      <c r="IK72" s="110"/>
      <c r="IL72" s="110"/>
      <c r="IM72" s="110"/>
      <c r="IN72" s="110"/>
      <c r="IO72" s="110"/>
      <c r="IP72" s="110"/>
      <c r="IQ72" s="110"/>
      <c r="IR72" s="110"/>
      <c r="IS72" s="110"/>
      <c r="IT72" s="110"/>
      <c r="IU72" s="110"/>
      <c r="IV72" s="110"/>
      <c r="IW72" s="110"/>
    </row>
    <row r="73" spans="1:257" x14ac:dyDescent="0.3">
      <c r="A73" s="156"/>
      <c r="B73" s="156"/>
      <c r="C73" s="156"/>
      <c r="D73" s="156"/>
      <c r="E73" s="156"/>
      <c r="F73" s="156"/>
      <c r="G73" s="156"/>
      <c r="H73" s="156"/>
      <c r="I73" s="174"/>
      <c r="J73" s="156"/>
      <c r="K73" s="156"/>
      <c r="L73" s="156"/>
      <c r="M73" s="156"/>
      <c r="N73" s="156"/>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c r="CY73" s="110"/>
      <c r="CZ73" s="110"/>
      <c r="DA73" s="110"/>
      <c r="DB73" s="110"/>
      <c r="DC73" s="110"/>
      <c r="DD73" s="110"/>
      <c r="DE73" s="110"/>
      <c r="DF73" s="110"/>
      <c r="DG73" s="110"/>
      <c r="DH73" s="110"/>
      <c r="DI73" s="110"/>
      <c r="DJ73" s="110"/>
      <c r="DK73" s="110"/>
      <c r="DL73" s="110"/>
      <c r="DM73" s="110"/>
      <c r="DN73" s="110"/>
      <c r="DO73" s="110"/>
      <c r="DP73" s="110"/>
      <c r="DQ73" s="110"/>
      <c r="DR73" s="110"/>
      <c r="DS73" s="110"/>
      <c r="DT73" s="110"/>
      <c r="DU73" s="110"/>
      <c r="DV73" s="110"/>
      <c r="DW73" s="110"/>
      <c r="DX73" s="110"/>
      <c r="DY73" s="110"/>
      <c r="DZ73" s="110"/>
      <c r="EA73" s="110"/>
      <c r="EB73" s="110"/>
      <c r="EC73" s="110"/>
      <c r="ED73" s="110"/>
      <c r="EE73" s="110"/>
      <c r="EF73" s="110"/>
      <c r="EG73" s="110"/>
      <c r="EH73" s="110"/>
      <c r="EI73" s="110"/>
      <c r="EJ73" s="110"/>
      <c r="EK73" s="110"/>
      <c r="EL73" s="110"/>
      <c r="EM73" s="110"/>
      <c r="EN73" s="110"/>
      <c r="EO73" s="110"/>
      <c r="EP73" s="110"/>
      <c r="EQ73" s="110"/>
      <c r="ER73" s="110"/>
      <c r="ES73" s="110"/>
      <c r="ET73" s="110"/>
      <c r="EU73" s="110"/>
      <c r="EV73" s="110"/>
      <c r="EW73" s="110"/>
      <c r="EX73" s="110"/>
      <c r="EY73" s="110"/>
      <c r="EZ73" s="110"/>
      <c r="FA73" s="110"/>
      <c r="FB73" s="110"/>
      <c r="FC73" s="110"/>
      <c r="FD73" s="110"/>
      <c r="FE73" s="110"/>
      <c r="FF73" s="110"/>
      <c r="FG73" s="110"/>
      <c r="FH73" s="110"/>
      <c r="FI73" s="110"/>
      <c r="FJ73" s="110"/>
      <c r="FK73" s="110"/>
      <c r="FL73" s="110"/>
      <c r="FM73" s="110"/>
      <c r="FN73" s="110"/>
      <c r="FO73" s="110"/>
      <c r="FP73" s="110"/>
      <c r="FQ73" s="110"/>
      <c r="FR73" s="110"/>
      <c r="FS73" s="110"/>
      <c r="FT73" s="110"/>
      <c r="FU73" s="110"/>
      <c r="FV73" s="110"/>
      <c r="FW73" s="110"/>
      <c r="FX73" s="110"/>
      <c r="FY73" s="110"/>
      <c r="FZ73" s="110"/>
      <c r="GA73" s="110"/>
      <c r="GB73" s="110"/>
      <c r="GC73" s="110"/>
      <c r="GD73" s="110"/>
      <c r="GE73" s="110"/>
      <c r="GF73" s="110"/>
      <c r="GG73" s="110"/>
      <c r="GH73" s="110"/>
      <c r="GI73" s="110"/>
      <c r="GJ73" s="110"/>
      <c r="GK73" s="110"/>
      <c r="GL73" s="110"/>
      <c r="GM73" s="110"/>
      <c r="GN73" s="110"/>
      <c r="GO73" s="110"/>
      <c r="GP73" s="110"/>
      <c r="GQ73" s="110"/>
      <c r="GR73" s="110"/>
      <c r="GS73" s="110"/>
      <c r="GT73" s="110"/>
      <c r="GU73" s="110"/>
      <c r="GV73" s="110"/>
      <c r="GW73" s="110"/>
      <c r="GX73" s="110"/>
      <c r="GY73" s="110"/>
      <c r="GZ73" s="110"/>
      <c r="HA73" s="110"/>
      <c r="HB73" s="110"/>
      <c r="HC73" s="110"/>
      <c r="HD73" s="110"/>
      <c r="HE73" s="110"/>
      <c r="HF73" s="110"/>
      <c r="HG73" s="110"/>
      <c r="HH73" s="110"/>
      <c r="HI73" s="110"/>
      <c r="HJ73" s="110"/>
      <c r="HK73" s="110"/>
      <c r="HL73" s="110"/>
      <c r="HM73" s="110"/>
      <c r="HN73" s="110"/>
      <c r="HO73" s="110"/>
      <c r="HP73" s="110"/>
      <c r="HQ73" s="110"/>
      <c r="HR73" s="110"/>
      <c r="HS73" s="110"/>
      <c r="HT73" s="110"/>
      <c r="HU73" s="110"/>
      <c r="HV73" s="110"/>
      <c r="HW73" s="110"/>
      <c r="HX73" s="110"/>
      <c r="HY73" s="110"/>
      <c r="HZ73" s="110"/>
      <c r="IA73" s="110"/>
      <c r="IB73" s="110"/>
      <c r="IC73" s="110"/>
      <c r="ID73" s="110"/>
      <c r="IE73" s="110"/>
      <c r="IF73" s="110"/>
      <c r="IG73" s="110"/>
      <c r="IH73" s="110"/>
      <c r="II73" s="110"/>
      <c r="IJ73" s="110"/>
      <c r="IK73" s="110"/>
      <c r="IL73" s="110"/>
      <c r="IM73" s="110"/>
      <c r="IN73" s="110"/>
      <c r="IO73" s="110"/>
      <c r="IP73" s="110"/>
      <c r="IQ73" s="110"/>
      <c r="IR73" s="110"/>
      <c r="IS73" s="110"/>
      <c r="IT73" s="110"/>
      <c r="IU73" s="110"/>
      <c r="IV73" s="110"/>
      <c r="IW73" s="110"/>
    </row>
    <row r="74" spans="1:257" x14ac:dyDescent="0.3">
      <c r="A74" s="156"/>
      <c r="B74" s="156"/>
      <c r="C74" s="156"/>
      <c r="D74" s="156"/>
      <c r="E74" s="156"/>
      <c r="F74" s="156"/>
      <c r="G74" s="156"/>
      <c r="H74" s="156"/>
      <c r="I74" s="174"/>
      <c r="J74" s="156"/>
      <c r="K74" s="156"/>
      <c r="L74" s="156"/>
      <c r="M74" s="156"/>
      <c r="N74" s="156"/>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c r="CY74" s="110"/>
      <c r="CZ74" s="110"/>
      <c r="DA74" s="110"/>
      <c r="DB74" s="110"/>
      <c r="DC74" s="110"/>
      <c r="DD74" s="110"/>
      <c r="DE74" s="110"/>
      <c r="DF74" s="110"/>
      <c r="DG74" s="110"/>
      <c r="DH74" s="110"/>
      <c r="DI74" s="110"/>
      <c r="DJ74" s="110"/>
      <c r="DK74" s="110"/>
      <c r="DL74" s="110"/>
      <c r="DM74" s="110"/>
      <c r="DN74" s="110"/>
      <c r="DO74" s="110"/>
      <c r="DP74" s="110"/>
      <c r="DQ74" s="110"/>
      <c r="DR74" s="110"/>
      <c r="DS74" s="110"/>
      <c r="DT74" s="110"/>
      <c r="DU74" s="110"/>
      <c r="DV74" s="110"/>
      <c r="DW74" s="110"/>
      <c r="DX74" s="110"/>
      <c r="DY74" s="110"/>
      <c r="DZ74" s="110"/>
      <c r="EA74" s="110"/>
      <c r="EB74" s="110"/>
      <c r="EC74" s="110"/>
      <c r="ED74" s="110"/>
      <c r="EE74" s="110"/>
      <c r="EF74" s="110"/>
      <c r="EG74" s="110"/>
      <c r="EH74" s="110"/>
      <c r="EI74" s="110"/>
      <c r="EJ74" s="110"/>
      <c r="EK74" s="110"/>
      <c r="EL74" s="110"/>
      <c r="EM74" s="110"/>
      <c r="EN74" s="110"/>
      <c r="EO74" s="110"/>
      <c r="EP74" s="110"/>
      <c r="EQ74" s="110"/>
      <c r="ER74" s="110"/>
      <c r="ES74" s="110"/>
      <c r="ET74" s="110"/>
      <c r="EU74" s="110"/>
      <c r="EV74" s="110"/>
      <c r="EW74" s="110"/>
      <c r="EX74" s="110"/>
      <c r="EY74" s="110"/>
      <c r="EZ74" s="110"/>
      <c r="FA74" s="110"/>
      <c r="FB74" s="110"/>
      <c r="FC74" s="110"/>
      <c r="FD74" s="110"/>
      <c r="FE74" s="110"/>
      <c r="FF74" s="110"/>
      <c r="FG74" s="110"/>
      <c r="FH74" s="110"/>
      <c r="FI74" s="110"/>
      <c r="FJ74" s="110"/>
      <c r="FK74" s="110"/>
      <c r="FL74" s="110"/>
      <c r="FM74" s="110"/>
      <c r="FN74" s="110"/>
      <c r="FO74" s="110"/>
      <c r="FP74" s="110"/>
      <c r="FQ74" s="110"/>
      <c r="FR74" s="110"/>
      <c r="FS74" s="110"/>
      <c r="FT74" s="110"/>
      <c r="FU74" s="110"/>
      <c r="FV74" s="110"/>
      <c r="FW74" s="110"/>
      <c r="FX74" s="110"/>
      <c r="FY74" s="110"/>
      <c r="FZ74" s="110"/>
      <c r="GA74" s="110"/>
      <c r="GB74" s="110"/>
      <c r="GC74" s="110"/>
      <c r="GD74" s="110"/>
      <c r="GE74" s="110"/>
      <c r="GF74" s="110"/>
      <c r="GG74" s="110"/>
      <c r="GH74" s="110"/>
      <c r="GI74" s="110"/>
      <c r="GJ74" s="110"/>
      <c r="GK74" s="110"/>
      <c r="GL74" s="110"/>
      <c r="GM74" s="110"/>
      <c r="GN74" s="110"/>
      <c r="GO74" s="110"/>
      <c r="GP74" s="110"/>
      <c r="GQ74" s="110"/>
      <c r="GR74" s="110"/>
      <c r="GS74" s="110"/>
      <c r="GT74" s="110"/>
      <c r="GU74" s="110"/>
      <c r="GV74" s="110"/>
      <c r="GW74" s="110"/>
      <c r="GX74" s="110"/>
      <c r="GY74" s="110"/>
      <c r="GZ74" s="110"/>
      <c r="HA74" s="110"/>
      <c r="HB74" s="110"/>
      <c r="HC74" s="110"/>
      <c r="HD74" s="110"/>
      <c r="HE74" s="110"/>
      <c r="HF74" s="110"/>
      <c r="HG74" s="110"/>
      <c r="HH74" s="110"/>
      <c r="HI74" s="110"/>
      <c r="HJ74" s="110"/>
      <c r="HK74" s="110"/>
      <c r="HL74" s="110"/>
      <c r="HM74" s="110"/>
      <c r="HN74" s="110"/>
      <c r="HO74" s="110"/>
      <c r="HP74" s="110"/>
      <c r="HQ74" s="110"/>
      <c r="HR74" s="110"/>
      <c r="HS74" s="110"/>
      <c r="HT74" s="110"/>
      <c r="HU74" s="110"/>
      <c r="HV74" s="110"/>
      <c r="HW74" s="110"/>
      <c r="HX74" s="110"/>
      <c r="HY74" s="110"/>
      <c r="HZ74" s="110"/>
      <c r="IA74" s="110"/>
      <c r="IB74" s="110"/>
      <c r="IC74" s="110"/>
      <c r="ID74" s="110"/>
      <c r="IE74" s="110"/>
      <c r="IF74" s="110"/>
      <c r="IG74" s="110"/>
      <c r="IH74" s="110"/>
      <c r="II74" s="110"/>
      <c r="IJ74" s="110"/>
      <c r="IK74" s="110"/>
      <c r="IL74" s="110"/>
      <c r="IM74" s="110"/>
      <c r="IN74" s="110"/>
      <c r="IO74" s="110"/>
      <c r="IP74" s="110"/>
      <c r="IQ74" s="110"/>
      <c r="IR74" s="110"/>
      <c r="IS74" s="110"/>
      <c r="IT74" s="110"/>
      <c r="IU74" s="110"/>
      <c r="IV74" s="110"/>
      <c r="IW74" s="110"/>
    </row>
    <row r="75" spans="1:257" x14ac:dyDescent="0.3">
      <c r="A75" s="156"/>
      <c r="B75" s="156"/>
      <c r="C75" s="156"/>
      <c r="D75" s="156"/>
      <c r="E75" s="156"/>
      <c r="F75" s="156"/>
      <c r="G75" s="156"/>
      <c r="H75" s="156"/>
      <c r="I75" s="174"/>
      <c r="J75" s="156"/>
      <c r="K75" s="156"/>
      <c r="L75" s="156"/>
      <c r="M75" s="156"/>
      <c r="N75" s="156"/>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c r="CY75" s="110"/>
      <c r="CZ75" s="110"/>
      <c r="DA75" s="110"/>
      <c r="DB75" s="110"/>
      <c r="DC75" s="110"/>
      <c r="DD75" s="110"/>
      <c r="DE75" s="110"/>
      <c r="DF75" s="110"/>
      <c r="DG75" s="110"/>
      <c r="DH75" s="110"/>
      <c r="DI75" s="110"/>
      <c r="DJ75" s="110"/>
      <c r="DK75" s="110"/>
      <c r="DL75" s="110"/>
      <c r="DM75" s="110"/>
      <c r="DN75" s="110"/>
      <c r="DO75" s="110"/>
      <c r="DP75" s="110"/>
      <c r="DQ75" s="110"/>
      <c r="DR75" s="110"/>
      <c r="DS75" s="110"/>
      <c r="DT75" s="110"/>
      <c r="DU75" s="110"/>
      <c r="DV75" s="110"/>
      <c r="DW75" s="110"/>
      <c r="DX75" s="110"/>
      <c r="DY75" s="110"/>
      <c r="DZ75" s="110"/>
      <c r="EA75" s="110"/>
      <c r="EB75" s="110"/>
      <c r="EC75" s="110"/>
      <c r="ED75" s="110"/>
      <c r="EE75" s="110"/>
      <c r="EF75" s="110"/>
      <c r="EG75" s="110"/>
      <c r="EH75" s="110"/>
      <c r="EI75" s="110"/>
      <c r="EJ75" s="110"/>
      <c r="EK75" s="110"/>
      <c r="EL75" s="110"/>
      <c r="EM75" s="110"/>
      <c r="EN75" s="110"/>
      <c r="EO75" s="110"/>
      <c r="EP75" s="110"/>
      <c r="EQ75" s="110"/>
      <c r="ER75" s="110"/>
      <c r="ES75" s="110"/>
      <c r="ET75" s="110"/>
      <c r="EU75" s="110"/>
      <c r="EV75" s="110"/>
      <c r="EW75" s="110"/>
      <c r="EX75" s="110"/>
      <c r="EY75" s="110"/>
      <c r="EZ75" s="110"/>
      <c r="FA75" s="110"/>
      <c r="FB75" s="110"/>
      <c r="FC75" s="110"/>
      <c r="FD75" s="110"/>
      <c r="FE75" s="110"/>
      <c r="FF75" s="110"/>
      <c r="FG75" s="110"/>
      <c r="FH75" s="110"/>
      <c r="FI75" s="110"/>
      <c r="FJ75" s="110"/>
      <c r="FK75" s="110"/>
      <c r="FL75" s="110"/>
      <c r="FM75" s="110"/>
      <c r="FN75" s="110"/>
      <c r="FO75" s="110"/>
      <c r="FP75" s="110"/>
      <c r="FQ75" s="110"/>
      <c r="FR75" s="110"/>
      <c r="FS75" s="110"/>
      <c r="FT75" s="110"/>
      <c r="FU75" s="110"/>
      <c r="FV75" s="110"/>
      <c r="FW75" s="110"/>
      <c r="FX75" s="110"/>
      <c r="FY75" s="110"/>
      <c r="FZ75" s="110"/>
      <c r="GA75" s="110"/>
      <c r="GB75" s="110"/>
      <c r="GC75" s="110"/>
      <c r="GD75" s="110"/>
      <c r="GE75" s="110"/>
      <c r="GF75" s="110"/>
      <c r="GG75" s="110"/>
      <c r="GH75" s="110"/>
      <c r="GI75" s="110"/>
      <c r="GJ75" s="110"/>
      <c r="GK75" s="110"/>
      <c r="GL75" s="110"/>
      <c r="GM75" s="110"/>
      <c r="GN75" s="110"/>
      <c r="GO75" s="110"/>
      <c r="GP75" s="110"/>
      <c r="GQ75" s="110"/>
      <c r="GR75" s="110"/>
      <c r="GS75" s="110"/>
      <c r="GT75" s="110"/>
      <c r="GU75" s="110"/>
      <c r="GV75" s="110"/>
      <c r="GW75" s="110"/>
      <c r="GX75" s="110"/>
      <c r="GY75" s="110"/>
      <c r="GZ75" s="110"/>
      <c r="HA75" s="110"/>
      <c r="HB75" s="110"/>
      <c r="HC75" s="110"/>
      <c r="HD75" s="110"/>
      <c r="HE75" s="110"/>
      <c r="HF75" s="110"/>
      <c r="HG75" s="110"/>
      <c r="HH75" s="110"/>
      <c r="HI75" s="110"/>
      <c r="HJ75" s="110"/>
      <c r="HK75" s="110"/>
      <c r="HL75" s="110"/>
      <c r="HM75" s="110"/>
      <c r="HN75" s="110"/>
      <c r="HO75" s="110"/>
      <c r="HP75" s="110"/>
      <c r="HQ75" s="110"/>
      <c r="HR75" s="110"/>
      <c r="HS75" s="110"/>
      <c r="HT75" s="110"/>
      <c r="HU75" s="110"/>
      <c r="HV75" s="110"/>
      <c r="HW75" s="110"/>
      <c r="HX75" s="110"/>
      <c r="HY75" s="110"/>
      <c r="HZ75" s="110"/>
      <c r="IA75" s="110"/>
      <c r="IB75" s="110"/>
      <c r="IC75" s="110"/>
      <c r="ID75" s="110"/>
      <c r="IE75" s="110"/>
      <c r="IF75" s="110"/>
      <c r="IG75" s="110"/>
      <c r="IH75" s="110"/>
      <c r="II75" s="110"/>
      <c r="IJ75" s="110"/>
      <c r="IK75" s="110"/>
      <c r="IL75" s="110"/>
      <c r="IM75" s="110"/>
      <c r="IN75" s="110"/>
      <c r="IO75" s="110"/>
      <c r="IP75" s="110"/>
      <c r="IQ75" s="110"/>
      <c r="IR75" s="110"/>
      <c r="IS75" s="110"/>
      <c r="IT75" s="110"/>
      <c r="IU75" s="110"/>
      <c r="IV75" s="110"/>
      <c r="IW75" s="110"/>
    </row>
    <row r="76" spans="1:257" x14ac:dyDescent="0.3">
      <c r="A76" s="156"/>
      <c r="B76" s="156"/>
      <c r="C76" s="156"/>
      <c r="D76" s="156"/>
      <c r="E76" s="156"/>
      <c r="F76" s="156"/>
      <c r="G76" s="156"/>
      <c r="H76" s="156"/>
      <c r="I76" s="174"/>
      <c r="J76" s="156"/>
      <c r="K76" s="156"/>
      <c r="L76" s="156"/>
      <c r="M76" s="156"/>
      <c r="N76" s="156"/>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c r="CY76" s="110"/>
      <c r="CZ76" s="110"/>
      <c r="DA76" s="110"/>
      <c r="DB76" s="110"/>
      <c r="DC76" s="110"/>
      <c r="DD76" s="110"/>
      <c r="DE76" s="110"/>
      <c r="DF76" s="110"/>
      <c r="DG76" s="110"/>
      <c r="DH76" s="110"/>
      <c r="DI76" s="110"/>
      <c r="DJ76" s="110"/>
      <c r="DK76" s="110"/>
      <c r="DL76" s="110"/>
      <c r="DM76" s="110"/>
      <c r="DN76" s="110"/>
      <c r="DO76" s="110"/>
      <c r="DP76" s="110"/>
      <c r="DQ76" s="110"/>
      <c r="DR76" s="110"/>
      <c r="DS76" s="110"/>
      <c r="DT76" s="110"/>
      <c r="DU76" s="110"/>
      <c r="DV76" s="110"/>
      <c r="DW76" s="110"/>
      <c r="DX76" s="110"/>
      <c r="DY76" s="110"/>
      <c r="DZ76" s="110"/>
      <c r="EA76" s="110"/>
      <c r="EB76" s="110"/>
      <c r="EC76" s="110"/>
      <c r="ED76" s="110"/>
      <c r="EE76" s="110"/>
      <c r="EF76" s="110"/>
      <c r="EG76" s="110"/>
      <c r="EH76" s="110"/>
      <c r="EI76" s="110"/>
      <c r="EJ76" s="110"/>
      <c r="EK76" s="110"/>
      <c r="EL76" s="110"/>
      <c r="EM76" s="110"/>
      <c r="EN76" s="110"/>
      <c r="EO76" s="110"/>
      <c r="EP76" s="110"/>
      <c r="EQ76" s="110"/>
      <c r="ER76" s="110"/>
      <c r="ES76" s="110"/>
      <c r="ET76" s="110"/>
      <c r="EU76" s="110"/>
      <c r="EV76" s="110"/>
      <c r="EW76" s="110"/>
      <c r="EX76" s="110"/>
      <c r="EY76" s="110"/>
      <c r="EZ76" s="110"/>
      <c r="FA76" s="110"/>
      <c r="FB76" s="110"/>
      <c r="FC76" s="110"/>
      <c r="FD76" s="110"/>
      <c r="FE76" s="110"/>
      <c r="FF76" s="110"/>
      <c r="FG76" s="110"/>
      <c r="FH76" s="110"/>
      <c r="FI76" s="110"/>
      <c r="FJ76" s="110"/>
      <c r="FK76" s="110"/>
      <c r="FL76" s="110"/>
      <c r="FM76" s="110"/>
      <c r="FN76" s="110"/>
      <c r="FO76" s="110"/>
      <c r="FP76" s="110"/>
      <c r="FQ76" s="110"/>
      <c r="FR76" s="110"/>
      <c r="FS76" s="110"/>
      <c r="FT76" s="110"/>
      <c r="FU76" s="110"/>
      <c r="FV76" s="110"/>
      <c r="FW76" s="110"/>
      <c r="FX76" s="110"/>
      <c r="FY76" s="110"/>
      <c r="FZ76" s="110"/>
      <c r="GA76" s="110"/>
      <c r="GB76" s="110"/>
      <c r="GC76" s="110"/>
      <c r="GD76" s="110"/>
      <c r="GE76" s="110"/>
      <c r="GF76" s="110"/>
      <c r="GG76" s="110"/>
      <c r="GH76" s="110"/>
      <c r="GI76" s="110"/>
      <c r="GJ76" s="110"/>
      <c r="GK76" s="110"/>
      <c r="GL76" s="110"/>
      <c r="GM76" s="110"/>
      <c r="GN76" s="110"/>
      <c r="GO76" s="110"/>
      <c r="GP76" s="110"/>
      <c r="GQ76" s="110"/>
      <c r="GR76" s="110"/>
      <c r="GS76" s="110"/>
      <c r="GT76" s="110"/>
      <c r="GU76" s="110"/>
      <c r="GV76" s="110"/>
      <c r="GW76" s="110"/>
      <c r="GX76" s="110"/>
      <c r="GY76" s="110"/>
      <c r="GZ76" s="110"/>
      <c r="HA76" s="110"/>
      <c r="HB76" s="110"/>
      <c r="HC76" s="110"/>
      <c r="HD76" s="110"/>
      <c r="HE76" s="110"/>
      <c r="HF76" s="110"/>
      <c r="HG76" s="110"/>
      <c r="HH76" s="110"/>
      <c r="HI76" s="110"/>
      <c r="HJ76" s="110"/>
      <c r="HK76" s="110"/>
      <c r="HL76" s="110"/>
      <c r="HM76" s="110"/>
      <c r="HN76" s="110"/>
      <c r="HO76" s="110"/>
      <c r="HP76" s="110"/>
      <c r="HQ76" s="110"/>
      <c r="HR76" s="110"/>
      <c r="HS76" s="110"/>
      <c r="HT76" s="110"/>
      <c r="HU76" s="110"/>
      <c r="HV76" s="110"/>
      <c r="HW76" s="110"/>
      <c r="HX76" s="110"/>
      <c r="HY76" s="110"/>
      <c r="HZ76" s="110"/>
      <c r="IA76" s="110"/>
      <c r="IB76" s="110"/>
      <c r="IC76" s="110"/>
      <c r="ID76" s="110"/>
      <c r="IE76" s="110"/>
      <c r="IF76" s="110"/>
      <c r="IG76" s="110"/>
      <c r="IH76" s="110"/>
      <c r="II76" s="110"/>
      <c r="IJ76" s="110"/>
      <c r="IK76" s="110"/>
      <c r="IL76" s="110"/>
      <c r="IM76" s="110"/>
      <c r="IN76" s="110"/>
      <c r="IO76" s="110"/>
      <c r="IP76" s="110"/>
      <c r="IQ76" s="110"/>
      <c r="IR76" s="110"/>
      <c r="IS76" s="110"/>
      <c r="IT76" s="110"/>
      <c r="IU76" s="110"/>
      <c r="IV76" s="110"/>
      <c r="IW76" s="110"/>
    </row>
    <row r="77" spans="1:257" x14ac:dyDescent="0.3">
      <c r="A77" s="156"/>
      <c r="B77" s="156"/>
      <c r="C77" s="156"/>
      <c r="D77" s="156"/>
      <c r="E77" s="156"/>
      <c r="F77" s="156"/>
      <c r="G77" s="156"/>
      <c r="H77" s="156"/>
      <c r="I77" s="174"/>
      <c r="J77" s="156"/>
      <c r="K77" s="156"/>
      <c r="L77" s="156"/>
      <c r="M77" s="156"/>
      <c r="N77" s="156"/>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c r="CY77" s="110"/>
      <c r="CZ77" s="110"/>
      <c r="DA77" s="110"/>
      <c r="DB77" s="110"/>
      <c r="DC77" s="110"/>
      <c r="DD77" s="110"/>
      <c r="DE77" s="110"/>
      <c r="DF77" s="110"/>
      <c r="DG77" s="110"/>
      <c r="DH77" s="110"/>
      <c r="DI77" s="110"/>
      <c r="DJ77" s="110"/>
      <c r="DK77" s="110"/>
      <c r="DL77" s="110"/>
      <c r="DM77" s="110"/>
      <c r="DN77" s="110"/>
      <c r="DO77" s="110"/>
      <c r="DP77" s="110"/>
      <c r="DQ77" s="110"/>
      <c r="DR77" s="110"/>
      <c r="DS77" s="110"/>
      <c r="DT77" s="110"/>
      <c r="DU77" s="110"/>
      <c r="DV77" s="110"/>
      <c r="DW77" s="110"/>
      <c r="DX77" s="110"/>
      <c r="DY77" s="110"/>
      <c r="DZ77" s="110"/>
      <c r="EA77" s="110"/>
      <c r="EB77" s="110"/>
      <c r="EC77" s="110"/>
      <c r="ED77" s="110"/>
      <c r="EE77" s="110"/>
      <c r="EF77" s="110"/>
      <c r="EG77" s="110"/>
      <c r="EH77" s="110"/>
      <c r="EI77" s="110"/>
      <c r="EJ77" s="110"/>
      <c r="EK77" s="110"/>
      <c r="EL77" s="110"/>
      <c r="EM77" s="110"/>
      <c r="EN77" s="110"/>
      <c r="EO77" s="110"/>
      <c r="EP77" s="110"/>
      <c r="EQ77" s="110"/>
      <c r="ER77" s="110"/>
      <c r="ES77" s="110"/>
      <c r="ET77" s="110"/>
      <c r="EU77" s="110"/>
      <c r="EV77" s="110"/>
      <c r="EW77" s="110"/>
      <c r="EX77" s="110"/>
      <c r="EY77" s="110"/>
      <c r="EZ77" s="110"/>
      <c r="FA77" s="110"/>
      <c r="FB77" s="110"/>
      <c r="FC77" s="110"/>
      <c r="FD77" s="110"/>
      <c r="FE77" s="110"/>
      <c r="FF77" s="110"/>
      <c r="FG77" s="110"/>
      <c r="FH77" s="110"/>
      <c r="FI77" s="110"/>
      <c r="FJ77" s="110"/>
      <c r="FK77" s="110"/>
      <c r="FL77" s="110"/>
      <c r="FM77" s="110"/>
      <c r="FN77" s="110"/>
      <c r="FO77" s="110"/>
      <c r="FP77" s="110"/>
      <c r="FQ77" s="110"/>
      <c r="FR77" s="110"/>
      <c r="FS77" s="110"/>
      <c r="FT77" s="110"/>
      <c r="FU77" s="110"/>
      <c r="FV77" s="110"/>
      <c r="FW77" s="110"/>
      <c r="FX77" s="110"/>
      <c r="FY77" s="110"/>
      <c r="FZ77" s="110"/>
      <c r="GA77" s="110"/>
      <c r="GB77" s="110"/>
      <c r="GC77" s="110"/>
      <c r="GD77" s="110"/>
      <c r="GE77" s="110"/>
      <c r="GF77" s="110"/>
      <c r="GG77" s="110"/>
      <c r="GH77" s="110"/>
      <c r="GI77" s="110"/>
      <c r="GJ77" s="110"/>
      <c r="GK77" s="110"/>
      <c r="GL77" s="110"/>
      <c r="GM77" s="110"/>
      <c r="GN77" s="110"/>
      <c r="GO77" s="110"/>
      <c r="GP77" s="110"/>
      <c r="GQ77" s="110"/>
      <c r="GR77" s="110"/>
      <c r="GS77" s="110"/>
      <c r="GT77" s="110"/>
      <c r="GU77" s="110"/>
      <c r="GV77" s="110"/>
      <c r="GW77" s="110"/>
      <c r="GX77" s="110"/>
      <c r="GY77" s="110"/>
      <c r="GZ77" s="110"/>
      <c r="HA77" s="110"/>
      <c r="HB77" s="110"/>
      <c r="HC77" s="110"/>
      <c r="HD77" s="110"/>
      <c r="HE77" s="110"/>
      <c r="HF77" s="110"/>
      <c r="HG77" s="110"/>
      <c r="HH77" s="110"/>
      <c r="HI77" s="110"/>
      <c r="HJ77" s="110"/>
      <c r="HK77" s="110"/>
      <c r="HL77" s="110"/>
      <c r="HM77" s="110"/>
      <c r="HN77" s="110"/>
      <c r="HO77" s="110"/>
      <c r="HP77" s="110"/>
      <c r="HQ77" s="110"/>
      <c r="HR77" s="110"/>
      <c r="HS77" s="110"/>
      <c r="HT77" s="110"/>
      <c r="HU77" s="110"/>
      <c r="HV77" s="110"/>
      <c r="HW77" s="110"/>
      <c r="HX77" s="110"/>
      <c r="HY77" s="110"/>
      <c r="HZ77" s="110"/>
      <c r="IA77" s="110"/>
      <c r="IB77" s="110"/>
      <c r="IC77" s="110"/>
      <c r="ID77" s="110"/>
      <c r="IE77" s="110"/>
      <c r="IF77" s="110"/>
      <c r="IG77" s="110"/>
      <c r="IH77" s="110"/>
      <c r="II77" s="110"/>
      <c r="IJ77" s="110"/>
      <c r="IK77" s="110"/>
      <c r="IL77" s="110"/>
      <c r="IM77" s="110"/>
      <c r="IN77" s="110"/>
      <c r="IO77" s="110"/>
      <c r="IP77" s="110"/>
      <c r="IQ77" s="110"/>
      <c r="IR77" s="110"/>
      <c r="IS77" s="110"/>
      <c r="IT77" s="110"/>
      <c r="IU77" s="110"/>
      <c r="IV77" s="110"/>
      <c r="IW77" s="110"/>
    </row>
    <row r="78" spans="1:257" x14ac:dyDescent="0.3">
      <c r="A78" s="156"/>
      <c r="B78" s="156"/>
      <c r="C78" s="156"/>
      <c r="D78" s="156"/>
      <c r="E78" s="156"/>
      <c r="F78" s="156"/>
      <c r="G78" s="156"/>
      <c r="H78" s="156"/>
      <c r="I78" s="174"/>
      <c r="J78" s="156"/>
      <c r="K78" s="156"/>
      <c r="L78" s="156"/>
      <c r="M78" s="156"/>
      <c r="N78" s="156"/>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c r="CY78" s="110"/>
      <c r="CZ78" s="110"/>
      <c r="DA78" s="110"/>
      <c r="DB78" s="110"/>
      <c r="DC78" s="110"/>
      <c r="DD78" s="110"/>
      <c r="DE78" s="110"/>
      <c r="DF78" s="110"/>
      <c r="DG78" s="110"/>
      <c r="DH78" s="110"/>
      <c r="DI78" s="110"/>
      <c r="DJ78" s="110"/>
      <c r="DK78" s="110"/>
      <c r="DL78" s="110"/>
      <c r="DM78" s="110"/>
      <c r="DN78" s="110"/>
      <c r="DO78" s="110"/>
      <c r="DP78" s="110"/>
      <c r="DQ78" s="110"/>
      <c r="DR78" s="110"/>
      <c r="DS78" s="110"/>
      <c r="DT78" s="110"/>
      <c r="DU78" s="110"/>
      <c r="DV78" s="110"/>
      <c r="DW78" s="110"/>
      <c r="DX78" s="110"/>
      <c r="DY78" s="110"/>
      <c r="DZ78" s="110"/>
      <c r="EA78" s="110"/>
      <c r="EB78" s="110"/>
      <c r="EC78" s="110"/>
      <c r="ED78" s="110"/>
      <c r="EE78" s="110"/>
      <c r="EF78" s="110"/>
      <c r="EG78" s="110"/>
      <c r="EH78" s="110"/>
      <c r="EI78" s="110"/>
      <c r="EJ78" s="110"/>
      <c r="EK78" s="110"/>
      <c r="EL78" s="110"/>
      <c r="EM78" s="110"/>
      <c r="EN78" s="110"/>
      <c r="EO78" s="110"/>
      <c r="EP78" s="110"/>
      <c r="EQ78" s="110"/>
      <c r="ER78" s="110"/>
      <c r="ES78" s="110"/>
      <c r="ET78" s="110"/>
      <c r="EU78" s="110"/>
      <c r="EV78" s="110"/>
      <c r="EW78" s="110"/>
      <c r="EX78" s="110"/>
      <c r="EY78" s="110"/>
      <c r="EZ78" s="110"/>
      <c r="FA78" s="110"/>
      <c r="FB78" s="110"/>
      <c r="FC78" s="110"/>
      <c r="FD78" s="110"/>
      <c r="FE78" s="110"/>
      <c r="FF78" s="110"/>
      <c r="FG78" s="110"/>
      <c r="FH78" s="110"/>
      <c r="FI78" s="110"/>
      <c r="FJ78" s="110"/>
      <c r="FK78" s="110"/>
      <c r="FL78" s="110"/>
      <c r="FM78" s="110"/>
      <c r="FN78" s="110"/>
      <c r="FO78" s="110"/>
      <c r="FP78" s="110"/>
      <c r="FQ78" s="110"/>
      <c r="FR78" s="110"/>
      <c r="FS78" s="110"/>
      <c r="FT78" s="110"/>
      <c r="FU78" s="110"/>
      <c r="FV78" s="110"/>
      <c r="FW78" s="110"/>
      <c r="FX78" s="110"/>
      <c r="FY78" s="110"/>
      <c r="FZ78" s="110"/>
      <c r="GA78" s="110"/>
      <c r="GB78" s="110"/>
      <c r="GC78" s="110"/>
      <c r="GD78" s="110"/>
      <c r="GE78" s="110"/>
      <c r="GF78" s="110"/>
      <c r="GG78" s="110"/>
      <c r="GH78" s="110"/>
      <c r="GI78" s="110"/>
      <c r="GJ78" s="110"/>
      <c r="GK78" s="110"/>
      <c r="GL78" s="110"/>
      <c r="GM78" s="110"/>
      <c r="GN78" s="110"/>
      <c r="GO78" s="110"/>
      <c r="GP78" s="110"/>
      <c r="GQ78" s="110"/>
      <c r="GR78" s="110"/>
      <c r="GS78" s="110"/>
      <c r="GT78" s="110"/>
      <c r="GU78" s="110"/>
      <c r="GV78" s="110"/>
      <c r="GW78" s="110"/>
      <c r="GX78" s="110"/>
      <c r="GY78" s="110"/>
      <c r="GZ78" s="110"/>
      <c r="HA78" s="110"/>
      <c r="HB78" s="110"/>
      <c r="HC78" s="110"/>
      <c r="HD78" s="110"/>
      <c r="HE78" s="110"/>
      <c r="HF78" s="110"/>
      <c r="HG78" s="110"/>
      <c r="HH78" s="110"/>
      <c r="HI78" s="110"/>
      <c r="HJ78" s="110"/>
      <c r="HK78" s="110"/>
      <c r="HL78" s="110"/>
      <c r="HM78" s="110"/>
      <c r="HN78" s="110"/>
      <c r="HO78" s="110"/>
      <c r="HP78" s="110"/>
      <c r="HQ78" s="110"/>
      <c r="HR78" s="110"/>
      <c r="HS78" s="110"/>
      <c r="HT78" s="110"/>
      <c r="HU78" s="110"/>
      <c r="HV78" s="110"/>
      <c r="HW78" s="110"/>
      <c r="HX78" s="110"/>
      <c r="HY78" s="110"/>
      <c r="HZ78" s="110"/>
      <c r="IA78" s="110"/>
      <c r="IB78" s="110"/>
      <c r="IC78" s="110"/>
      <c r="ID78" s="110"/>
      <c r="IE78" s="110"/>
      <c r="IF78" s="110"/>
      <c r="IG78" s="110"/>
      <c r="IH78" s="110"/>
      <c r="II78" s="110"/>
      <c r="IJ78" s="110"/>
      <c r="IK78" s="110"/>
      <c r="IL78" s="110"/>
      <c r="IM78" s="110"/>
      <c r="IN78" s="110"/>
      <c r="IO78" s="110"/>
      <c r="IP78" s="110"/>
      <c r="IQ78" s="110"/>
      <c r="IR78" s="110"/>
      <c r="IS78" s="110"/>
      <c r="IT78" s="110"/>
      <c r="IU78" s="110"/>
      <c r="IV78" s="110"/>
      <c r="IW78" s="110"/>
    </row>
    <row r="79" spans="1:257" x14ac:dyDescent="0.3">
      <c r="A79" s="156"/>
      <c r="B79" s="156"/>
      <c r="C79" s="156"/>
      <c r="D79" s="156"/>
      <c r="E79" s="156"/>
      <c r="F79" s="156"/>
      <c r="G79" s="156"/>
      <c r="H79" s="156"/>
      <c r="I79" s="174"/>
      <c r="J79" s="156"/>
      <c r="K79" s="156"/>
      <c r="L79" s="156"/>
      <c r="M79" s="156"/>
      <c r="N79" s="156"/>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c r="CY79" s="110"/>
      <c r="CZ79" s="110"/>
      <c r="DA79" s="110"/>
      <c r="DB79" s="110"/>
      <c r="DC79" s="110"/>
      <c r="DD79" s="110"/>
      <c r="DE79" s="110"/>
      <c r="DF79" s="110"/>
      <c r="DG79" s="110"/>
      <c r="DH79" s="110"/>
      <c r="DI79" s="110"/>
      <c r="DJ79" s="110"/>
      <c r="DK79" s="110"/>
      <c r="DL79" s="110"/>
      <c r="DM79" s="110"/>
      <c r="DN79" s="110"/>
      <c r="DO79" s="110"/>
      <c r="DP79" s="110"/>
      <c r="DQ79" s="110"/>
      <c r="DR79" s="110"/>
      <c r="DS79" s="110"/>
      <c r="DT79" s="110"/>
      <c r="DU79" s="110"/>
      <c r="DV79" s="110"/>
      <c r="DW79" s="110"/>
      <c r="DX79" s="110"/>
      <c r="DY79" s="110"/>
      <c r="DZ79" s="110"/>
      <c r="EA79" s="110"/>
      <c r="EB79" s="110"/>
      <c r="EC79" s="110"/>
      <c r="ED79" s="110"/>
      <c r="EE79" s="110"/>
      <c r="EF79" s="110"/>
      <c r="EG79" s="110"/>
      <c r="EH79" s="110"/>
      <c r="EI79" s="110"/>
      <c r="EJ79" s="110"/>
      <c r="EK79" s="110"/>
      <c r="EL79" s="110"/>
      <c r="EM79" s="110"/>
      <c r="EN79" s="110"/>
      <c r="EO79" s="110"/>
      <c r="EP79" s="110"/>
      <c r="EQ79" s="110"/>
      <c r="ER79" s="110"/>
      <c r="ES79" s="110"/>
      <c r="ET79" s="110"/>
      <c r="EU79" s="110"/>
      <c r="EV79" s="110"/>
      <c r="EW79" s="110"/>
      <c r="EX79" s="110"/>
      <c r="EY79" s="110"/>
      <c r="EZ79" s="110"/>
      <c r="FA79" s="110"/>
      <c r="FB79" s="110"/>
      <c r="FC79" s="110"/>
      <c r="FD79" s="110"/>
      <c r="FE79" s="110"/>
      <c r="FF79" s="110"/>
      <c r="FG79" s="110"/>
      <c r="FH79" s="110"/>
      <c r="FI79" s="110"/>
      <c r="FJ79" s="110"/>
      <c r="FK79" s="110"/>
      <c r="FL79" s="110"/>
      <c r="FM79" s="110"/>
      <c r="FN79" s="110"/>
      <c r="FO79" s="110"/>
      <c r="FP79" s="110"/>
      <c r="FQ79" s="110"/>
      <c r="FR79" s="110"/>
      <c r="FS79" s="110"/>
      <c r="FT79" s="110"/>
      <c r="FU79" s="110"/>
      <c r="FV79" s="110"/>
      <c r="FW79" s="110"/>
      <c r="FX79" s="110"/>
      <c r="FY79" s="110"/>
      <c r="FZ79" s="110"/>
      <c r="GA79" s="110"/>
      <c r="GB79" s="110"/>
      <c r="GC79" s="110"/>
      <c r="GD79" s="110"/>
      <c r="GE79" s="110"/>
      <c r="GF79" s="110"/>
      <c r="GG79" s="110"/>
      <c r="GH79" s="110"/>
      <c r="GI79" s="110"/>
      <c r="GJ79" s="110"/>
      <c r="GK79" s="110"/>
      <c r="GL79" s="110"/>
      <c r="GM79" s="110"/>
      <c r="GN79" s="110"/>
      <c r="GO79" s="110"/>
      <c r="GP79" s="110"/>
      <c r="GQ79" s="110"/>
      <c r="GR79" s="110"/>
      <c r="GS79" s="110"/>
      <c r="GT79" s="110"/>
      <c r="GU79" s="110"/>
      <c r="GV79" s="110"/>
      <c r="GW79" s="110"/>
      <c r="GX79" s="110"/>
      <c r="GY79" s="110"/>
      <c r="GZ79" s="110"/>
      <c r="HA79" s="110"/>
      <c r="HB79" s="110"/>
      <c r="HC79" s="110"/>
      <c r="HD79" s="110"/>
      <c r="HE79" s="110"/>
      <c r="HF79" s="110"/>
      <c r="HG79" s="110"/>
      <c r="HH79" s="110"/>
      <c r="HI79" s="110"/>
      <c r="HJ79" s="110"/>
      <c r="HK79" s="110"/>
      <c r="HL79" s="110"/>
      <c r="HM79" s="110"/>
      <c r="HN79" s="110"/>
      <c r="HO79" s="110"/>
      <c r="HP79" s="110"/>
      <c r="HQ79" s="110"/>
      <c r="HR79" s="110"/>
      <c r="HS79" s="110"/>
      <c r="HT79" s="110"/>
      <c r="HU79" s="110"/>
      <c r="HV79" s="110"/>
      <c r="HW79" s="110"/>
      <c r="HX79" s="110"/>
      <c r="HY79" s="110"/>
      <c r="HZ79" s="110"/>
      <c r="IA79" s="110"/>
      <c r="IB79" s="110"/>
      <c r="IC79" s="110"/>
      <c r="ID79" s="110"/>
      <c r="IE79" s="110"/>
      <c r="IF79" s="110"/>
      <c r="IG79" s="110"/>
      <c r="IH79" s="110"/>
      <c r="II79" s="110"/>
      <c r="IJ79" s="110"/>
      <c r="IK79" s="110"/>
      <c r="IL79" s="110"/>
      <c r="IM79" s="110"/>
      <c r="IN79" s="110"/>
      <c r="IO79" s="110"/>
      <c r="IP79" s="110"/>
      <c r="IQ79" s="110"/>
      <c r="IR79" s="110"/>
      <c r="IS79" s="110"/>
      <c r="IT79" s="110"/>
      <c r="IU79" s="110"/>
      <c r="IV79" s="110"/>
      <c r="IW79" s="110"/>
    </row>
    <row r="80" spans="1:257" x14ac:dyDescent="0.3">
      <c r="A80" s="156"/>
      <c r="B80" s="156"/>
      <c r="C80" s="156"/>
      <c r="D80" s="156"/>
      <c r="E80" s="156"/>
      <c r="F80" s="156"/>
      <c r="G80" s="156"/>
      <c r="H80" s="156"/>
      <c r="I80" s="174"/>
      <c r="J80" s="156"/>
      <c r="K80" s="156"/>
      <c r="L80" s="156"/>
      <c r="M80" s="156"/>
      <c r="N80" s="156"/>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c r="CY80" s="110"/>
      <c r="CZ80" s="110"/>
      <c r="DA80" s="110"/>
      <c r="DB80" s="110"/>
      <c r="DC80" s="110"/>
      <c r="DD80" s="110"/>
      <c r="DE80" s="110"/>
      <c r="DF80" s="110"/>
      <c r="DG80" s="110"/>
      <c r="DH80" s="110"/>
      <c r="DI80" s="110"/>
      <c r="DJ80" s="110"/>
      <c r="DK80" s="110"/>
      <c r="DL80" s="110"/>
      <c r="DM80" s="110"/>
      <c r="DN80" s="110"/>
      <c r="DO80" s="110"/>
      <c r="DP80" s="110"/>
      <c r="DQ80" s="110"/>
      <c r="DR80" s="110"/>
      <c r="DS80" s="110"/>
      <c r="DT80" s="110"/>
      <c r="DU80" s="110"/>
      <c r="DV80" s="110"/>
      <c r="DW80" s="110"/>
      <c r="DX80" s="110"/>
      <c r="DY80" s="110"/>
      <c r="DZ80" s="110"/>
      <c r="EA80" s="110"/>
      <c r="EB80" s="110"/>
      <c r="EC80" s="110"/>
      <c r="ED80" s="110"/>
      <c r="EE80" s="110"/>
      <c r="EF80" s="110"/>
      <c r="EG80" s="110"/>
      <c r="EH80" s="110"/>
      <c r="EI80" s="110"/>
      <c r="EJ80" s="110"/>
      <c r="EK80" s="110"/>
      <c r="EL80" s="110"/>
      <c r="EM80" s="110"/>
      <c r="EN80" s="110"/>
      <c r="EO80" s="110"/>
      <c r="EP80" s="110"/>
      <c r="EQ80" s="110"/>
      <c r="ER80" s="110"/>
      <c r="ES80" s="110"/>
      <c r="ET80" s="110"/>
      <c r="EU80" s="110"/>
      <c r="EV80" s="110"/>
      <c r="EW80" s="110"/>
      <c r="EX80" s="110"/>
      <c r="EY80" s="110"/>
      <c r="EZ80" s="110"/>
      <c r="FA80" s="110"/>
      <c r="FB80" s="110"/>
      <c r="FC80" s="110"/>
      <c r="FD80" s="110"/>
      <c r="FE80" s="110"/>
      <c r="FF80" s="110"/>
      <c r="FG80" s="110"/>
      <c r="FH80" s="110"/>
      <c r="FI80" s="110"/>
      <c r="FJ80" s="110"/>
      <c r="FK80" s="110"/>
      <c r="FL80" s="110"/>
      <c r="FM80" s="110"/>
      <c r="FN80" s="110"/>
      <c r="FO80" s="110"/>
      <c r="FP80" s="110"/>
      <c r="FQ80" s="110"/>
      <c r="FR80" s="110"/>
      <c r="FS80" s="110"/>
      <c r="FT80" s="110"/>
      <c r="FU80" s="110"/>
      <c r="FV80" s="110"/>
      <c r="FW80" s="110"/>
      <c r="FX80" s="110"/>
      <c r="FY80" s="110"/>
      <c r="FZ80" s="110"/>
      <c r="GA80" s="110"/>
      <c r="GB80" s="110"/>
      <c r="GC80" s="110"/>
      <c r="GD80" s="110"/>
      <c r="GE80" s="110"/>
      <c r="GF80" s="110"/>
      <c r="GG80" s="110"/>
      <c r="GH80" s="110"/>
      <c r="GI80" s="110"/>
      <c r="GJ80" s="110"/>
      <c r="GK80" s="110"/>
      <c r="GL80" s="110"/>
      <c r="GM80" s="110"/>
      <c r="GN80" s="110"/>
      <c r="GO80" s="110"/>
      <c r="GP80" s="110"/>
      <c r="GQ80" s="110"/>
      <c r="GR80" s="110"/>
      <c r="GS80" s="110"/>
      <c r="GT80" s="110"/>
      <c r="GU80" s="110"/>
      <c r="GV80" s="110"/>
      <c r="GW80" s="110"/>
      <c r="GX80" s="110"/>
      <c r="GY80" s="110"/>
      <c r="GZ80" s="110"/>
      <c r="HA80" s="110"/>
      <c r="HB80" s="110"/>
      <c r="HC80" s="110"/>
      <c r="HD80" s="110"/>
      <c r="HE80" s="110"/>
      <c r="HF80" s="110"/>
      <c r="HG80" s="110"/>
      <c r="HH80" s="110"/>
      <c r="HI80" s="110"/>
      <c r="HJ80" s="110"/>
      <c r="HK80" s="110"/>
      <c r="HL80" s="110"/>
      <c r="HM80" s="110"/>
      <c r="HN80" s="110"/>
      <c r="HO80" s="110"/>
      <c r="HP80" s="110"/>
      <c r="HQ80" s="110"/>
      <c r="HR80" s="110"/>
      <c r="HS80" s="110"/>
      <c r="HT80" s="110"/>
      <c r="HU80" s="110"/>
      <c r="HV80" s="110"/>
      <c r="HW80" s="110"/>
      <c r="HX80" s="110"/>
      <c r="HY80" s="110"/>
      <c r="HZ80" s="110"/>
      <c r="IA80" s="110"/>
      <c r="IB80" s="110"/>
      <c r="IC80" s="110"/>
      <c r="ID80" s="110"/>
      <c r="IE80" s="110"/>
      <c r="IF80" s="110"/>
      <c r="IG80" s="110"/>
      <c r="IH80" s="110"/>
      <c r="II80" s="110"/>
      <c r="IJ80" s="110"/>
      <c r="IK80" s="110"/>
      <c r="IL80" s="110"/>
      <c r="IM80" s="110"/>
      <c r="IN80" s="110"/>
      <c r="IO80" s="110"/>
      <c r="IP80" s="110"/>
      <c r="IQ80" s="110"/>
      <c r="IR80" s="110"/>
      <c r="IS80" s="110"/>
      <c r="IT80" s="110"/>
      <c r="IU80" s="110"/>
      <c r="IV80" s="110"/>
      <c r="IW80" s="110"/>
    </row>
    <row r="81" spans="1:257" x14ac:dyDescent="0.3">
      <c r="A81" s="156"/>
      <c r="B81" s="156"/>
      <c r="C81" s="156"/>
      <c r="D81" s="156"/>
      <c r="E81" s="156"/>
      <c r="F81" s="156"/>
      <c r="G81" s="156"/>
      <c r="H81" s="156"/>
      <c r="I81" s="174"/>
      <c r="J81" s="156"/>
      <c r="K81" s="156"/>
      <c r="L81" s="156"/>
      <c r="M81" s="156"/>
      <c r="N81" s="156"/>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c r="CY81" s="110"/>
      <c r="CZ81" s="110"/>
      <c r="DA81" s="110"/>
      <c r="DB81" s="110"/>
      <c r="DC81" s="110"/>
      <c r="DD81" s="110"/>
      <c r="DE81" s="110"/>
      <c r="DF81" s="110"/>
      <c r="DG81" s="110"/>
      <c r="DH81" s="110"/>
      <c r="DI81" s="110"/>
      <c r="DJ81" s="110"/>
      <c r="DK81" s="110"/>
      <c r="DL81" s="110"/>
      <c r="DM81" s="110"/>
      <c r="DN81" s="110"/>
      <c r="DO81" s="110"/>
      <c r="DP81" s="110"/>
      <c r="DQ81" s="110"/>
      <c r="DR81" s="110"/>
      <c r="DS81" s="110"/>
      <c r="DT81" s="110"/>
      <c r="DU81" s="110"/>
      <c r="DV81" s="110"/>
      <c r="DW81" s="110"/>
      <c r="DX81" s="110"/>
      <c r="DY81" s="110"/>
      <c r="DZ81" s="110"/>
      <c r="EA81" s="110"/>
      <c r="EB81" s="110"/>
      <c r="EC81" s="110"/>
      <c r="ED81" s="110"/>
      <c r="EE81" s="110"/>
      <c r="EF81" s="110"/>
      <c r="EG81" s="110"/>
      <c r="EH81" s="110"/>
      <c r="EI81" s="110"/>
      <c r="EJ81" s="110"/>
      <c r="EK81" s="110"/>
      <c r="EL81" s="110"/>
      <c r="EM81" s="110"/>
      <c r="EN81" s="110"/>
      <c r="EO81" s="110"/>
      <c r="EP81" s="110"/>
      <c r="EQ81" s="110"/>
      <c r="ER81" s="110"/>
      <c r="ES81" s="110"/>
      <c r="ET81" s="110"/>
      <c r="EU81" s="110"/>
      <c r="EV81" s="110"/>
      <c r="EW81" s="110"/>
      <c r="EX81" s="110"/>
      <c r="EY81" s="110"/>
      <c r="EZ81" s="110"/>
      <c r="FA81" s="110"/>
      <c r="FB81" s="110"/>
      <c r="FC81" s="110"/>
      <c r="FD81" s="110"/>
      <c r="FE81" s="110"/>
      <c r="FF81" s="110"/>
      <c r="FG81" s="110"/>
      <c r="FH81" s="110"/>
      <c r="FI81" s="110"/>
      <c r="FJ81" s="110"/>
      <c r="FK81" s="110"/>
      <c r="FL81" s="110"/>
      <c r="FM81" s="110"/>
      <c r="FN81" s="110"/>
      <c r="FO81" s="110"/>
      <c r="FP81" s="110"/>
      <c r="FQ81" s="110"/>
      <c r="FR81" s="110"/>
      <c r="FS81" s="110"/>
      <c r="FT81" s="110"/>
      <c r="FU81" s="110"/>
      <c r="FV81" s="110"/>
      <c r="FW81" s="110"/>
      <c r="FX81" s="110"/>
      <c r="FY81" s="110"/>
      <c r="FZ81" s="110"/>
      <c r="GA81" s="110"/>
      <c r="GB81" s="110"/>
      <c r="GC81" s="110"/>
      <c r="GD81" s="110"/>
      <c r="GE81" s="110"/>
      <c r="GF81" s="110"/>
      <c r="GG81" s="110"/>
      <c r="GH81" s="110"/>
      <c r="GI81" s="110"/>
      <c r="GJ81" s="110"/>
      <c r="GK81" s="110"/>
      <c r="GL81" s="110"/>
      <c r="GM81" s="110"/>
      <c r="GN81" s="110"/>
      <c r="GO81" s="110"/>
      <c r="GP81" s="110"/>
      <c r="GQ81" s="110"/>
      <c r="GR81" s="110"/>
      <c r="GS81" s="110"/>
      <c r="GT81" s="110"/>
      <c r="GU81" s="110"/>
      <c r="GV81" s="110"/>
      <c r="GW81" s="110"/>
      <c r="GX81" s="110"/>
      <c r="GY81" s="110"/>
      <c r="GZ81" s="110"/>
      <c r="HA81" s="110"/>
      <c r="HB81" s="110"/>
      <c r="HC81" s="110"/>
      <c r="HD81" s="110"/>
      <c r="HE81" s="110"/>
      <c r="HF81" s="110"/>
      <c r="HG81" s="110"/>
      <c r="HH81" s="110"/>
      <c r="HI81" s="110"/>
      <c r="HJ81" s="110"/>
      <c r="HK81" s="110"/>
      <c r="HL81" s="110"/>
      <c r="HM81" s="110"/>
      <c r="HN81" s="110"/>
      <c r="HO81" s="110"/>
      <c r="HP81" s="110"/>
      <c r="HQ81" s="110"/>
      <c r="HR81" s="110"/>
      <c r="HS81" s="110"/>
      <c r="HT81" s="110"/>
      <c r="HU81" s="110"/>
      <c r="HV81" s="110"/>
      <c r="HW81" s="110"/>
      <c r="HX81" s="110"/>
      <c r="HY81" s="110"/>
      <c r="HZ81" s="110"/>
      <c r="IA81" s="110"/>
      <c r="IB81" s="110"/>
      <c r="IC81" s="110"/>
      <c r="ID81" s="110"/>
      <c r="IE81" s="110"/>
      <c r="IF81" s="110"/>
      <c r="IG81" s="110"/>
      <c r="IH81" s="110"/>
      <c r="II81" s="110"/>
      <c r="IJ81" s="110"/>
      <c r="IK81" s="110"/>
      <c r="IL81" s="110"/>
      <c r="IM81" s="110"/>
      <c r="IN81" s="110"/>
      <c r="IO81" s="110"/>
      <c r="IP81" s="110"/>
      <c r="IQ81" s="110"/>
      <c r="IR81" s="110"/>
      <c r="IS81" s="110"/>
      <c r="IT81" s="110"/>
      <c r="IU81" s="110"/>
      <c r="IV81" s="110"/>
      <c r="IW81" s="110"/>
    </row>
    <row r="82" spans="1:257" x14ac:dyDescent="0.3">
      <c r="A82" s="156"/>
      <c r="B82" s="156"/>
      <c r="C82" s="156"/>
      <c r="D82" s="156"/>
      <c r="E82" s="156"/>
      <c r="F82" s="156"/>
      <c r="G82" s="156"/>
      <c r="H82" s="156"/>
      <c r="I82" s="174"/>
      <c r="J82" s="156"/>
      <c r="K82" s="156"/>
      <c r="L82" s="156"/>
      <c r="M82" s="156"/>
      <c r="N82" s="156"/>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c r="CY82" s="110"/>
      <c r="CZ82" s="110"/>
      <c r="DA82" s="110"/>
      <c r="DB82" s="110"/>
      <c r="DC82" s="110"/>
      <c r="DD82" s="110"/>
      <c r="DE82" s="110"/>
      <c r="DF82" s="110"/>
      <c r="DG82" s="110"/>
      <c r="DH82" s="110"/>
      <c r="DI82" s="110"/>
      <c r="DJ82" s="110"/>
      <c r="DK82" s="110"/>
      <c r="DL82" s="110"/>
      <c r="DM82" s="110"/>
      <c r="DN82" s="110"/>
      <c r="DO82" s="110"/>
      <c r="DP82" s="110"/>
      <c r="DQ82" s="110"/>
      <c r="DR82" s="110"/>
      <c r="DS82" s="110"/>
      <c r="DT82" s="110"/>
      <c r="DU82" s="110"/>
      <c r="DV82" s="110"/>
      <c r="DW82" s="110"/>
      <c r="DX82" s="110"/>
      <c r="DY82" s="110"/>
      <c r="DZ82" s="110"/>
      <c r="EA82" s="110"/>
      <c r="EB82" s="110"/>
      <c r="EC82" s="110"/>
      <c r="ED82" s="110"/>
      <c r="EE82" s="110"/>
      <c r="EF82" s="110"/>
      <c r="EG82" s="110"/>
      <c r="EH82" s="110"/>
      <c r="EI82" s="110"/>
      <c r="EJ82" s="110"/>
      <c r="EK82" s="110"/>
      <c r="EL82" s="110"/>
      <c r="EM82" s="110"/>
      <c r="EN82" s="110"/>
      <c r="EO82" s="110"/>
      <c r="EP82" s="110"/>
      <c r="EQ82" s="110"/>
      <c r="ER82" s="110"/>
      <c r="ES82" s="110"/>
      <c r="ET82" s="110"/>
      <c r="EU82" s="110"/>
      <c r="EV82" s="110"/>
      <c r="EW82" s="110"/>
      <c r="EX82" s="110"/>
      <c r="EY82" s="110"/>
      <c r="EZ82" s="110"/>
      <c r="FA82" s="110"/>
      <c r="FB82" s="110"/>
      <c r="FC82" s="110"/>
      <c r="FD82" s="110"/>
      <c r="FE82" s="110"/>
      <c r="FF82" s="110"/>
      <c r="FG82" s="110"/>
      <c r="FH82" s="110"/>
      <c r="FI82" s="110"/>
      <c r="FJ82" s="110"/>
      <c r="FK82" s="110"/>
      <c r="FL82" s="110"/>
      <c r="FM82" s="110"/>
      <c r="FN82" s="110"/>
      <c r="FO82" s="110"/>
      <c r="FP82" s="110"/>
      <c r="FQ82" s="110"/>
      <c r="FR82" s="110"/>
      <c r="FS82" s="110"/>
      <c r="FT82" s="110"/>
      <c r="FU82" s="110"/>
      <c r="FV82" s="110"/>
      <c r="FW82" s="110"/>
      <c r="FX82" s="110"/>
      <c r="FY82" s="110"/>
      <c r="FZ82" s="110"/>
      <c r="GA82" s="110"/>
      <c r="GB82" s="110"/>
      <c r="GC82" s="110"/>
      <c r="GD82" s="110"/>
      <c r="GE82" s="110"/>
      <c r="GF82" s="110"/>
      <c r="GG82" s="110"/>
      <c r="GH82" s="110"/>
      <c r="GI82" s="110"/>
      <c r="GJ82" s="110"/>
      <c r="GK82" s="110"/>
      <c r="GL82" s="110"/>
      <c r="GM82" s="110"/>
      <c r="GN82" s="110"/>
      <c r="GO82" s="110"/>
      <c r="GP82" s="110"/>
      <c r="GQ82" s="110"/>
      <c r="GR82" s="110"/>
      <c r="GS82" s="110"/>
      <c r="GT82" s="110"/>
      <c r="GU82" s="110"/>
      <c r="GV82" s="110"/>
      <c r="GW82" s="110"/>
      <c r="GX82" s="110"/>
      <c r="GY82" s="110"/>
      <c r="GZ82" s="110"/>
      <c r="HA82" s="110"/>
      <c r="HB82" s="110"/>
      <c r="HC82" s="110"/>
      <c r="HD82" s="110"/>
      <c r="HE82" s="110"/>
      <c r="HF82" s="110"/>
      <c r="HG82" s="110"/>
      <c r="HH82" s="110"/>
      <c r="HI82" s="110"/>
      <c r="HJ82" s="110"/>
      <c r="HK82" s="110"/>
      <c r="HL82" s="110"/>
      <c r="HM82" s="110"/>
      <c r="HN82" s="110"/>
      <c r="HO82" s="110"/>
      <c r="HP82" s="110"/>
      <c r="HQ82" s="110"/>
      <c r="HR82" s="110"/>
      <c r="HS82" s="110"/>
      <c r="HT82" s="110"/>
      <c r="HU82" s="110"/>
      <c r="HV82" s="110"/>
      <c r="HW82" s="110"/>
      <c r="HX82" s="110"/>
      <c r="HY82" s="110"/>
      <c r="HZ82" s="110"/>
      <c r="IA82" s="110"/>
      <c r="IB82" s="110"/>
      <c r="IC82" s="110"/>
      <c r="ID82" s="110"/>
      <c r="IE82" s="110"/>
      <c r="IF82" s="110"/>
      <c r="IG82" s="110"/>
      <c r="IH82" s="110"/>
      <c r="II82" s="110"/>
      <c r="IJ82" s="110"/>
      <c r="IK82" s="110"/>
      <c r="IL82" s="110"/>
      <c r="IM82" s="110"/>
      <c r="IN82" s="110"/>
      <c r="IO82" s="110"/>
      <c r="IP82" s="110"/>
      <c r="IQ82" s="110"/>
      <c r="IR82" s="110"/>
      <c r="IS82" s="110"/>
      <c r="IT82" s="110"/>
      <c r="IU82" s="110"/>
      <c r="IV82" s="110"/>
      <c r="IW82" s="110"/>
    </row>
    <row r="83" spans="1:257" x14ac:dyDescent="0.3">
      <c r="A83" s="156"/>
      <c r="B83" s="156"/>
      <c r="C83" s="156"/>
      <c r="D83" s="156"/>
      <c r="E83" s="156"/>
      <c r="F83" s="156"/>
      <c r="G83" s="156"/>
      <c r="H83" s="156"/>
      <c r="I83" s="174"/>
      <c r="J83" s="156"/>
      <c r="K83" s="156"/>
      <c r="L83" s="156"/>
      <c r="M83" s="156"/>
      <c r="N83" s="156"/>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c r="CY83" s="110"/>
      <c r="CZ83" s="110"/>
      <c r="DA83" s="110"/>
      <c r="DB83" s="110"/>
      <c r="DC83" s="110"/>
      <c r="DD83" s="110"/>
      <c r="DE83" s="110"/>
      <c r="DF83" s="110"/>
      <c r="DG83" s="110"/>
      <c r="DH83" s="110"/>
      <c r="DI83" s="110"/>
      <c r="DJ83" s="110"/>
      <c r="DK83" s="110"/>
      <c r="DL83" s="110"/>
      <c r="DM83" s="110"/>
      <c r="DN83" s="110"/>
      <c r="DO83" s="110"/>
      <c r="DP83" s="110"/>
      <c r="DQ83" s="110"/>
      <c r="DR83" s="110"/>
      <c r="DS83" s="110"/>
      <c r="DT83" s="110"/>
      <c r="DU83" s="110"/>
      <c r="DV83" s="110"/>
      <c r="DW83" s="110"/>
      <c r="DX83" s="110"/>
      <c r="DY83" s="110"/>
      <c r="DZ83" s="110"/>
      <c r="EA83" s="110"/>
      <c r="EB83" s="110"/>
      <c r="EC83" s="110"/>
      <c r="ED83" s="110"/>
      <c r="EE83" s="110"/>
      <c r="EF83" s="110"/>
      <c r="EG83" s="110"/>
      <c r="EH83" s="110"/>
      <c r="EI83" s="110"/>
      <c r="EJ83" s="110"/>
      <c r="EK83" s="110"/>
      <c r="EL83" s="110"/>
      <c r="EM83" s="110"/>
      <c r="EN83" s="110"/>
      <c r="EO83" s="110"/>
      <c r="EP83" s="110"/>
      <c r="EQ83" s="110"/>
      <c r="ER83" s="110"/>
      <c r="ES83" s="110"/>
      <c r="ET83" s="110"/>
      <c r="EU83" s="110"/>
      <c r="EV83" s="110"/>
      <c r="EW83" s="110"/>
      <c r="EX83" s="110"/>
      <c r="EY83" s="110"/>
      <c r="EZ83" s="110"/>
      <c r="FA83" s="110"/>
      <c r="FB83" s="110"/>
      <c r="FC83" s="110"/>
      <c r="FD83" s="110"/>
      <c r="FE83" s="110"/>
      <c r="FF83" s="110"/>
      <c r="FG83" s="110"/>
      <c r="FH83" s="110"/>
      <c r="FI83" s="110"/>
      <c r="FJ83" s="110"/>
      <c r="FK83" s="110"/>
      <c r="FL83" s="110"/>
      <c r="FM83" s="110"/>
      <c r="FN83" s="110"/>
      <c r="FO83" s="110"/>
      <c r="FP83" s="110"/>
      <c r="FQ83" s="110"/>
      <c r="FR83" s="110"/>
      <c r="FS83" s="110"/>
      <c r="FT83" s="110"/>
      <c r="FU83" s="110"/>
      <c r="FV83" s="110"/>
      <c r="FW83" s="110"/>
      <c r="FX83" s="110"/>
      <c r="FY83" s="110"/>
      <c r="FZ83" s="110"/>
      <c r="GA83" s="110"/>
      <c r="GB83" s="110"/>
      <c r="GC83" s="110"/>
      <c r="GD83" s="110"/>
      <c r="GE83" s="110"/>
      <c r="GF83" s="110"/>
      <c r="GG83" s="110"/>
      <c r="GH83" s="110"/>
      <c r="GI83" s="110"/>
      <c r="GJ83" s="110"/>
      <c r="GK83" s="110"/>
      <c r="GL83" s="110"/>
      <c r="GM83" s="110"/>
      <c r="GN83" s="110"/>
      <c r="GO83" s="110"/>
      <c r="GP83" s="110"/>
      <c r="GQ83" s="110"/>
      <c r="GR83" s="110"/>
      <c r="GS83" s="110"/>
      <c r="GT83" s="110"/>
      <c r="GU83" s="110"/>
      <c r="GV83" s="110"/>
      <c r="GW83" s="110"/>
      <c r="GX83" s="110"/>
      <c r="GY83" s="110"/>
      <c r="GZ83" s="110"/>
      <c r="HA83" s="110"/>
      <c r="HB83" s="110"/>
      <c r="HC83" s="110"/>
      <c r="HD83" s="110"/>
      <c r="HE83" s="110"/>
      <c r="HF83" s="110"/>
      <c r="HG83" s="110"/>
      <c r="HH83" s="110"/>
      <c r="HI83" s="110"/>
      <c r="HJ83" s="110"/>
      <c r="HK83" s="110"/>
      <c r="HL83" s="110"/>
      <c r="HM83" s="110"/>
      <c r="HN83" s="110"/>
      <c r="HO83" s="110"/>
      <c r="HP83" s="110"/>
      <c r="HQ83" s="110"/>
      <c r="HR83" s="110"/>
      <c r="HS83" s="110"/>
      <c r="HT83" s="110"/>
      <c r="HU83" s="110"/>
      <c r="HV83" s="110"/>
      <c r="HW83" s="110"/>
      <c r="HX83" s="110"/>
      <c r="HY83" s="110"/>
      <c r="HZ83" s="110"/>
      <c r="IA83" s="110"/>
      <c r="IB83" s="110"/>
      <c r="IC83" s="110"/>
      <c r="ID83" s="110"/>
      <c r="IE83" s="110"/>
      <c r="IF83" s="110"/>
      <c r="IG83" s="110"/>
      <c r="IH83" s="110"/>
      <c r="II83" s="110"/>
      <c r="IJ83" s="110"/>
      <c r="IK83" s="110"/>
      <c r="IL83" s="110"/>
      <c r="IM83" s="110"/>
      <c r="IN83" s="110"/>
      <c r="IO83" s="110"/>
      <c r="IP83" s="110"/>
      <c r="IQ83" s="110"/>
      <c r="IR83" s="110"/>
      <c r="IS83" s="110"/>
      <c r="IT83" s="110"/>
      <c r="IU83" s="110"/>
      <c r="IV83" s="110"/>
      <c r="IW83" s="110"/>
    </row>
    <row r="84" spans="1:257" x14ac:dyDescent="0.3">
      <c r="A84" s="156"/>
      <c r="B84" s="156"/>
      <c r="C84" s="156"/>
      <c r="D84" s="156"/>
      <c r="E84" s="156"/>
      <c r="F84" s="156"/>
      <c r="G84" s="156"/>
      <c r="H84" s="156"/>
      <c r="I84" s="174"/>
      <c r="J84" s="156"/>
      <c r="K84" s="156"/>
      <c r="L84" s="156"/>
      <c r="M84" s="156"/>
      <c r="N84" s="156"/>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s="110"/>
      <c r="CQ84" s="110"/>
      <c r="CR84" s="110"/>
      <c r="CS84" s="110"/>
      <c r="CT84" s="110"/>
      <c r="CU84" s="110"/>
      <c r="CV84" s="110"/>
      <c r="CW84" s="110"/>
      <c r="CX84" s="110"/>
      <c r="CY84" s="110"/>
      <c r="CZ84" s="110"/>
      <c r="DA84" s="110"/>
      <c r="DB84" s="110"/>
      <c r="DC84" s="110"/>
      <c r="DD84" s="110"/>
      <c r="DE84" s="110"/>
      <c r="DF84" s="110"/>
      <c r="DG84" s="110"/>
      <c r="DH84" s="110"/>
      <c r="DI84" s="110"/>
      <c r="DJ84" s="110"/>
      <c r="DK84" s="110"/>
      <c r="DL84" s="110"/>
      <c r="DM84" s="110"/>
      <c r="DN84" s="110"/>
      <c r="DO84" s="110"/>
      <c r="DP84" s="110"/>
      <c r="DQ84" s="110"/>
      <c r="DR84" s="110"/>
      <c r="DS84" s="110"/>
      <c r="DT84" s="110"/>
      <c r="DU84" s="110"/>
      <c r="DV84" s="110"/>
      <c r="DW84" s="110"/>
      <c r="DX84" s="110"/>
      <c r="DY84" s="110"/>
      <c r="DZ84" s="110"/>
      <c r="EA84" s="110"/>
      <c r="EB84" s="110"/>
      <c r="EC84" s="110"/>
      <c r="ED84" s="110"/>
      <c r="EE84" s="110"/>
      <c r="EF84" s="110"/>
      <c r="EG84" s="110"/>
      <c r="EH84" s="110"/>
      <c r="EI84" s="110"/>
      <c r="EJ84" s="110"/>
      <c r="EK84" s="110"/>
      <c r="EL84" s="110"/>
      <c r="EM84" s="110"/>
      <c r="EN84" s="110"/>
      <c r="EO84" s="110"/>
      <c r="EP84" s="110"/>
      <c r="EQ84" s="110"/>
      <c r="ER84" s="110"/>
      <c r="ES84" s="110"/>
      <c r="ET84" s="110"/>
      <c r="EU84" s="110"/>
      <c r="EV84" s="110"/>
      <c r="EW84" s="110"/>
      <c r="EX84" s="110"/>
      <c r="EY84" s="110"/>
      <c r="EZ84" s="110"/>
      <c r="FA84" s="110"/>
      <c r="FB84" s="110"/>
      <c r="FC84" s="110"/>
      <c r="FD84" s="110"/>
      <c r="FE84" s="110"/>
      <c r="FF84" s="110"/>
      <c r="FG84" s="110"/>
      <c r="FH84" s="110"/>
      <c r="FI84" s="110"/>
      <c r="FJ84" s="110"/>
      <c r="FK84" s="110"/>
      <c r="FL84" s="110"/>
      <c r="FM84" s="110"/>
      <c r="FN84" s="110"/>
      <c r="FO84" s="110"/>
      <c r="FP84" s="110"/>
      <c r="FQ84" s="110"/>
      <c r="FR84" s="110"/>
      <c r="FS84" s="110"/>
      <c r="FT84" s="110"/>
      <c r="FU84" s="110"/>
      <c r="FV84" s="110"/>
      <c r="FW84" s="110"/>
      <c r="FX84" s="110"/>
      <c r="FY84" s="110"/>
      <c r="FZ84" s="110"/>
      <c r="GA84" s="110"/>
      <c r="GB84" s="110"/>
      <c r="GC84" s="110"/>
      <c r="GD84" s="110"/>
      <c r="GE84" s="110"/>
      <c r="GF84" s="110"/>
      <c r="GG84" s="110"/>
      <c r="GH84" s="110"/>
      <c r="GI84" s="110"/>
      <c r="GJ84" s="110"/>
      <c r="GK84" s="110"/>
      <c r="GL84" s="110"/>
      <c r="GM84" s="110"/>
      <c r="GN84" s="110"/>
      <c r="GO84" s="110"/>
      <c r="GP84" s="110"/>
      <c r="GQ84" s="110"/>
      <c r="GR84" s="110"/>
      <c r="GS84" s="110"/>
      <c r="GT84" s="110"/>
      <c r="GU84" s="110"/>
      <c r="GV84" s="110"/>
      <c r="GW84" s="110"/>
      <c r="GX84" s="110"/>
      <c r="GY84" s="110"/>
      <c r="GZ84" s="110"/>
      <c r="HA84" s="110"/>
      <c r="HB84" s="110"/>
      <c r="HC84" s="110"/>
      <c r="HD84" s="110"/>
      <c r="HE84" s="110"/>
      <c r="HF84" s="110"/>
      <c r="HG84" s="110"/>
      <c r="HH84" s="110"/>
      <c r="HI84" s="110"/>
      <c r="HJ84" s="110"/>
      <c r="HK84" s="110"/>
      <c r="HL84" s="110"/>
      <c r="HM84" s="110"/>
      <c r="HN84" s="110"/>
      <c r="HO84" s="110"/>
      <c r="HP84" s="110"/>
      <c r="HQ84" s="110"/>
      <c r="HR84" s="110"/>
      <c r="HS84" s="110"/>
      <c r="HT84" s="110"/>
      <c r="HU84" s="110"/>
      <c r="HV84" s="110"/>
      <c r="HW84" s="110"/>
      <c r="HX84" s="110"/>
      <c r="HY84" s="110"/>
      <c r="HZ84" s="110"/>
      <c r="IA84" s="110"/>
      <c r="IB84" s="110"/>
      <c r="IC84" s="110"/>
      <c r="ID84" s="110"/>
      <c r="IE84" s="110"/>
      <c r="IF84" s="110"/>
      <c r="IG84" s="110"/>
      <c r="IH84" s="110"/>
      <c r="II84" s="110"/>
      <c r="IJ84" s="110"/>
      <c r="IK84" s="110"/>
      <c r="IL84" s="110"/>
      <c r="IM84" s="110"/>
      <c r="IN84" s="110"/>
      <c r="IO84" s="110"/>
      <c r="IP84" s="110"/>
      <c r="IQ84" s="110"/>
      <c r="IR84" s="110"/>
      <c r="IS84" s="110"/>
      <c r="IT84" s="110"/>
      <c r="IU84" s="110"/>
      <c r="IV84" s="110"/>
      <c r="IW84" s="110"/>
    </row>
    <row r="85" spans="1:257" x14ac:dyDescent="0.3">
      <c r="A85" s="156"/>
      <c r="B85" s="156"/>
      <c r="C85" s="156"/>
      <c r="D85" s="156"/>
      <c r="E85" s="156"/>
      <c r="F85" s="156"/>
      <c r="G85" s="156"/>
      <c r="H85" s="156"/>
      <c r="I85" s="174"/>
      <c r="J85" s="156"/>
      <c r="K85" s="156"/>
      <c r="L85" s="156"/>
      <c r="M85" s="156"/>
      <c r="N85" s="156"/>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s="110"/>
      <c r="CQ85" s="110"/>
      <c r="CR85" s="110"/>
      <c r="CS85" s="110"/>
      <c r="CT85" s="110"/>
      <c r="CU85" s="110"/>
      <c r="CV85" s="110"/>
      <c r="CW85" s="110"/>
      <c r="CX85" s="110"/>
      <c r="CY85" s="110"/>
      <c r="CZ85" s="110"/>
      <c r="DA85" s="110"/>
      <c r="DB85" s="110"/>
      <c r="DC85" s="110"/>
      <c r="DD85" s="110"/>
      <c r="DE85" s="110"/>
      <c r="DF85" s="110"/>
      <c r="DG85" s="110"/>
      <c r="DH85" s="110"/>
      <c r="DI85" s="110"/>
      <c r="DJ85" s="110"/>
      <c r="DK85" s="110"/>
      <c r="DL85" s="110"/>
      <c r="DM85" s="110"/>
      <c r="DN85" s="110"/>
      <c r="DO85" s="110"/>
      <c r="DP85" s="110"/>
      <c r="DQ85" s="110"/>
      <c r="DR85" s="110"/>
      <c r="DS85" s="110"/>
      <c r="DT85" s="110"/>
      <c r="DU85" s="110"/>
      <c r="DV85" s="110"/>
      <c r="DW85" s="110"/>
      <c r="DX85" s="110"/>
      <c r="DY85" s="110"/>
      <c r="DZ85" s="110"/>
      <c r="EA85" s="110"/>
      <c r="EB85" s="110"/>
      <c r="EC85" s="110"/>
      <c r="ED85" s="110"/>
      <c r="EE85" s="110"/>
      <c r="EF85" s="110"/>
      <c r="EG85" s="110"/>
      <c r="EH85" s="110"/>
      <c r="EI85" s="110"/>
      <c r="EJ85" s="110"/>
      <c r="EK85" s="110"/>
      <c r="EL85" s="110"/>
      <c r="EM85" s="110"/>
      <c r="EN85" s="110"/>
      <c r="EO85" s="110"/>
      <c r="EP85" s="110"/>
      <c r="EQ85" s="110"/>
      <c r="ER85" s="110"/>
      <c r="ES85" s="110"/>
      <c r="ET85" s="110"/>
      <c r="EU85" s="110"/>
      <c r="EV85" s="110"/>
      <c r="EW85" s="110"/>
      <c r="EX85" s="110"/>
      <c r="EY85" s="110"/>
      <c r="EZ85" s="110"/>
      <c r="FA85" s="110"/>
      <c r="FB85" s="110"/>
      <c r="FC85" s="110"/>
      <c r="FD85" s="110"/>
      <c r="FE85" s="110"/>
      <c r="FF85" s="110"/>
      <c r="FG85" s="110"/>
      <c r="FH85" s="110"/>
      <c r="FI85" s="110"/>
      <c r="FJ85" s="110"/>
      <c r="FK85" s="110"/>
      <c r="FL85" s="110"/>
      <c r="FM85" s="110"/>
      <c r="FN85" s="110"/>
      <c r="FO85" s="110"/>
      <c r="FP85" s="110"/>
      <c r="FQ85" s="110"/>
      <c r="FR85" s="110"/>
      <c r="FS85" s="110"/>
      <c r="FT85" s="110"/>
      <c r="FU85" s="110"/>
      <c r="FV85" s="110"/>
      <c r="FW85" s="110"/>
      <c r="FX85" s="110"/>
      <c r="FY85" s="110"/>
      <c r="FZ85" s="110"/>
      <c r="GA85" s="110"/>
      <c r="GB85" s="110"/>
      <c r="GC85" s="110"/>
      <c r="GD85" s="110"/>
      <c r="GE85" s="110"/>
      <c r="GF85" s="110"/>
      <c r="GG85" s="110"/>
      <c r="GH85" s="110"/>
      <c r="GI85" s="110"/>
      <c r="GJ85" s="110"/>
      <c r="GK85" s="110"/>
      <c r="GL85" s="110"/>
      <c r="GM85" s="110"/>
      <c r="GN85" s="110"/>
      <c r="GO85" s="110"/>
      <c r="GP85" s="110"/>
      <c r="GQ85" s="110"/>
      <c r="GR85" s="110"/>
      <c r="GS85" s="110"/>
      <c r="GT85" s="110"/>
      <c r="GU85" s="110"/>
      <c r="GV85" s="110"/>
      <c r="GW85" s="110"/>
      <c r="GX85" s="110"/>
      <c r="GY85" s="110"/>
      <c r="GZ85" s="110"/>
      <c r="HA85" s="110"/>
      <c r="HB85" s="110"/>
      <c r="HC85" s="110"/>
      <c r="HD85" s="110"/>
      <c r="HE85" s="110"/>
      <c r="HF85" s="110"/>
      <c r="HG85" s="110"/>
      <c r="HH85" s="110"/>
      <c r="HI85" s="110"/>
      <c r="HJ85" s="110"/>
      <c r="HK85" s="110"/>
      <c r="HL85" s="110"/>
      <c r="HM85" s="110"/>
      <c r="HN85" s="110"/>
      <c r="HO85" s="110"/>
      <c r="HP85" s="110"/>
      <c r="HQ85" s="110"/>
      <c r="HR85" s="110"/>
      <c r="HS85" s="110"/>
      <c r="HT85" s="110"/>
      <c r="HU85" s="110"/>
      <c r="HV85" s="110"/>
      <c r="HW85" s="110"/>
      <c r="HX85" s="110"/>
      <c r="HY85" s="110"/>
      <c r="HZ85" s="110"/>
      <c r="IA85" s="110"/>
      <c r="IB85" s="110"/>
      <c r="IC85" s="110"/>
      <c r="ID85" s="110"/>
      <c r="IE85" s="110"/>
      <c r="IF85" s="110"/>
      <c r="IG85" s="110"/>
      <c r="IH85" s="110"/>
      <c r="II85" s="110"/>
      <c r="IJ85" s="110"/>
      <c r="IK85" s="110"/>
      <c r="IL85" s="110"/>
      <c r="IM85" s="110"/>
      <c r="IN85" s="110"/>
      <c r="IO85" s="110"/>
      <c r="IP85" s="110"/>
      <c r="IQ85" s="110"/>
      <c r="IR85" s="110"/>
      <c r="IS85" s="110"/>
      <c r="IT85" s="110"/>
      <c r="IU85" s="110"/>
      <c r="IV85" s="110"/>
      <c r="IW85" s="110"/>
    </row>
    <row r="86" spans="1:257" x14ac:dyDescent="0.3">
      <c r="A86" s="156"/>
      <c r="B86" s="156"/>
      <c r="C86" s="156"/>
      <c r="D86" s="156"/>
      <c r="E86" s="156"/>
      <c r="F86" s="156"/>
      <c r="G86" s="156"/>
      <c r="H86" s="156"/>
      <c r="I86" s="174"/>
      <c r="J86" s="156"/>
      <c r="K86" s="156"/>
      <c r="L86" s="156"/>
      <c r="M86" s="156"/>
      <c r="N86" s="156"/>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s="110"/>
      <c r="CQ86" s="110"/>
      <c r="CR86" s="110"/>
      <c r="CS86" s="110"/>
      <c r="CT86" s="110"/>
      <c r="CU86" s="110"/>
      <c r="CV86" s="110"/>
      <c r="CW86" s="110"/>
      <c r="CX86" s="110"/>
      <c r="CY86" s="110"/>
      <c r="CZ86" s="110"/>
      <c r="DA86" s="110"/>
      <c r="DB86" s="110"/>
      <c r="DC86" s="110"/>
      <c r="DD86" s="110"/>
      <c r="DE86" s="110"/>
      <c r="DF86" s="110"/>
      <c r="DG86" s="110"/>
      <c r="DH86" s="110"/>
      <c r="DI86" s="110"/>
      <c r="DJ86" s="110"/>
      <c r="DK86" s="110"/>
      <c r="DL86" s="110"/>
      <c r="DM86" s="110"/>
      <c r="DN86" s="110"/>
      <c r="DO86" s="110"/>
      <c r="DP86" s="110"/>
      <c r="DQ86" s="110"/>
      <c r="DR86" s="110"/>
      <c r="DS86" s="110"/>
      <c r="DT86" s="110"/>
      <c r="DU86" s="110"/>
      <c r="DV86" s="110"/>
      <c r="DW86" s="110"/>
      <c r="DX86" s="110"/>
      <c r="DY86" s="110"/>
      <c r="DZ86" s="110"/>
      <c r="EA86" s="110"/>
      <c r="EB86" s="110"/>
      <c r="EC86" s="110"/>
      <c r="ED86" s="110"/>
      <c r="EE86" s="110"/>
      <c r="EF86" s="110"/>
      <c r="EG86" s="110"/>
      <c r="EH86" s="110"/>
      <c r="EI86" s="110"/>
      <c r="EJ86" s="110"/>
      <c r="EK86" s="110"/>
      <c r="EL86" s="110"/>
      <c r="EM86" s="110"/>
      <c r="EN86" s="110"/>
      <c r="EO86" s="110"/>
      <c r="EP86" s="110"/>
      <c r="EQ86" s="110"/>
      <c r="ER86" s="110"/>
      <c r="ES86" s="110"/>
      <c r="ET86" s="110"/>
      <c r="EU86" s="110"/>
      <c r="EV86" s="110"/>
      <c r="EW86" s="110"/>
      <c r="EX86" s="110"/>
      <c r="EY86" s="110"/>
      <c r="EZ86" s="110"/>
      <c r="FA86" s="110"/>
      <c r="FB86" s="110"/>
      <c r="FC86" s="110"/>
      <c r="FD86" s="110"/>
      <c r="FE86" s="110"/>
      <c r="FF86" s="110"/>
      <c r="FG86" s="110"/>
      <c r="FH86" s="110"/>
      <c r="FI86" s="110"/>
      <c r="FJ86" s="110"/>
      <c r="FK86" s="110"/>
      <c r="FL86" s="110"/>
      <c r="FM86" s="110"/>
      <c r="FN86" s="110"/>
      <c r="FO86" s="110"/>
      <c r="FP86" s="110"/>
      <c r="FQ86" s="110"/>
      <c r="FR86" s="110"/>
      <c r="FS86" s="110"/>
      <c r="FT86" s="110"/>
      <c r="FU86" s="110"/>
      <c r="FV86" s="110"/>
      <c r="FW86" s="110"/>
      <c r="FX86" s="110"/>
      <c r="FY86" s="110"/>
      <c r="FZ86" s="110"/>
      <c r="GA86" s="110"/>
      <c r="GB86" s="110"/>
      <c r="GC86" s="110"/>
      <c r="GD86" s="110"/>
      <c r="GE86" s="110"/>
      <c r="GF86" s="110"/>
      <c r="GG86" s="110"/>
      <c r="GH86" s="110"/>
      <c r="GI86" s="110"/>
      <c r="GJ86" s="110"/>
      <c r="GK86" s="110"/>
      <c r="GL86" s="110"/>
      <c r="GM86" s="110"/>
      <c r="GN86" s="110"/>
      <c r="GO86" s="110"/>
      <c r="GP86" s="110"/>
      <c r="GQ86" s="110"/>
      <c r="GR86" s="110"/>
      <c r="GS86" s="110"/>
      <c r="GT86" s="110"/>
      <c r="GU86" s="110"/>
      <c r="GV86" s="110"/>
      <c r="GW86" s="110"/>
      <c r="GX86" s="110"/>
      <c r="GY86" s="110"/>
      <c r="GZ86" s="110"/>
      <c r="HA86" s="110"/>
      <c r="HB86" s="110"/>
      <c r="HC86" s="110"/>
      <c r="HD86" s="110"/>
      <c r="HE86" s="110"/>
      <c r="HF86" s="110"/>
      <c r="HG86" s="110"/>
      <c r="HH86" s="110"/>
      <c r="HI86" s="110"/>
      <c r="HJ86" s="110"/>
      <c r="HK86" s="110"/>
      <c r="HL86" s="110"/>
      <c r="HM86" s="110"/>
      <c r="HN86" s="110"/>
      <c r="HO86" s="110"/>
      <c r="HP86" s="110"/>
      <c r="HQ86" s="110"/>
      <c r="HR86" s="110"/>
      <c r="HS86" s="110"/>
      <c r="HT86" s="110"/>
      <c r="HU86" s="110"/>
      <c r="HV86" s="110"/>
      <c r="HW86" s="110"/>
      <c r="HX86" s="110"/>
      <c r="HY86" s="110"/>
      <c r="HZ86" s="110"/>
      <c r="IA86" s="110"/>
      <c r="IB86" s="110"/>
      <c r="IC86" s="110"/>
      <c r="ID86" s="110"/>
      <c r="IE86" s="110"/>
      <c r="IF86" s="110"/>
      <c r="IG86" s="110"/>
      <c r="IH86" s="110"/>
      <c r="II86" s="110"/>
      <c r="IJ86" s="110"/>
      <c r="IK86" s="110"/>
      <c r="IL86" s="110"/>
      <c r="IM86" s="110"/>
      <c r="IN86" s="110"/>
      <c r="IO86" s="110"/>
      <c r="IP86" s="110"/>
      <c r="IQ86" s="110"/>
      <c r="IR86" s="110"/>
      <c r="IS86" s="110"/>
      <c r="IT86" s="110"/>
      <c r="IU86" s="110"/>
      <c r="IV86" s="110"/>
      <c r="IW86" s="110"/>
    </row>
    <row r="87" spans="1:257" x14ac:dyDescent="0.3">
      <c r="A87" s="156"/>
      <c r="B87" s="156"/>
      <c r="C87" s="156"/>
      <c r="D87" s="156"/>
      <c r="E87" s="156"/>
      <c r="F87" s="156"/>
      <c r="G87" s="156"/>
      <c r="H87" s="156"/>
      <c r="I87" s="174"/>
      <c r="J87" s="156"/>
      <c r="K87" s="156"/>
      <c r="L87" s="156"/>
      <c r="M87" s="156"/>
      <c r="N87" s="156"/>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10"/>
      <c r="CB87" s="110"/>
      <c r="CC87" s="110"/>
      <c r="CD87" s="110"/>
      <c r="CE87" s="110"/>
      <c r="CF87" s="110"/>
      <c r="CG87" s="110"/>
      <c r="CH87" s="110"/>
      <c r="CI87" s="110"/>
      <c r="CJ87" s="110"/>
      <c r="CK87" s="110"/>
      <c r="CL87" s="110"/>
      <c r="CM87" s="110"/>
      <c r="CN87" s="110"/>
      <c r="CO87" s="110"/>
      <c r="CP87" s="110"/>
      <c r="CQ87" s="110"/>
      <c r="CR87" s="110"/>
      <c r="CS87" s="110"/>
      <c r="CT87" s="110"/>
      <c r="CU87" s="110"/>
      <c r="CV87" s="110"/>
      <c r="CW87" s="110"/>
      <c r="CX87" s="110"/>
      <c r="CY87" s="110"/>
      <c r="CZ87" s="110"/>
      <c r="DA87" s="110"/>
      <c r="DB87" s="110"/>
      <c r="DC87" s="110"/>
      <c r="DD87" s="110"/>
      <c r="DE87" s="110"/>
      <c r="DF87" s="110"/>
      <c r="DG87" s="110"/>
      <c r="DH87" s="110"/>
      <c r="DI87" s="110"/>
      <c r="DJ87" s="110"/>
      <c r="DK87" s="110"/>
      <c r="DL87" s="110"/>
      <c r="DM87" s="110"/>
      <c r="DN87" s="110"/>
      <c r="DO87" s="110"/>
      <c r="DP87" s="110"/>
      <c r="DQ87" s="110"/>
      <c r="DR87" s="110"/>
      <c r="DS87" s="110"/>
      <c r="DT87" s="110"/>
      <c r="DU87" s="110"/>
      <c r="DV87" s="110"/>
      <c r="DW87" s="110"/>
      <c r="DX87" s="110"/>
      <c r="DY87" s="110"/>
      <c r="DZ87" s="110"/>
      <c r="EA87" s="110"/>
      <c r="EB87" s="110"/>
      <c r="EC87" s="110"/>
      <c r="ED87" s="110"/>
      <c r="EE87" s="110"/>
      <c r="EF87" s="110"/>
      <c r="EG87" s="110"/>
      <c r="EH87" s="110"/>
      <c r="EI87" s="110"/>
      <c r="EJ87" s="110"/>
      <c r="EK87" s="110"/>
      <c r="EL87" s="110"/>
      <c r="EM87" s="110"/>
      <c r="EN87" s="110"/>
      <c r="EO87" s="110"/>
      <c r="EP87" s="110"/>
      <c r="EQ87" s="110"/>
      <c r="ER87" s="110"/>
      <c r="ES87" s="110"/>
      <c r="ET87" s="110"/>
      <c r="EU87" s="110"/>
      <c r="EV87" s="110"/>
      <c r="EW87" s="110"/>
      <c r="EX87" s="110"/>
      <c r="EY87" s="110"/>
      <c r="EZ87" s="110"/>
      <c r="FA87" s="110"/>
      <c r="FB87" s="110"/>
      <c r="FC87" s="110"/>
      <c r="FD87" s="110"/>
      <c r="FE87" s="110"/>
      <c r="FF87" s="110"/>
      <c r="FG87" s="110"/>
      <c r="FH87" s="110"/>
      <c r="FI87" s="110"/>
      <c r="FJ87" s="110"/>
      <c r="FK87" s="110"/>
      <c r="FL87" s="110"/>
      <c r="FM87" s="110"/>
      <c r="FN87" s="110"/>
      <c r="FO87" s="110"/>
      <c r="FP87" s="110"/>
      <c r="FQ87" s="110"/>
      <c r="FR87" s="110"/>
      <c r="FS87" s="110"/>
      <c r="FT87" s="110"/>
      <c r="FU87" s="110"/>
      <c r="FV87" s="110"/>
      <c r="FW87" s="110"/>
      <c r="FX87" s="110"/>
      <c r="FY87" s="110"/>
      <c r="FZ87" s="110"/>
      <c r="GA87" s="110"/>
      <c r="GB87" s="110"/>
      <c r="GC87" s="110"/>
      <c r="GD87" s="110"/>
      <c r="GE87" s="110"/>
      <c r="GF87" s="110"/>
      <c r="GG87" s="110"/>
      <c r="GH87" s="110"/>
      <c r="GI87" s="110"/>
      <c r="GJ87" s="110"/>
      <c r="GK87" s="110"/>
      <c r="GL87" s="110"/>
      <c r="GM87" s="110"/>
      <c r="GN87" s="110"/>
      <c r="GO87" s="110"/>
      <c r="GP87" s="110"/>
      <c r="GQ87" s="110"/>
      <c r="GR87" s="110"/>
      <c r="GS87" s="110"/>
      <c r="GT87" s="110"/>
      <c r="GU87" s="110"/>
      <c r="GV87" s="110"/>
      <c r="GW87" s="110"/>
      <c r="GX87" s="110"/>
      <c r="GY87" s="110"/>
      <c r="GZ87" s="110"/>
      <c r="HA87" s="110"/>
      <c r="HB87" s="110"/>
      <c r="HC87" s="110"/>
      <c r="HD87" s="110"/>
      <c r="HE87" s="110"/>
      <c r="HF87" s="110"/>
      <c r="HG87" s="110"/>
      <c r="HH87" s="110"/>
      <c r="HI87" s="110"/>
      <c r="HJ87" s="110"/>
      <c r="HK87" s="110"/>
      <c r="HL87" s="110"/>
      <c r="HM87" s="110"/>
      <c r="HN87" s="110"/>
      <c r="HO87" s="110"/>
      <c r="HP87" s="110"/>
      <c r="HQ87" s="110"/>
      <c r="HR87" s="110"/>
      <c r="HS87" s="110"/>
      <c r="HT87" s="110"/>
      <c r="HU87" s="110"/>
      <c r="HV87" s="110"/>
      <c r="HW87" s="110"/>
      <c r="HX87" s="110"/>
      <c r="HY87" s="110"/>
      <c r="HZ87" s="110"/>
      <c r="IA87" s="110"/>
      <c r="IB87" s="110"/>
      <c r="IC87" s="110"/>
      <c r="ID87" s="110"/>
      <c r="IE87" s="110"/>
      <c r="IF87" s="110"/>
      <c r="IG87" s="110"/>
      <c r="IH87" s="110"/>
      <c r="II87" s="110"/>
      <c r="IJ87" s="110"/>
      <c r="IK87" s="110"/>
      <c r="IL87" s="110"/>
      <c r="IM87" s="110"/>
      <c r="IN87" s="110"/>
      <c r="IO87" s="110"/>
      <c r="IP87" s="110"/>
      <c r="IQ87" s="110"/>
      <c r="IR87" s="110"/>
      <c r="IS87" s="110"/>
      <c r="IT87" s="110"/>
      <c r="IU87" s="110"/>
      <c r="IV87" s="110"/>
      <c r="IW87" s="110"/>
    </row>
    <row r="88" spans="1:257" x14ac:dyDescent="0.3">
      <c r="A88" s="156"/>
      <c r="B88" s="156"/>
      <c r="C88" s="156"/>
      <c r="D88" s="156"/>
      <c r="E88" s="156"/>
      <c r="F88" s="156"/>
      <c r="G88" s="156"/>
      <c r="H88" s="156"/>
      <c r="I88" s="174"/>
      <c r="J88" s="156"/>
      <c r="K88" s="156"/>
      <c r="L88" s="156"/>
      <c r="M88" s="156"/>
      <c r="N88" s="156"/>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10"/>
      <c r="CB88" s="110"/>
      <c r="CC88" s="110"/>
      <c r="CD88" s="110"/>
      <c r="CE88" s="110"/>
      <c r="CF88" s="110"/>
      <c r="CG88" s="110"/>
      <c r="CH88" s="110"/>
      <c r="CI88" s="110"/>
      <c r="CJ88" s="110"/>
      <c r="CK88" s="110"/>
      <c r="CL88" s="110"/>
      <c r="CM88" s="110"/>
      <c r="CN88" s="110"/>
      <c r="CO88" s="110"/>
      <c r="CP88" s="110"/>
      <c r="CQ88" s="110"/>
      <c r="CR88" s="110"/>
      <c r="CS88" s="110"/>
      <c r="CT88" s="110"/>
      <c r="CU88" s="110"/>
      <c r="CV88" s="110"/>
      <c r="CW88" s="110"/>
      <c r="CX88" s="110"/>
      <c r="CY88" s="110"/>
      <c r="CZ88" s="110"/>
      <c r="DA88" s="110"/>
      <c r="DB88" s="110"/>
      <c r="DC88" s="110"/>
      <c r="DD88" s="110"/>
      <c r="DE88" s="110"/>
      <c r="DF88" s="110"/>
      <c r="DG88" s="110"/>
      <c r="DH88" s="110"/>
      <c r="DI88" s="110"/>
      <c r="DJ88" s="110"/>
      <c r="DK88" s="110"/>
      <c r="DL88" s="110"/>
      <c r="DM88" s="110"/>
      <c r="DN88" s="110"/>
      <c r="DO88" s="110"/>
      <c r="DP88" s="110"/>
      <c r="DQ88" s="110"/>
      <c r="DR88" s="110"/>
      <c r="DS88" s="110"/>
      <c r="DT88" s="110"/>
      <c r="DU88" s="110"/>
      <c r="DV88" s="110"/>
      <c r="DW88" s="110"/>
      <c r="DX88" s="110"/>
      <c r="DY88" s="110"/>
      <c r="DZ88" s="110"/>
      <c r="EA88" s="110"/>
      <c r="EB88" s="110"/>
      <c r="EC88" s="110"/>
      <c r="ED88" s="110"/>
      <c r="EE88" s="110"/>
      <c r="EF88" s="110"/>
      <c r="EG88" s="110"/>
      <c r="EH88" s="110"/>
      <c r="EI88" s="110"/>
      <c r="EJ88" s="110"/>
      <c r="EK88" s="110"/>
      <c r="EL88" s="110"/>
      <c r="EM88" s="110"/>
      <c r="EN88" s="110"/>
      <c r="EO88" s="110"/>
      <c r="EP88" s="110"/>
      <c r="EQ88" s="110"/>
      <c r="ER88" s="110"/>
      <c r="ES88" s="110"/>
      <c r="ET88" s="110"/>
      <c r="EU88" s="110"/>
      <c r="EV88" s="110"/>
      <c r="EW88" s="110"/>
      <c r="EX88" s="110"/>
      <c r="EY88" s="110"/>
      <c r="EZ88" s="110"/>
      <c r="FA88" s="110"/>
      <c r="FB88" s="110"/>
      <c r="FC88" s="110"/>
      <c r="FD88" s="110"/>
      <c r="FE88" s="110"/>
      <c r="FF88" s="110"/>
      <c r="FG88" s="110"/>
      <c r="FH88" s="110"/>
      <c r="FI88" s="110"/>
      <c r="FJ88" s="110"/>
      <c r="FK88" s="110"/>
      <c r="FL88" s="110"/>
      <c r="FM88" s="110"/>
      <c r="FN88" s="110"/>
      <c r="FO88" s="110"/>
      <c r="FP88" s="110"/>
      <c r="FQ88" s="110"/>
      <c r="FR88" s="110"/>
      <c r="FS88" s="110"/>
      <c r="FT88" s="110"/>
      <c r="FU88" s="110"/>
      <c r="FV88" s="110"/>
      <c r="FW88" s="110"/>
      <c r="FX88" s="110"/>
      <c r="FY88" s="110"/>
      <c r="FZ88" s="110"/>
      <c r="GA88" s="110"/>
      <c r="GB88" s="110"/>
      <c r="GC88" s="110"/>
      <c r="GD88" s="110"/>
      <c r="GE88" s="110"/>
      <c r="GF88" s="110"/>
      <c r="GG88" s="110"/>
      <c r="GH88" s="110"/>
      <c r="GI88" s="110"/>
      <c r="GJ88" s="110"/>
      <c r="GK88" s="110"/>
      <c r="GL88" s="110"/>
      <c r="GM88" s="110"/>
      <c r="GN88" s="110"/>
      <c r="GO88" s="110"/>
      <c r="GP88" s="110"/>
      <c r="GQ88" s="110"/>
      <c r="GR88" s="110"/>
      <c r="GS88" s="110"/>
      <c r="GT88" s="110"/>
      <c r="GU88" s="110"/>
      <c r="GV88" s="110"/>
      <c r="GW88" s="110"/>
      <c r="GX88" s="110"/>
      <c r="GY88" s="110"/>
      <c r="GZ88" s="110"/>
      <c r="HA88" s="110"/>
      <c r="HB88" s="110"/>
      <c r="HC88" s="110"/>
      <c r="HD88" s="110"/>
      <c r="HE88" s="110"/>
      <c r="HF88" s="110"/>
      <c r="HG88" s="110"/>
      <c r="HH88" s="110"/>
      <c r="HI88" s="110"/>
      <c r="HJ88" s="110"/>
      <c r="HK88" s="110"/>
      <c r="HL88" s="110"/>
      <c r="HM88" s="110"/>
      <c r="HN88" s="110"/>
      <c r="HO88" s="110"/>
      <c r="HP88" s="110"/>
      <c r="HQ88" s="110"/>
      <c r="HR88" s="110"/>
      <c r="HS88" s="110"/>
      <c r="HT88" s="110"/>
      <c r="HU88" s="110"/>
      <c r="HV88" s="110"/>
      <c r="HW88" s="110"/>
      <c r="HX88" s="110"/>
      <c r="HY88" s="110"/>
      <c r="HZ88" s="110"/>
      <c r="IA88" s="110"/>
      <c r="IB88" s="110"/>
      <c r="IC88" s="110"/>
      <c r="ID88" s="110"/>
      <c r="IE88" s="110"/>
      <c r="IF88" s="110"/>
      <c r="IG88" s="110"/>
      <c r="IH88" s="110"/>
      <c r="II88" s="110"/>
      <c r="IJ88" s="110"/>
      <c r="IK88" s="110"/>
      <c r="IL88" s="110"/>
      <c r="IM88" s="110"/>
      <c r="IN88" s="110"/>
      <c r="IO88" s="110"/>
      <c r="IP88" s="110"/>
      <c r="IQ88" s="110"/>
      <c r="IR88" s="110"/>
      <c r="IS88" s="110"/>
      <c r="IT88" s="110"/>
      <c r="IU88" s="110"/>
      <c r="IV88" s="110"/>
      <c r="IW88" s="110"/>
    </row>
    <row r="89" spans="1:257" x14ac:dyDescent="0.3">
      <c r="A89" s="156"/>
      <c r="B89" s="156"/>
      <c r="C89" s="156"/>
      <c r="D89" s="156"/>
      <c r="E89" s="156"/>
      <c r="F89" s="156"/>
      <c r="G89" s="156"/>
      <c r="H89" s="156"/>
      <c r="I89" s="174"/>
      <c r="J89" s="156"/>
      <c r="K89" s="156"/>
      <c r="L89" s="156"/>
      <c r="M89" s="156"/>
      <c r="N89" s="156"/>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10"/>
      <c r="CB89" s="110"/>
      <c r="CC89" s="110"/>
      <c r="CD89" s="110"/>
      <c r="CE89" s="110"/>
      <c r="CF89" s="110"/>
      <c r="CG89" s="110"/>
      <c r="CH89" s="110"/>
      <c r="CI89" s="110"/>
      <c r="CJ89" s="110"/>
      <c r="CK89" s="110"/>
      <c r="CL89" s="110"/>
      <c r="CM89" s="110"/>
      <c r="CN89" s="110"/>
      <c r="CO89" s="110"/>
      <c r="CP89" s="110"/>
      <c r="CQ89" s="110"/>
      <c r="CR89" s="110"/>
      <c r="CS89" s="110"/>
      <c r="CT89" s="110"/>
      <c r="CU89" s="110"/>
      <c r="CV89" s="110"/>
      <c r="CW89" s="110"/>
      <c r="CX89" s="110"/>
      <c r="CY89" s="110"/>
      <c r="CZ89" s="110"/>
      <c r="DA89" s="110"/>
      <c r="DB89" s="110"/>
      <c r="DC89" s="110"/>
      <c r="DD89" s="110"/>
      <c r="DE89" s="110"/>
      <c r="DF89" s="110"/>
      <c r="DG89" s="110"/>
      <c r="DH89" s="110"/>
      <c r="DI89" s="110"/>
      <c r="DJ89" s="110"/>
      <c r="DK89" s="110"/>
      <c r="DL89" s="110"/>
      <c r="DM89" s="110"/>
      <c r="DN89" s="110"/>
      <c r="DO89" s="110"/>
      <c r="DP89" s="110"/>
      <c r="DQ89" s="110"/>
      <c r="DR89" s="110"/>
      <c r="DS89" s="110"/>
      <c r="DT89" s="110"/>
      <c r="DU89" s="110"/>
      <c r="DV89" s="110"/>
      <c r="DW89" s="110"/>
      <c r="DX89" s="110"/>
      <c r="DY89" s="110"/>
      <c r="DZ89" s="110"/>
      <c r="EA89" s="110"/>
      <c r="EB89" s="110"/>
      <c r="EC89" s="110"/>
      <c r="ED89" s="110"/>
      <c r="EE89" s="110"/>
      <c r="EF89" s="110"/>
      <c r="EG89" s="110"/>
      <c r="EH89" s="110"/>
      <c r="EI89" s="110"/>
      <c r="EJ89" s="110"/>
      <c r="EK89" s="110"/>
      <c r="EL89" s="110"/>
      <c r="EM89" s="110"/>
      <c r="EN89" s="110"/>
      <c r="EO89" s="110"/>
      <c r="EP89" s="110"/>
      <c r="EQ89" s="110"/>
      <c r="ER89" s="110"/>
      <c r="ES89" s="110"/>
      <c r="ET89" s="110"/>
      <c r="EU89" s="110"/>
      <c r="EV89" s="110"/>
      <c r="EW89" s="110"/>
      <c r="EX89" s="110"/>
      <c r="EY89" s="110"/>
      <c r="EZ89" s="110"/>
      <c r="FA89" s="110"/>
      <c r="FB89" s="110"/>
      <c r="FC89" s="110"/>
      <c r="FD89" s="110"/>
      <c r="FE89" s="110"/>
      <c r="FF89" s="110"/>
      <c r="FG89" s="110"/>
      <c r="FH89" s="110"/>
      <c r="FI89" s="110"/>
      <c r="FJ89" s="110"/>
      <c r="FK89" s="110"/>
      <c r="FL89" s="110"/>
      <c r="FM89" s="110"/>
      <c r="FN89" s="110"/>
      <c r="FO89" s="110"/>
      <c r="FP89" s="110"/>
      <c r="FQ89" s="110"/>
      <c r="FR89" s="110"/>
      <c r="FS89" s="110"/>
      <c r="FT89" s="110"/>
      <c r="FU89" s="110"/>
      <c r="FV89" s="110"/>
      <c r="FW89" s="110"/>
      <c r="FX89" s="110"/>
      <c r="FY89" s="110"/>
      <c r="FZ89" s="110"/>
      <c r="GA89" s="110"/>
      <c r="GB89" s="110"/>
      <c r="GC89" s="110"/>
      <c r="GD89" s="110"/>
      <c r="GE89" s="110"/>
      <c r="GF89" s="110"/>
      <c r="GG89" s="110"/>
      <c r="GH89" s="110"/>
      <c r="GI89" s="110"/>
      <c r="GJ89" s="110"/>
      <c r="GK89" s="110"/>
      <c r="GL89" s="110"/>
      <c r="GM89" s="110"/>
      <c r="GN89" s="110"/>
      <c r="GO89" s="110"/>
      <c r="GP89" s="110"/>
      <c r="GQ89" s="110"/>
      <c r="GR89" s="110"/>
      <c r="GS89" s="110"/>
      <c r="GT89" s="110"/>
      <c r="GU89" s="110"/>
      <c r="GV89" s="110"/>
      <c r="GW89" s="110"/>
      <c r="GX89" s="110"/>
      <c r="GY89" s="110"/>
      <c r="GZ89" s="110"/>
      <c r="HA89" s="110"/>
      <c r="HB89" s="110"/>
      <c r="HC89" s="110"/>
      <c r="HD89" s="110"/>
      <c r="HE89" s="110"/>
      <c r="HF89" s="110"/>
      <c r="HG89" s="110"/>
      <c r="HH89" s="110"/>
      <c r="HI89" s="110"/>
      <c r="HJ89" s="110"/>
      <c r="HK89" s="110"/>
      <c r="HL89" s="110"/>
      <c r="HM89" s="110"/>
      <c r="HN89" s="110"/>
      <c r="HO89" s="110"/>
      <c r="HP89" s="110"/>
      <c r="HQ89" s="110"/>
      <c r="HR89" s="110"/>
      <c r="HS89" s="110"/>
      <c r="HT89" s="110"/>
      <c r="HU89" s="110"/>
      <c r="HV89" s="110"/>
      <c r="HW89" s="110"/>
      <c r="HX89" s="110"/>
      <c r="HY89" s="110"/>
      <c r="HZ89" s="110"/>
      <c r="IA89" s="110"/>
      <c r="IB89" s="110"/>
      <c r="IC89" s="110"/>
      <c r="ID89" s="110"/>
      <c r="IE89" s="110"/>
      <c r="IF89" s="110"/>
      <c r="IG89" s="110"/>
      <c r="IH89" s="110"/>
      <c r="II89" s="110"/>
      <c r="IJ89" s="110"/>
      <c r="IK89" s="110"/>
      <c r="IL89" s="110"/>
      <c r="IM89" s="110"/>
      <c r="IN89" s="110"/>
      <c r="IO89" s="110"/>
      <c r="IP89" s="110"/>
      <c r="IQ89" s="110"/>
      <c r="IR89" s="110"/>
      <c r="IS89" s="110"/>
      <c r="IT89" s="110"/>
      <c r="IU89" s="110"/>
      <c r="IV89" s="110"/>
      <c r="IW89" s="110"/>
    </row>
    <row r="90" spans="1:257" x14ac:dyDescent="0.3">
      <c r="A90" s="156"/>
      <c r="B90" s="156"/>
      <c r="C90" s="156"/>
      <c r="D90" s="156"/>
      <c r="E90" s="156"/>
      <c r="F90" s="156"/>
      <c r="G90" s="156"/>
      <c r="H90" s="156"/>
      <c r="I90" s="174"/>
      <c r="J90" s="156"/>
      <c r="K90" s="156"/>
      <c r="L90" s="156"/>
      <c r="M90" s="156"/>
      <c r="N90" s="156"/>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c r="BY90" s="110"/>
      <c r="BZ90" s="110"/>
      <c r="CA90" s="110"/>
      <c r="CB90" s="110"/>
      <c r="CC90" s="110"/>
      <c r="CD90" s="110"/>
      <c r="CE90" s="110"/>
      <c r="CF90" s="110"/>
      <c r="CG90" s="110"/>
      <c r="CH90" s="110"/>
      <c r="CI90" s="110"/>
      <c r="CJ90" s="110"/>
      <c r="CK90" s="110"/>
      <c r="CL90" s="110"/>
      <c r="CM90" s="110"/>
      <c r="CN90" s="110"/>
      <c r="CO90" s="110"/>
      <c r="CP90" s="110"/>
      <c r="CQ90" s="110"/>
      <c r="CR90" s="110"/>
      <c r="CS90" s="110"/>
      <c r="CT90" s="110"/>
      <c r="CU90" s="110"/>
      <c r="CV90" s="110"/>
      <c r="CW90" s="110"/>
      <c r="CX90" s="110"/>
      <c r="CY90" s="110"/>
      <c r="CZ90" s="110"/>
      <c r="DA90" s="110"/>
      <c r="DB90" s="110"/>
      <c r="DC90" s="110"/>
      <c r="DD90" s="110"/>
      <c r="DE90" s="110"/>
      <c r="DF90" s="110"/>
      <c r="DG90" s="110"/>
      <c r="DH90" s="110"/>
      <c r="DI90" s="110"/>
      <c r="DJ90" s="110"/>
      <c r="DK90" s="110"/>
      <c r="DL90" s="110"/>
      <c r="DM90" s="110"/>
      <c r="DN90" s="110"/>
      <c r="DO90" s="110"/>
      <c r="DP90" s="110"/>
      <c r="DQ90" s="110"/>
      <c r="DR90" s="110"/>
      <c r="DS90" s="110"/>
      <c r="DT90" s="110"/>
      <c r="DU90" s="110"/>
      <c r="DV90" s="110"/>
      <c r="DW90" s="110"/>
      <c r="DX90" s="110"/>
      <c r="DY90" s="110"/>
      <c r="DZ90" s="110"/>
      <c r="EA90" s="110"/>
      <c r="EB90" s="110"/>
      <c r="EC90" s="110"/>
      <c r="ED90" s="110"/>
      <c r="EE90" s="110"/>
      <c r="EF90" s="110"/>
      <c r="EG90" s="110"/>
      <c r="EH90" s="110"/>
      <c r="EI90" s="110"/>
      <c r="EJ90" s="110"/>
      <c r="EK90" s="110"/>
      <c r="EL90" s="110"/>
      <c r="EM90" s="110"/>
      <c r="EN90" s="110"/>
      <c r="EO90" s="110"/>
      <c r="EP90" s="110"/>
      <c r="EQ90" s="110"/>
      <c r="ER90" s="110"/>
      <c r="ES90" s="110"/>
      <c r="ET90" s="110"/>
      <c r="EU90" s="110"/>
      <c r="EV90" s="110"/>
      <c r="EW90" s="110"/>
      <c r="EX90" s="110"/>
      <c r="EY90" s="110"/>
      <c r="EZ90" s="110"/>
      <c r="FA90" s="110"/>
      <c r="FB90" s="110"/>
      <c r="FC90" s="110"/>
      <c r="FD90" s="110"/>
      <c r="FE90" s="110"/>
      <c r="FF90" s="110"/>
      <c r="FG90" s="110"/>
      <c r="FH90" s="110"/>
      <c r="FI90" s="110"/>
      <c r="FJ90" s="110"/>
      <c r="FK90" s="110"/>
      <c r="FL90" s="110"/>
      <c r="FM90" s="110"/>
      <c r="FN90" s="110"/>
      <c r="FO90" s="110"/>
      <c r="FP90" s="110"/>
      <c r="FQ90" s="110"/>
      <c r="FR90" s="110"/>
      <c r="FS90" s="110"/>
      <c r="FT90" s="110"/>
      <c r="FU90" s="110"/>
      <c r="FV90" s="110"/>
      <c r="FW90" s="110"/>
      <c r="FX90" s="110"/>
      <c r="FY90" s="110"/>
      <c r="FZ90" s="110"/>
      <c r="GA90" s="110"/>
      <c r="GB90" s="110"/>
      <c r="GC90" s="110"/>
      <c r="GD90" s="110"/>
      <c r="GE90" s="110"/>
      <c r="GF90" s="110"/>
      <c r="GG90" s="110"/>
      <c r="GH90" s="110"/>
      <c r="GI90" s="110"/>
      <c r="GJ90" s="110"/>
      <c r="GK90" s="110"/>
      <c r="GL90" s="110"/>
      <c r="GM90" s="110"/>
      <c r="GN90" s="110"/>
      <c r="GO90" s="110"/>
      <c r="GP90" s="110"/>
      <c r="GQ90" s="110"/>
      <c r="GR90" s="110"/>
      <c r="GS90" s="110"/>
      <c r="GT90" s="110"/>
      <c r="GU90" s="110"/>
      <c r="GV90" s="110"/>
      <c r="GW90" s="110"/>
      <c r="GX90" s="110"/>
      <c r="GY90" s="110"/>
      <c r="GZ90" s="110"/>
      <c r="HA90" s="110"/>
      <c r="HB90" s="110"/>
      <c r="HC90" s="110"/>
      <c r="HD90" s="110"/>
      <c r="HE90" s="110"/>
      <c r="HF90" s="110"/>
      <c r="HG90" s="110"/>
      <c r="HH90" s="110"/>
      <c r="HI90" s="110"/>
      <c r="HJ90" s="110"/>
      <c r="HK90" s="110"/>
      <c r="HL90" s="110"/>
      <c r="HM90" s="110"/>
      <c r="HN90" s="110"/>
      <c r="HO90" s="110"/>
      <c r="HP90" s="110"/>
      <c r="HQ90" s="110"/>
      <c r="HR90" s="110"/>
      <c r="HS90" s="110"/>
      <c r="HT90" s="110"/>
      <c r="HU90" s="110"/>
      <c r="HV90" s="110"/>
      <c r="HW90" s="110"/>
      <c r="HX90" s="110"/>
      <c r="HY90" s="110"/>
      <c r="HZ90" s="110"/>
      <c r="IA90" s="110"/>
      <c r="IB90" s="110"/>
      <c r="IC90" s="110"/>
      <c r="ID90" s="110"/>
      <c r="IE90" s="110"/>
      <c r="IF90" s="110"/>
      <c r="IG90" s="110"/>
      <c r="IH90" s="110"/>
      <c r="II90" s="110"/>
      <c r="IJ90" s="110"/>
      <c r="IK90" s="110"/>
      <c r="IL90" s="110"/>
      <c r="IM90" s="110"/>
      <c r="IN90" s="110"/>
      <c r="IO90" s="110"/>
      <c r="IP90" s="110"/>
      <c r="IQ90" s="110"/>
      <c r="IR90" s="110"/>
      <c r="IS90" s="110"/>
      <c r="IT90" s="110"/>
      <c r="IU90" s="110"/>
      <c r="IV90" s="110"/>
      <c r="IW90" s="110"/>
    </row>
    <row r="91" spans="1:257" x14ac:dyDescent="0.3">
      <c r="A91" s="156"/>
      <c r="B91" s="156"/>
      <c r="C91" s="156"/>
      <c r="D91" s="156"/>
      <c r="E91" s="156"/>
      <c r="F91" s="156"/>
      <c r="G91" s="156"/>
      <c r="H91" s="156"/>
      <c r="I91" s="174"/>
      <c r="J91" s="156"/>
      <c r="K91" s="156"/>
      <c r="L91" s="156"/>
      <c r="M91" s="156"/>
      <c r="N91" s="156"/>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c r="BY91" s="110"/>
      <c r="BZ91" s="110"/>
      <c r="CA91" s="110"/>
      <c r="CB91" s="110"/>
      <c r="CC91" s="110"/>
      <c r="CD91" s="110"/>
      <c r="CE91" s="110"/>
      <c r="CF91" s="110"/>
      <c r="CG91" s="110"/>
      <c r="CH91" s="110"/>
      <c r="CI91" s="110"/>
      <c r="CJ91" s="110"/>
      <c r="CK91" s="110"/>
      <c r="CL91" s="110"/>
      <c r="CM91" s="110"/>
      <c r="CN91" s="110"/>
      <c r="CO91" s="110"/>
      <c r="CP91" s="110"/>
      <c r="CQ91" s="110"/>
      <c r="CR91" s="110"/>
      <c r="CS91" s="110"/>
      <c r="CT91" s="110"/>
      <c r="CU91" s="110"/>
      <c r="CV91" s="110"/>
      <c r="CW91" s="110"/>
      <c r="CX91" s="110"/>
      <c r="CY91" s="110"/>
      <c r="CZ91" s="110"/>
      <c r="DA91" s="110"/>
      <c r="DB91" s="110"/>
      <c r="DC91" s="110"/>
      <c r="DD91" s="110"/>
      <c r="DE91" s="110"/>
      <c r="DF91" s="110"/>
      <c r="DG91" s="110"/>
      <c r="DH91" s="110"/>
      <c r="DI91" s="110"/>
      <c r="DJ91" s="110"/>
      <c r="DK91" s="110"/>
      <c r="DL91" s="110"/>
      <c r="DM91" s="110"/>
      <c r="DN91" s="110"/>
      <c r="DO91" s="110"/>
      <c r="DP91" s="110"/>
      <c r="DQ91" s="110"/>
      <c r="DR91" s="110"/>
      <c r="DS91" s="110"/>
      <c r="DT91" s="110"/>
      <c r="DU91" s="110"/>
      <c r="DV91" s="110"/>
      <c r="DW91" s="110"/>
      <c r="DX91" s="110"/>
      <c r="DY91" s="110"/>
      <c r="DZ91" s="110"/>
      <c r="EA91" s="110"/>
      <c r="EB91" s="110"/>
      <c r="EC91" s="110"/>
      <c r="ED91" s="110"/>
      <c r="EE91" s="110"/>
      <c r="EF91" s="110"/>
      <c r="EG91" s="110"/>
      <c r="EH91" s="110"/>
      <c r="EI91" s="110"/>
      <c r="EJ91" s="110"/>
      <c r="EK91" s="110"/>
      <c r="EL91" s="110"/>
      <c r="EM91" s="110"/>
      <c r="EN91" s="110"/>
      <c r="EO91" s="110"/>
      <c r="EP91" s="110"/>
      <c r="EQ91" s="110"/>
      <c r="ER91" s="110"/>
      <c r="ES91" s="110"/>
      <c r="ET91" s="110"/>
      <c r="EU91" s="110"/>
      <c r="EV91" s="110"/>
      <c r="EW91" s="110"/>
      <c r="EX91" s="110"/>
      <c r="EY91" s="110"/>
      <c r="EZ91" s="110"/>
      <c r="FA91" s="110"/>
      <c r="FB91" s="110"/>
      <c r="FC91" s="110"/>
      <c r="FD91" s="110"/>
      <c r="FE91" s="110"/>
      <c r="FF91" s="110"/>
      <c r="FG91" s="110"/>
      <c r="FH91" s="110"/>
      <c r="FI91" s="110"/>
      <c r="FJ91" s="110"/>
      <c r="FK91" s="110"/>
      <c r="FL91" s="110"/>
      <c r="FM91" s="110"/>
      <c r="FN91" s="110"/>
      <c r="FO91" s="110"/>
      <c r="FP91" s="110"/>
      <c r="FQ91" s="110"/>
      <c r="FR91" s="110"/>
      <c r="FS91" s="110"/>
      <c r="FT91" s="110"/>
      <c r="FU91" s="110"/>
      <c r="FV91" s="110"/>
      <c r="FW91" s="110"/>
      <c r="FX91" s="110"/>
      <c r="FY91" s="110"/>
      <c r="FZ91" s="110"/>
      <c r="GA91" s="110"/>
      <c r="GB91" s="110"/>
      <c r="GC91" s="110"/>
      <c r="GD91" s="110"/>
      <c r="GE91" s="110"/>
      <c r="GF91" s="110"/>
      <c r="GG91" s="110"/>
      <c r="GH91" s="110"/>
      <c r="GI91" s="110"/>
      <c r="GJ91" s="110"/>
      <c r="GK91" s="110"/>
      <c r="GL91" s="110"/>
      <c r="GM91" s="110"/>
      <c r="GN91" s="110"/>
      <c r="GO91" s="110"/>
      <c r="GP91" s="110"/>
      <c r="GQ91" s="110"/>
      <c r="GR91" s="110"/>
      <c r="GS91" s="110"/>
      <c r="GT91" s="110"/>
      <c r="GU91" s="110"/>
      <c r="GV91" s="110"/>
      <c r="GW91" s="110"/>
      <c r="GX91" s="110"/>
      <c r="GY91" s="110"/>
      <c r="GZ91" s="110"/>
      <c r="HA91" s="110"/>
      <c r="HB91" s="110"/>
      <c r="HC91" s="110"/>
      <c r="HD91" s="110"/>
      <c r="HE91" s="110"/>
      <c r="HF91" s="110"/>
      <c r="HG91" s="110"/>
      <c r="HH91" s="110"/>
      <c r="HI91" s="110"/>
      <c r="HJ91" s="110"/>
      <c r="HK91" s="110"/>
      <c r="HL91" s="110"/>
      <c r="HM91" s="110"/>
      <c r="HN91" s="110"/>
      <c r="HO91" s="110"/>
      <c r="HP91" s="110"/>
      <c r="HQ91" s="110"/>
      <c r="HR91" s="110"/>
      <c r="HS91" s="110"/>
      <c r="HT91" s="110"/>
      <c r="HU91" s="110"/>
      <c r="HV91" s="110"/>
      <c r="HW91" s="110"/>
      <c r="HX91" s="110"/>
      <c r="HY91" s="110"/>
      <c r="HZ91" s="110"/>
      <c r="IA91" s="110"/>
      <c r="IB91" s="110"/>
      <c r="IC91" s="110"/>
      <c r="ID91" s="110"/>
      <c r="IE91" s="110"/>
      <c r="IF91" s="110"/>
      <c r="IG91" s="110"/>
      <c r="IH91" s="110"/>
      <c r="II91" s="110"/>
      <c r="IJ91" s="110"/>
      <c r="IK91" s="110"/>
      <c r="IL91" s="110"/>
      <c r="IM91" s="110"/>
      <c r="IN91" s="110"/>
      <c r="IO91" s="110"/>
      <c r="IP91" s="110"/>
      <c r="IQ91" s="110"/>
      <c r="IR91" s="110"/>
      <c r="IS91" s="110"/>
      <c r="IT91" s="110"/>
      <c r="IU91" s="110"/>
      <c r="IV91" s="110"/>
      <c r="IW91" s="110"/>
    </row>
    <row r="92" spans="1:257" x14ac:dyDescent="0.3">
      <c r="A92" s="156"/>
      <c r="B92" s="156"/>
      <c r="C92" s="156"/>
      <c r="D92" s="156"/>
      <c r="E92" s="156"/>
      <c r="F92" s="156"/>
      <c r="G92" s="156"/>
      <c r="H92" s="156"/>
      <c r="I92" s="174"/>
      <c r="J92" s="156"/>
      <c r="K92" s="156"/>
      <c r="L92" s="156"/>
      <c r="M92" s="156"/>
      <c r="N92" s="156"/>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c r="BY92" s="110"/>
      <c r="BZ92" s="110"/>
      <c r="CA92" s="110"/>
      <c r="CB92" s="110"/>
      <c r="CC92" s="110"/>
      <c r="CD92" s="110"/>
      <c r="CE92" s="110"/>
      <c r="CF92" s="110"/>
      <c r="CG92" s="110"/>
      <c r="CH92" s="110"/>
      <c r="CI92" s="110"/>
      <c r="CJ92" s="110"/>
      <c r="CK92" s="110"/>
      <c r="CL92" s="110"/>
      <c r="CM92" s="110"/>
      <c r="CN92" s="110"/>
      <c r="CO92" s="110"/>
      <c r="CP92" s="110"/>
      <c r="CQ92" s="110"/>
      <c r="CR92" s="110"/>
      <c r="CS92" s="110"/>
      <c r="CT92" s="110"/>
      <c r="CU92" s="110"/>
      <c r="CV92" s="110"/>
      <c r="CW92" s="110"/>
      <c r="CX92" s="110"/>
      <c r="CY92" s="110"/>
      <c r="CZ92" s="110"/>
      <c r="DA92" s="110"/>
      <c r="DB92" s="110"/>
      <c r="DC92" s="110"/>
      <c r="DD92" s="110"/>
      <c r="DE92" s="110"/>
      <c r="DF92" s="110"/>
      <c r="DG92" s="110"/>
      <c r="DH92" s="110"/>
      <c r="DI92" s="110"/>
      <c r="DJ92" s="110"/>
      <c r="DK92" s="110"/>
      <c r="DL92" s="110"/>
      <c r="DM92" s="110"/>
      <c r="DN92" s="110"/>
      <c r="DO92" s="110"/>
      <c r="DP92" s="110"/>
      <c r="DQ92" s="110"/>
      <c r="DR92" s="110"/>
      <c r="DS92" s="110"/>
      <c r="DT92" s="110"/>
      <c r="DU92" s="110"/>
      <c r="DV92" s="110"/>
      <c r="DW92" s="110"/>
      <c r="DX92" s="110"/>
      <c r="DY92" s="110"/>
      <c r="DZ92" s="110"/>
      <c r="EA92" s="110"/>
      <c r="EB92" s="110"/>
      <c r="EC92" s="110"/>
      <c r="ED92" s="110"/>
      <c r="EE92" s="110"/>
      <c r="EF92" s="110"/>
      <c r="EG92" s="110"/>
      <c r="EH92" s="110"/>
      <c r="EI92" s="110"/>
      <c r="EJ92" s="110"/>
      <c r="EK92" s="110"/>
      <c r="EL92" s="110"/>
      <c r="EM92" s="110"/>
      <c r="EN92" s="110"/>
      <c r="EO92" s="110"/>
      <c r="EP92" s="110"/>
      <c r="EQ92" s="110"/>
      <c r="ER92" s="110"/>
      <c r="ES92" s="110"/>
      <c r="ET92" s="110"/>
      <c r="EU92" s="110"/>
      <c r="EV92" s="110"/>
      <c r="EW92" s="110"/>
      <c r="EX92" s="110"/>
      <c r="EY92" s="110"/>
      <c r="EZ92" s="110"/>
      <c r="FA92" s="110"/>
      <c r="FB92" s="110"/>
      <c r="FC92" s="110"/>
      <c r="FD92" s="110"/>
      <c r="FE92" s="110"/>
      <c r="FF92" s="110"/>
      <c r="FG92" s="110"/>
      <c r="FH92" s="110"/>
      <c r="FI92" s="110"/>
      <c r="FJ92" s="110"/>
      <c r="FK92" s="110"/>
      <c r="FL92" s="110"/>
      <c r="FM92" s="110"/>
      <c r="FN92" s="110"/>
      <c r="FO92" s="110"/>
      <c r="FP92" s="110"/>
      <c r="FQ92" s="110"/>
      <c r="FR92" s="110"/>
      <c r="FS92" s="110"/>
      <c r="FT92" s="110"/>
      <c r="FU92" s="110"/>
      <c r="FV92" s="110"/>
      <c r="FW92" s="110"/>
      <c r="FX92" s="110"/>
      <c r="FY92" s="110"/>
      <c r="FZ92" s="110"/>
      <c r="GA92" s="110"/>
      <c r="GB92" s="110"/>
      <c r="GC92" s="110"/>
      <c r="GD92" s="110"/>
      <c r="GE92" s="110"/>
      <c r="GF92" s="110"/>
      <c r="GG92" s="110"/>
      <c r="GH92" s="110"/>
      <c r="GI92" s="110"/>
      <c r="GJ92" s="110"/>
      <c r="GK92" s="110"/>
      <c r="GL92" s="110"/>
      <c r="GM92" s="110"/>
      <c r="GN92" s="110"/>
      <c r="GO92" s="110"/>
      <c r="GP92" s="110"/>
      <c r="GQ92" s="110"/>
      <c r="GR92" s="110"/>
      <c r="GS92" s="110"/>
      <c r="GT92" s="110"/>
      <c r="GU92" s="110"/>
      <c r="GV92" s="110"/>
      <c r="GW92" s="110"/>
      <c r="GX92" s="110"/>
      <c r="GY92" s="110"/>
      <c r="GZ92" s="110"/>
      <c r="HA92" s="110"/>
      <c r="HB92" s="110"/>
      <c r="HC92" s="110"/>
      <c r="HD92" s="110"/>
      <c r="HE92" s="110"/>
      <c r="HF92" s="110"/>
      <c r="HG92" s="110"/>
      <c r="HH92" s="110"/>
      <c r="HI92" s="110"/>
      <c r="HJ92" s="110"/>
      <c r="HK92" s="110"/>
      <c r="HL92" s="110"/>
      <c r="HM92" s="110"/>
      <c r="HN92" s="110"/>
      <c r="HO92" s="110"/>
      <c r="HP92" s="110"/>
      <c r="HQ92" s="110"/>
      <c r="HR92" s="110"/>
      <c r="HS92" s="110"/>
      <c r="HT92" s="110"/>
      <c r="HU92" s="110"/>
      <c r="HV92" s="110"/>
      <c r="HW92" s="110"/>
      <c r="HX92" s="110"/>
      <c r="HY92" s="110"/>
      <c r="HZ92" s="110"/>
      <c r="IA92" s="110"/>
      <c r="IB92" s="110"/>
      <c r="IC92" s="110"/>
      <c r="ID92" s="110"/>
      <c r="IE92" s="110"/>
      <c r="IF92" s="110"/>
      <c r="IG92" s="110"/>
      <c r="IH92" s="110"/>
      <c r="II92" s="110"/>
      <c r="IJ92" s="110"/>
      <c r="IK92" s="110"/>
      <c r="IL92" s="110"/>
      <c r="IM92" s="110"/>
      <c r="IN92" s="110"/>
      <c r="IO92" s="110"/>
      <c r="IP92" s="110"/>
      <c r="IQ92" s="110"/>
      <c r="IR92" s="110"/>
      <c r="IS92" s="110"/>
      <c r="IT92" s="110"/>
      <c r="IU92" s="110"/>
      <c r="IV92" s="110"/>
      <c r="IW92" s="110"/>
    </row>
    <row r="93" spans="1:257" x14ac:dyDescent="0.3">
      <c r="A93" s="156"/>
      <c r="B93" s="156"/>
      <c r="C93" s="156"/>
      <c r="D93" s="156"/>
      <c r="E93" s="156"/>
      <c r="F93" s="156"/>
      <c r="G93" s="156"/>
      <c r="H93" s="156"/>
      <c r="I93" s="174"/>
      <c r="J93" s="156"/>
      <c r="K93" s="156"/>
      <c r="L93" s="156"/>
      <c r="M93" s="156"/>
      <c r="N93" s="156"/>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c r="BY93" s="110"/>
      <c r="BZ93" s="110"/>
      <c r="CA93" s="110"/>
      <c r="CB93" s="110"/>
      <c r="CC93" s="110"/>
      <c r="CD93" s="110"/>
      <c r="CE93" s="110"/>
      <c r="CF93" s="110"/>
      <c r="CG93" s="110"/>
      <c r="CH93" s="110"/>
      <c r="CI93" s="110"/>
      <c r="CJ93" s="110"/>
      <c r="CK93" s="110"/>
      <c r="CL93" s="110"/>
      <c r="CM93" s="110"/>
      <c r="CN93" s="110"/>
      <c r="CO93" s="110"/>
      <c r="CP93" s="110"/>
      <c r="CQ93" s="110"/>
      <c r="CR93" s="110"/>
      <c r="CS93" s="110"/>
      <c r="CT93" s="110"/>
      <c r="CU93" s="110"/>
      <c r="CV93" s="110"/>
      <c r="CW93" s="110"/>
      <c r="CX93" s="110"/>
      <c r="CY93" s="110"/>
      <c r="CZ93" s="110"/>
      <c r="DA93" s="110"/>
      <c r="DB93" s="110"/>
      <c r="DC93" s="110"/>
      <c r="DD93" s="110"/>
      <c r="DE93" s="110"/>
      <c r="DF93" s="110"/>
      <c r="DG93" s="110"/>
      <c r="DH93" s="110"/>
      <c r="DI93" s="110"/>
      <c r="DJ93" s="110"/>
      <c r="DK93" s="110"/>
      <c r="DL93" s="110"/>
      <c r="DM93" s="110"/>
      <c r="DN93" s="110"/>
      <c r="DO93" s="110"/>
      <c r="DP93" s="110"/>
      <c r="DQ93" s="110"/>
      <c r="DR93" s="110"/>
      <c r="DS93" s="110"/>
      <c r="DT93" s="110"/>
      <c r="DU93" s="110"/>
      <c r="DV93" s="110"/>
      <c r="DW93" s="110"/>
      <c r="DX93" s="110"/>
      <c r="DY93" s="110"/>
      <c r="DZ93" s="110"/>
      <c r="EA93" s="110"/>
      <c r="EB93" s="110"/>
      <c r="EC93" s="110"/>
      <c r="ED93" s="110"/>
      <c r="EE93" s="110"/>
      <c r="EF93" s="110"/>
      <c r="EG93" s="110"/>
      <c r="EH93" s="110"/>
      <c r="EI93" s="110"/>
      <c r="EJ93" s="110"/>
      <c r="EK93" s="110"/>
      <c r="EL93" s="110"/>
      <c r="EM93" s="110"/>
      <c r="EN93" s="110"/>
      <c r="EO93" s="110"/>
      <c r="EP93" s="110"/>
      <c r="EQ93" s="110"/>
      <c r="ER93" s="110"/>
      <c r="ES93" s="110"/>
      <c r="ET93" s="110"/>
      <c r="EU93" s="110"/>
      <c r="EV93" s="110"/>
      <c r="EW93" s="110"/>
      <c r="EX93" s="110"/>
      <c r="EY93" s="110"/>
      <c r="EZ93" s="110"/>
      <c r="FA93" s="110"/>
      <c r="FB93" s="110"/>
      <c r="FC93" s="110"/>
      <c r="FD93" s="110"/>
      <c r="FE93" s="110"/>
      <c r="FF93" s="110"/>
      <c r="FG93" s="110"/>
      <c r="FH93" s="110"/>
      <c r="FI93" s="110"/>
      <c r="FJ93" s="110"/>
      <c r="FK93" s="110"/>
      <c r="FL93" s="110"/>
      <c r="FM93" s="110"/>
      <c r="FN93" s="110"/>
      <c r="FO93" s="110"/>
      <c r="FP93" s="110"/>
      <c r="FQ93" s="110"/>
      <c r="FR93" s="110"/>
      <c r="FS93" s="110"/>
      <c r="FT93" s="110"/>
      <c r="FU93" s="110"/>
      <c r="FV93" s="110"/>
      <c r="FW93" s="110"/>
      <c r="FX93" s="110"/>
      <c r="FY93" s="110"/>
      <c r="FZ93" s="110"/>
      <c r="GA93" s="110"/>
      <c r="GB93" s="110"/>
      <c r="GC93" s="110"/>
      <c r="GD93" s="110"/>
      <c r="GE93" s="110"/>
      <c r="GF93" s="110"/>
      <c r="GG93" s="110"/>
      <c r="GH93" s="110"/>
      <c r="GI93" s="110"/>
      <c r="GJ93" s="110"/>
      <c r="GK93" s="110"/>
      <c r="GL93" s="110"/>
      <c r="GM93" s="110"/>
      <c r="GN93" s="110"/>
      <c r="GO93" s="110"/>
      <c r="GP93" s="110"/>
      <c r="GQ93" s="110"/>
      <c r="GR93" s="110"/>
      <c r="GS93" s="110"/>
      <c r="GT93" s="110"/>
      <c r="GU93" s="110"/>
      <c r="GV93" s="110"/>
      <c r="GW93" s="110"/>
      <c r="GX93" s="110"/>
      <c r="GY93" s="110"/>
      <c r="GZ93" s="110"/>
      <c r="HA93" s="110"/>
      <c r="HB93" s="110"/>
      <c r="HC93" s="110"/>
      <c r="HD93" s="110"/>
      <c r="HE93" s="110"/>
      <c r="HF93" s="110"/>
      <c r="HG93" s="110"/>
      <c r="HH93" s="110"/>
      <c r="HI93" s="110"/>
      <c r="HJ93" s="110"/>
      <c r="HK93" s="110"/>
      <c r="HL93" s="110"/>
      <c r="HM93" s="110"/>
      <c r="HN93" s="110"/>
      <c r="HO93" s="110"/>
      <c r="HP93" s="110"/>
      <c r="HQ93" s="110"/>
      <c r="HR93" s="110"/>
      <c r="HS93" s="110"/>
      <c r="HT93" s="110"/>
      <c r="HU93" s="110"/>
      <c r="HV93" s="110"/>
      <c r="HW93" s="110"/>
      <c r="HX93" s="110"/>
      <c r="HY93" s="110"/>
      <c r="HZ93" s="110"/>
      <c r="IA93" s="110"/>
      <c r="IB93" s="110"/>
      <c r="IC93" s="110"/>
      <c r="ID93" s="110"/>
      <c r="IE93" s="110"/>
      <c r="IF93" s="110"/>
      <c r="IG93" s="110"/>
      <c r="IH93" s="110"/>
      <c r="II93" s="110"/>
      <c r="IJ93" s="110"/>
      <c r="IK93" s="110"/>
      <c r="IL93" s="110"/>
      <c r="IM93" s="110"/>
      <c r="IN93" s="110"/>
      <c r="IO93" s="110"/>
      <c r="IP93" s="110"/>
      <c r="IQ93" s="110"/>
      <c r="IR93" s="110"/>
      <c r="IS93" s="110"/>
      <c r="IT93" s="110"/>
      <c r="IU93" s="110"/>
      <c r="IV93" s="110"/>
      <c r="IW93" s="110"/>
    </row>
    <row r="94" spans="1:257" x14ac:dyDescent="0.3">
      <c r="A94" s="156"/>
      <c r="B94" s="156"/>
      <c r="C94" s="156"/>
      <c r="D94" s="156"/>
      <c r="E94" s="156"/>
      <c r="F94" s="156"/>
      <c r="G94" s="156"/>
      <c r="H94" s="156"/>
      <c r="I94" s="174"/>
      <c r="J94" s="156"/>
      <c r="K94" s="156"/>
      <c r="L94" s="156"/>
      <c r="M94" s="156"/>
      <c r="N94" s="156"/>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c r="BY94" s="110"/>
      <c r="BZ94" s="110"/>
      <c r="CA94" s="110"/>
      <c r="CB94" s="110"/>
      <c r="CC94" s="110"/>
      <c r="CD94" s="110"/>
      <c r="CE94" s="110"/>
      <c r="CF94" s="110"/>
      <c r="CG94" s="110"/>
      <c r="CH94" s="110"/>
      <c r="CI94" s="110"/>
      <c r="CJ94" s="110"/>
      <c r="CK94" s="110"/>
      <c r="CL94" s="110"/>
      <c r="CM94" s="110"/>
      <c r="CN94" s="110"/>
      <c r="CO94" s="110"/>
      <c r="CP94" s="110"/>
      <c r="CQ94" s="110"/>
      <c r="CR94" s="110"/>
      <c r="CS94" s="110"/>
      <c r="CT94" s="110"/>
      <c r="CU94" s="110"/>
      <c r="CV94" s="110"/>
      <c r="CW94" s="110"/>
      <c r="CX94" s="110"/>
      <c r="CY94" s="110"/>
      <c r="CZ94" s="110"/>
      <c r="DA94" s="110"/>
      <c r="DB94" s="110"/>
      <c r="DC94" s="110"/>
      <c r="DD94" s="110"/>
      <c r="DE94" s="110"/>
      <c r="DF94" s="110"/>
      <c r="DG94" s="110"/>
      <c r="DH94" s="110"/>
      <c r="DI94" s="110"/>
      <c r="DJ94" s="110"/>
      <c r="DK94" s="110"/>
      <c r="DL94" s="110"/>
      <c r="DM94" s="110"/>
      <c r="DN94" s="110"/>
      <c r="DO94" s="110"/>
      <c r="DP94" s="110"/>
      <c r="DQ94" s="110"/>
      <c r="DR94" s="110"/>
      <c r="DS94" s="110"/>
      <c r="DT94" s="110"/>
      <c r="DU94" s="110"/>
      <c r="DV94" s="110"/>
      <c r="DW94" s="110"/>
      <c r="DX94" s="110"/>
      <c r="DY94" s="110"/>
      <c r="DZ94" s="110"/>
      <c r="EA94" s="110"/>
      <c r="EB94" s="110"/>
      <c r="EC94" s="110"/>
      <c r="ED94" s="110"/>
      <c r="EE94" s="110"/>
      <c r="EF94" s="110"/>
      <c r="EG94" s="110"/>
      <c r="EH94" s="110"/>
      <c r="EI94" s="110"/>
      <c r="EJ94" s="110"/>
      <c r="EK94" s="110"/>
      <c r="EL94" s="110"/>
      <c r="EM94" s="110"/>
      <c r="EN94" s="110"/>
      <c r="EO94" s="110"/>
      <c r="EP94" s="110"/>
      <c r="EQ94" s="110"/>
      <c r="ER94" s="110"/>
      <c r="ES94" s="110"/>
      <c r="ET94" s="110"/>
      <c r="EU94" s="110"/>
      <c r="EV94" s="110"/>
      <c r="EW94" s="110"/>
      <c r="EX94" s="110"/>
      <c r="EY94" s="110"/>
      <c r="EZ94" s="110"/>
      <c r="FA94" s="110"/>
      <c r="FB94" s="110"/>
      <c r="FC94" s="110"/>
      <c r="FD94" s="110"/>
      <c r="FE94" s="110"/>
      <c r="FF94" s="110"/>
      <c r="FG94" s="110"/>
      <c r="FH94" s="110"/>
      <c r="FI94" s="110"/>
      <c r="FJ94" s="110"/>
      <c r="FK94" s="110"/>
      <c r="FL94" s="110"/>
      <c r="FM94" s="110"/>
      <c r="FN94" s="110"/>
      <c r="FO94" s="110"/>
      <c r="FP94" s="110"/>
      <c r="FQ94" s="110"/>
      <c r="FR94" s="110"/>
      <c r="FS94" s="110"/>
      <c r="FT94" s="110"/>
      <c r="FU94" s="110"/>
      <c r="FV94" s="110"/>
      <c r="FW94" s="110"/>
      <c r="FX94" s="110"/>
      <c r="FY94" s="110"/>
      <c r="FZ94" s="110"/>
      <c r="GA94" s="110"/>
      <c r="GB94" s="110"/>
      <c r="GC94" s="110"/>
      <c r="GD94" s="110"/>
      <c r="GE94" s="110"/>
      <c r="GF94" s="110"/>
      <c r="GG94" s="110"/>
      <c r="GH94" s="110"/>
      <c r="GI94" s="110"/>
      <c r="GJ94" s="110"/>
      <c r="GK94" s="110"/>
      <c r="GL94" s="110"/>
      <c r="GM94" s="110"/>
      <c r="GN94" s="110"/>
      <c r="GO94" s="110"/>
      <c r="GP94" s="110"/>
      <c r="GQ94" s="110"/>
      <c r="GR94" s="110"/>
      <c r="GS94" s="110"/>
      <c r="GT94" s="110"/>
      <c r="GU94" s="110"/>
      <c r="GV94" s="110"/>
      <c r="GW94" s="110"/>
      <c r="GX94" s="110"/>
      <c r="GY94" s="110"/>
      <c r="GZ94" s="110"/>
      <c r="HA94" s="110"/>
      <c r="HB94" s="110"/>
      <c r="HC94" s="110"/>
      <c r="HD94" s="110"/>
      <c r="HE94" s="110"/>
      <c r="HF94" s="110"/>
      <c r="HG94" s="110"/>
      <c r="HH94" s="110"/>
      <c r="HI94" s="110"/>
      <c r="HJ94" s="110"/>
      <c r="HK94" s="110"/>
      <c r="HL94" s="110"/>
      <c r="HM94" s="110"/>
      <c r="HN94" s="110"/>
      <c r="HO94" s="110"/>
      <c r="HP94" s="110"/>
      <c r="HQ94" s="110"/>
      <c r="HR94" s="110"/>
      <c r="HS94" s="110"/>
      <c r="HT94" s="110"/>
      <c r="HU94" s="110"/>
      <c r="HV94" s="110"/>
      <c r="HW94" s="110"/>
      <c r="HX94" s="110"/>
      <c r="HY94" s="110"/>
      <c r="HZ94" s="110"/>
      <c r="IA94" s="110"/>
      <c r="IB94" s="110"/>
      <c r="IC94" s="110"/>
      <c r="ID94" s="110"/>
      <c r="IE94" s="110"/>
      <c r="IF94" s="110"/>
      <c r="IG94" s="110"/>
      <c r="IH94" s="110"/>
      <c r="II94" s="110"/>
      <c r="IJ94" s="110"/>
      <c r="IK94" s="110"/>
      <c r="IL94" s="110"/>
      <c r="IM94" s="110"/>
      <c r="IN94" s="110"/>
      <c r="IO94" s="110"/>
      <c r="IP94" s="110"/>
      <c r="IQ94" s="110"/>
      <c r="IR94" s="110"/>
      <c r="IS94" s="110"/>
      <c r="IT94" s="110"/>
      <c r="IU94" s="110"/>
      <c r="IV94" s="110"/>
      <c r="IW94" s="110"/>
    </row>
    <row r="95" spans="1:257" x14ac:dyDescent="0.3">
      <c r="A95" s="156"/>
      <c r="B95" s="156"/>
      <c r="C95" s="156"/>
      <c r="D95" s="156"/>
      <c r="E95" s="156"/>
      <c r="F95" s="156"/>
      <c r="G95" s="156"/>
      <c r="H95" s="156"/>
      <c r="I95" s="174"/>
      <c r="J95" s="156"/>
      <c r="K95" s="156"/>
      <c r="L95" s="156"/>
      <c r="M95" s="156"/>
      <c r="N95" s="156"/>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c r="BY95" s="110"/>
      <c r="BZ95" s="110"/>
      <c r="CA95" s="110"/>
      <c r="CB95" s="110"/>
      <c r="CC95" s="110"/>
      <c r="CD95" s="110"/>
      <c r="CE95" s="110"/>
      <c r="CF95" s="110"/>
      <c r="CG95" s="110"/>
      <c r="CH95" s="110"/>
      <c r="CI95" s="110"/>
      <c r="CJ95" s="110"/>
      <c r="CK95" s="110"/>
      <c r="CL95" s="110"/>
      <c r="CM95" s="110"/>
      <c r="CN95" s="110"/>
      <c r="CO95" s="110"/>
      <c r="CP95" s="110"/>
      <c r="CQ95" s="110"/>
      <c r="CR95" s="110"/>
      <c r="CS95" s="110"/>
      <c r="CT95" s="110"/>
      <c r="CU95" s="110"/>
      <c r="CV95" s="110"/>
      <c r="CW95" s="110"/>
      <c r="CX95" s="110"/>
      <c r="CY95" s="110"/>
      <c r="CZ95" s="110"/>
      <c r="DA95" s="110"/>
      <c r="DB95" s="110"/>
      <c r="DC95" s="110"/>
      <c r="DD95" s="110"/>
      <c r="DE95" s="110"/>
      <c r="DF95" s="110"/>
      <c r="DG95" s="110"/>
      <c r="DH95" s="110"/>
      <c r="DI95" s="110"/>
      <c r="DJ95" s="110"/>
      <c r="DK95" s="110"/>
      <c r="DL95" s="110"/>
      <c r="DM95" s="110"/>
      <c r="DN95" s="110"/>
      <c r="DO95" s="110"/>
      <c r="DP95" s="110"/>
      <c r="DQ95" s="110"/>
      <c r="DR95" s="110"/>
      <c r="DS95" s="110"/>
      <c r="DT95" s="110"/>
      <c r="DU95" s="110"/>
      <c r="DV95" s="110"/>
      <c r="DW95" s="110"/>
      <c r="DX95" s="110"/>
      <c r="DY95" s="110"/>
      <c r="DZ95" s="110"/>
      <c r="EA95" s="110"/>
      <c r="EB95" s="110"/>
      <c r="EC95" s="110"/>
      <c r="ED95" s="110"/>
      <c r="EE95" s="110"/>
      <c r="EF95" s="110"/>
      <c r="EG95" s="110"/>
      <c r="EH95" s="110"/>
      <c r="EI95" s="110"/>
      <c r="EJ95" s="110"/>
      <c r="EK95" s="110"/>
      <c r="EL95" s="110"/>
      <c r="EM95" s="110"/>
      <c r="EN95" s="110"/>
      <c r="EO95" s="110"/>
      <c r="EP95" s="110"/>
      <c r="EQ95" s="110"/>
      <c r="ER95" s="110"/>
      <c r="ES95" s="110"/>
      <c r="ET95" s="110"/>
      <c r="EU95" s="110"/>
      <c r="EV95" s="110"/>
      <c r="EW95" s="110"/>
      <c r="EX95" s="110"/>
      <c r="EY95" s="110"/>
      <c r="EZ95" s="110"/>
      <c r="FA95" s="110"/>
      <c r="FB95" s="110"/>
      <c r="FC95" s="110"/>
      <c r="FD95" s="110"/>
      <c r="FE95" s="110"/>
      <c r="FF95" s="110"/>
      <c r="FG95" s="110"/>
      <c r="FH95" s="110"/>
      <c r="FI95" s="110"/>
      <c r="FJ95" s="110"/>
      <c r="FK95" s="110"/>
      <c r="FL95" s="110"/>
      <c r="FM95" s="110"/>
      <c r="FN95" s="110"/>
      <c r="FO95" s="110"/>
      <c r="FP95" s="110"/>
      <c r="FQ95" s="110"/>
      <c r="FR95" s="110"/>
      <c r="FS95" s="110"/>
      <c r="FT95" s="110"/>
      <c r="FU95" s="110"/>
      <c r="FV95" s="110"/>
      <c r="FW95" s="110"/>
      <c r="FX95" s="110"/>
      <c r="FY95" s="110"/>
      <c r="FZ95" s="110"/>
      <c r="GA95" s="110"/>
      <c r="GB95" s="110"/>
      <c r="GC95" s="110"/>
      <c r="GD95" s="110"/>
      <c r="GE95" s="110"/>
      <c r="GF95" s="110"/>
      <c r="GG95" s="110"/>
      <c r="GH95" s="110"/>
      <c r="GI95" s="110"/>
      <c r="GJ95" s="110"/>
      <c r="GK95" s="110"/>
      <c r="GL95" s="110"/>
      <c r="GM95" s="110"/>
      <c r="GN95" s="110"/>
      <c r="GO95" s="110"/>
      <c r="GP95" s="110"/>
      <c r="GQ95" s="110"/>
      <c r="GR95" s="110"/>
      <c r="GS95" s="110"/>
      <c r="GT95" s="110"/>
      <c r="GU95" s="110"/>
      <c r="GV95" s="110"/>
      <c r="GW95" s="110"/>
      <c r="GX95" s="110"/>
      <c r="GY95" s="110"/>
      <c r="GZ95" s="110"/>
      <c r="HA95" s="110"/>
      <c r="HB95" s="110"/>
      <c r="HC95" s="110"/>
      <c r="HD95" s="110"/>
      <c r="HE95" s="110"/>
      <c r="HF95" s="110"/>
      <c r="HG95" s="110"/>
      <c r="HH95" s="110"/>
      <c r="HI95" s="110"/>
      <c r="HJ95" s="110"/>
      <c r="HK95" s="110"/>
      <c r="HL95" s="110"/>
      <c r="HM95" s="110"/>
      <c r="HN95" s="110"/>
      <c r="HO95" s="110"/>
      <c r="HP95" s="110"/>
      <c r="HQ95" s="110"/>
      <c r="HR95" s="110"/>
      <c r="HS95" s="110"/>
      <c r="HT95" s="110"/>
      <c r="HU95" s="110"/>
      <c r="HV95" s="110"/>
      <c r="HW95" s="110"/>
      <c r="HX95" s="110"/>
      <c r="HY95" s="110"/>
      <c r="HZ95" s="110"/>
      <c r="IA95" s="110"/>
      <c r="IB95" s="110"/>
      <c r="IC95" s="110"/>
      <c r="ID95" s="110"/>
      <c r="IE95" s="110"/>
      <c r="IF95" s="110"/>
      <c r="IG95" s="110"/>
      <c r="IH95" s="110"/>
      <c r="II95" s="110"/>
      <c r="IJ95" s="110"/>
      <c r="IK95" s="110"/>
      <c r="IL95" s="110"/>
      <c r="IM95" s="110"/>
      <c r="IN95" s="110"/>
      <c r="IO95" s="110"/>
      <c r="IP95" s="110"/>
      <c r="IQ95" s="110"/>
      <c r="IR95" s="110"/>
      <c r="IS95" s="110"/>
      <c r="IT95" s="110"/>
      <c r="IU95" s="110"/>
      <c r="IV95" s="110"/>
      <c r="IW95" s="110"/>
    </row>
    <row r="96" spans="1:257" x14ac:dyDescent="0.3">
      <c r="A96" s="156"/>
      <c r="B96" s="156"/>
      <c r="C96" s="156"/>
      <c r="D96" s="156"/>
      <c r="E96" s="156"/>
      <c r="F96" s="156"/>
      <c r="G96" s="156"/>
      <c r="H96" s="156"/>
      <c r="I96" s="174"/>
      <c r="J96" s="156"/>
      <c r="K96" s="156"/>
      <c r="L96" s="156"/>
      <c r="M96" s="156"/>
      <c r="N96" s="156"/>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c r="BY96" s="110"/>
      <c r="BZ96" s="110"/>
      <c r="CA96" s="110"/>
      <c r="CB96" s="110"/>
      <c r="CC96" s="110"/>
      <c r="CD96" s="110"/>
      <c r="CE96" s="110"/>
      <c r="CF96" s="110"/>
      <c r="CG96" s="110"/>
      <c r="CH96" s="110"/>
      <c r="CI96" s="110"/>
      <c r="CJ96" s="110"/>
      <c r="CK96" s="110"/>
      <c r="CL96" s="110"/>
      <c r="CM96" s="110"/>
      <c r="CN96" s="110"/>
      <c r="CO96" s="110"/>
      <c r="CP96" s="110"/>
      <c r="CQ96" s="110"/>
      <c r="CR96" s="110"/>
      <c r="CS96" s="110"/>
      <c r="CT96" s="110"/>
      <c r="CU96" s="110"/>
      <c r="CV96" s="110"/>
      <c r="CW96" s="110"/>
      <c r="CX96" s="110"/>
      <c r="CY96" s="110"/>
      <c r="CZ96" s="110"/>
      <c r="DA96" s="110"/>
      <c r="DB96" s="110"/>
      <c r="DC96" s="110"/>
      <c r="DD96" s="110"/>
      <c r="DE96" s="110"/>
      <c r="DF96" s="110"/>
      <c r="DG96" s="110"/>
      <c r="DH96" s="110"/>
      <c r="DI96" s="110"/>
      <c r="DJ96" s="110"/>
      <c r="DK96" s="110"/>
      <c r="DL96" s="110"/>
      <c r="DM96" s="110"/>
      <c r="DN96" s="110"/>
      <c r="DO96" s="110"/>
      <c r="DP96" s="110"/>
      <c r="DQ96" s="110"/>
      <c r="DR96" s="110"/>
      <c r="DS96" s="110"/>
      <c r="DT96" s="110"/>
      <c r="DU96" s="110"/>
      <c r="DV96" s="110"/>
      <c r="DW96" s="110"/>
      <c r="DX96" s="110"/>
      <c r="DY96" s="110"/>
      <c r="DZ96" s="110"/>
      <c r="EA96" s="110"/>
      <c r="EB96" s="110"/>
      <c r="EC96" s="110"/>
      <c r="ED96" s="110"/>
      <c r="EE96" s="110"/>
      <c r="EF96" s="110"/>
      <c r="EG96" s="110"/>
      <c r="EH96" s="110"/>
      <c r="EI96" s="110"/>
      <c r="EJ96" s="110"/>
      <c r="EK96" s="110"/>
      <c r="EL96" s="110"/>
      <c r="EM96" s="110"/>
      <c r="EN96" s="110"/>
      <c r="EO96" s="110"/>
      <c r="EP96" s="110"/>
      <c r="EQ96" s="110"/>
      <c r="ER96" s="110"/>
      <c r="ES96" s="110"/>
      <c r="ET96" s="110"/>
      <c r="EU96" s="110"/>
      <c r="EV96" s="110"/>
      <c r="EW96" s="110"/>
      <c r="EX96" s="110"/>
      <c r="EY96" s="110"/>
      <c r="EZ96" s="110"/>
      <c r="FA96" s="110"/>
      <c r="FB96" s="110"/>
      <c r="FC96" s="110"/>
      <c r="FD96" s="110"/>
      <c r="FE96" s="110"/>
      <c r="FF96" s="110"/>
      <c r="FG96" s="110"/>
      <c r="FH96" s="110"/>
      <c r="FI96" s="110"/>
      <c r="FJ96" s="110"/>
      <c r="FK96" s="110"/>
      <c r="FL96" s="110"/>
      <c r="FM96" s="110"/>
      <c r="FN96" s="110"/>
      <c r="FO96" s="110"/>
      <c r="FP96" s="110"/>
      <c r="FQ96" s="110"/>
      <c r="FR96" s="110"/>
      <c r="FS96" s="110"/>
      <c r="FT96" s="110"/>
      <c r="FU96" s="110"/>
      <c r="FV96" s="110"/>
      <c r="FW96" s="110"/>
      <c r="FX96" s="110"/>
      <c r="FY96" s="110"/>
      <c r="FZ96" s="110"/>
      <c r="GA96" s="110"/>
      <c r="GB96" s="110"/>
      <c r="GC96" s="110"/>
      <c r="GD96" s="110"/>
      <c r="GE96" s="110"/>
      <c r="GF96" s="110"/>
      <c r="GG96" s="110"/>
      <c r="GH96" s="110"/>
      <c r="GI96" s="110"/>
      <c r="GJ96" s="110"/>
      <c r="GK96" s="110"/>
      <c r="GL96" s="110"/>
      <c r="GM96" s="110"/>
      <c r="GN96" s="110"/>
      <c r="GO96" s="110"/>
      <c r="GP96" s="110"/>
      <c r="GQ96" s="110"/>
      <c r="GR96" s="110"/>
      <c r="GS96" s="110"/>
      <c r="GT96" s="110"/>
      <c r="GU96" s="110"/>
      <c r="GV96" s="110"/>
      <c r="GW96" s="110"/>
      <c r="GX96" s="110"/>
      <c r="GY96" s="110"/>
      <c r="GZ96" s="110"/>
      <c r="HA96" s="110"/>
      <c r="HB96" s="110"/>
      <c r="HC96" s="110"/>
      <c r="HD96" s="110"/>
      <c r="HE96" s="110"/>
      <c r="HF96" s="110"/>
      <c r="HG96" s="110"/>
      <c r="HH96" s="110"/>
      <c r="HI96" s="110"/>
      <c r="HJ96" s="110"/>
      <c r="HK96" s="110"/>
      <c r="HL96" s="110"/>
      <c r="HM96" s="110"/>
      <c r="HN96" s="110"/>
      <c r="HO96" s="110"/>
      <c r="HP96" s="110"/>
      <c r="HQ96" s="110"/>
      <c r="HR96" s="110"/>
      <c r="HS96" s="110"/>
      <c r="HT96" s="110"/>
      <c r="HU96" s="110"/>
      <c r="HV96" s="110"/>
      <c r="HW96" s="110"/>
      <c r="HX96" s="110"/>
      <c r="HY96" s="110"/>
      <c r="HZ96" s="110"/>
      <c r="IA96" s="110"/>
      <c r="IB96" s="110"/>
      <c r="IC96" s="110"/>
      <c r="ID96" s="110"/>
      <c r="IE96" s="110"/>
      <c r="IF96" s="110"/>
      <c r="IG96" s="110"/>
      <c r="IH96" s="110"/>
      <c r="II96" s="110"/>
      <c r="IJ96" s="110"/>
      <c r="IK96" s="110"/>
      <c r="IL96" s="110"/>
      <c r="IM96" s="110"/>
      <c r="IN96" s="110"/>
      <c r="IO96" s="110"/>
      <c r="IP96" s="110"/>
      <c r="IQ96" s="110"/>
      <c r="IR96" s="110"/>
      <c r="IS96" s="110"/>
      <c r="IT96" s="110"/>
      <c r="IU96" s="110"/>
      <c r="IV96" s="110"/>
      <c r="IW96" s="110"/>
    </row>
    <row r="97" spans="1:257" x14ac:dyDescent="0.3">
      <c r="A97" s="156"/>
      <c r="B97" s="156"/>
      <c r="C97" s="156"/>
      <c r="D97" s="156"/>
      <c r="E97" s="156"/>
      <c r="F97" s="156"/>
      <c r="G97" s="156"/>
      <c r="H97" s="156"/>
      <c r="I97" s="174"/>
      <c r="J97" s="156"/>
      <c r="K97" s="156"/>
      <c r="L97" s="156"/>
      <c r="M97" s="156"/>
      <c r="N97" s="156"/>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10"/>
      <c r="CB97" s="110"/>
      <c r="CC97" s="110"/>
      <c r="CD97" s="110"/>
      <c r="CE97" s="110"/>
      <c r="CF97" s="110"/>
      <c r="CG97" s="110"/>
      <c r="CH97" s="110"/>
      <c r="CI97" s="110"/>
      <c r="CJ97" s="110"/>
      <c r="CK97" s="110"/>
      <c r="CL97" s="110"/>
      <c r="CM97" s="110"/>
      <c r="CN97" s="110"/>
      <c r="CO97" s="110"/>
      <c r="CP97" s="110"/>
      <c r="CQ97" s="110"/>
      <c r="CR97" s="110"/>
      <c r="CS97" s="110"/>
      <c r="CT97" s="110"/>
      <c r="CU97" s="110"/>
      <c r="CV97" s="110"/>
      <c r="CW97" s="110"/>
      <c r="CX97" s="110"/>
      <c r="CY97" s="110"/>
      <c r="CZ97" s="110"/>
      <c r="DA97" s="110"/>
      <c r="DB97" s="110"/>
      <c r="DC97" s="110"/>
      <c r="DD97" s="110"/>
      <c r="DE97" s="110"/>
      <c r="DF97" s="110"/>
      <c r="DG97" s="110"/>
      <c r="DH97" s="110"/>
      <c r="DI97" s="110"/>
      <c r="DJ97" s="110"/>
      <c r="DK97" s="110"/>
      <c r="DL97" s="110"/>
      <c r="DM97" s="110"/>
      <c r="DN97" s="110"/>
      <c r="DO97" s="110"/>
      <c r="DP97" s="110"/>
      <c r="DQ97" s="110"/>
      <c r="DR97" s="110"/>
      <c r="DS97" s="110"/>
      <c r="DT97" s="110"/>
      <c r="DU97" s="110"/>
      <c r="DV97" s="110"/>
      <c r="DW97" s="110"/>
      <c r="DX97" s="110"/>
      <c r="DY97" s="110"/>
      <c r="DZ97" s="110"/>
      <c r="EA97" s="110"/>
      <c r="EB97" s="110"/>
      <c r="EC97" s="110"/>
      <c r="ED97" s="110"/>
      <c r="EE97" s="110"/>
      <c r="EF97" s="110"/>
      <c r="EG97" s="110"/>
      <c r="EH97" s="110"/>
      <c r="EI97" s="110"/>
      <c r="EJ97" s="110"/>
      <c r="EK97" s="110"/>
      <c r="EL97" s="110"/>
      <c r="EM97" s="110"/>
      <c r="EN97" s="110"/>
      <c r="EO97" s="110"/>
      <c r="EP97" s="110"/>
      <c r="EQ97" s="110"/>
      <c r="ER97" s="110"/>
      <c r="ES97" s="110"/>
      <c r="ET97" s="110"/>
      <c r="EU97" s="110"/>
      <c r="EV97" s="110"/>
      <c r="EW97" s="110"/>
      <c r="EX97" s="110"/>
      <c r="EY97" s="110"/>
      <c r="EZ97" s="110"/>
      <c r="FA97" s="110"/>
      <c r="FB97" s="110"/>
      <c r="FC97" s="110"/>
      <c r="FD97" s="110"/>
      <c r="FE97" s="110"/>
      <c r="FF97" s="110"/>
      <c r="FG97" s="110"/>
      <c r="FH97" s="110"/>
      <c r="FI97" s="110"/>
      <c r="FJ97" s="110"/>
      <c r="FK97" s="110"/>
      <c r="FL97" s="110"/>
      <c r="FM97" s="110"/>
      <c r="FN97" s="110"/>
      <c r="FO97" s="110"/>
      <c r="FP97" s="110"/>
      <c r="FQ97" s="110"/>
      <c r="FR97" s="110"/>
      <c r="FS97" s="110"/>
      <c r="FT97" s="110"/>
      <c r="FU97" s="110"/>
      <c r="FV97" s="110"/>
      <c r="FW97" s="110"/>
      <c r="FX97" s="110"/>
      <c r="FY97" s="110"/>
      <c r="FZ97" s="110"/>
      <c r="GA97" s="110"/>
      <c r="GB97" s="110"/>
      <c r="GC97" s="110"/>
      <c r="GD97" s="110"/>
      <c r="GE97" s="110"/>
      <c r="GF97" s="110"/>
      <c r="GG97" s="110"/>
      <c r="GH97" s="110"/>
      <c r="GI97" s="110"/>
      <c r="GJ97" s="110"/>
      <c r="GK97" s="110"/>
      <c r="GL97" s="110"/>
      <c r="GM97" s="110"/>
      <c r="GN97" s="110"/>
      <c r="GO97" s="110"/>
      <c r="GP97" s="110"/>
      <c r="GQ97" s="110"/>
      <c r="GR97" s="110"/>
      <c r="GS97" s="110"/>
      <c r="GT97" s="110"/>
      <c r="GU97" s="110"/>
      <c r="GV97" s="110"/>
      <c r="GW97" s="110"/>
      <c r="GX97" s="110"/>
      <c r="GY97" s="110"/>
      <c r="GZ97" s="110"/>
      <c r="HA97" s="110"/>
      <c r="HB97" s="110"/>
      <c r="HC97" s="110"/>
      <c r="HD97" s="110"/>
      <c r="HE97" s="110"/>
      <c r="HF97" s="110"/>
      <c r="HG97" s="110"/>
      <c r="HH97" s="110"/>
      <c r="HI97" s="110"/>
      <c r="HJ97" s="110"/>
      <c r="HK97" s="110"/>
      <c r="HL97" s="110"/>
      <c r="HM97" s="110"/>
      <c r="HN97" s="110"/>
      <c r="HO97" s="110"/>
      <c r="HP97" s="110"/>
      <c r="HQ97" s="110"/>
      <c r="HR97" s="110"/>
      <c r="HS97" s="110"/>
      <c r="HT97" s="110"/>
      <c r="HU97" s="110"/>
      <c r="HV97" s="110"/>
      <c r="HW97" s="110"/>
      <c r="HX97" s="110"/>
      <c r="HY97" s="110"/>
      <c r="HZ97" s="110"/>
      <c r="IA97" s="110"/>
      <c r="IB97" s="110"/>
      <c r="IC97" s="110"/>
      <c r="ID97" s="110"/>
      <c r="IE97" s="110"/>
      <c r="IF97" s="110"/>
      <c r="IG97" s="110"/>
      <c r="IH97" s="110"/>
      <c r="II97" s="110"/>
      <c r="IJ97" s="110"/>
      <c r="IK97" s="110"/>
      <c r="IL97" s="110"/>
      <c r="IM97" s="110"/>
      <c r="IN97" s="110"/>
      <c r="IO97" s="110"/>
      <c r="IP97" s="110"/>
      <c r="IQ97" s="110"/>
      <c r="IR97" s="110"/>
      <c r="IS97" s="110"/>
      <c r="IT97" s="110"/>
      <c r="IU97" s="110"/>
      <c r="IV97" s="110"/>
      <c r="IW97" s="110"/>
    </row>
    <row r="98" spans="1:257" x14ac:dyDescent="0.3">
      <c r="A98" s="156"/>
      <c r="B98" s="156"/>
      <c r="C98" s="156"/>
      <c r="D98" s="156"/>
      <c r="E98" s="156"/>
      <c r="F98" s="156"/>
      <c r="G98" s="156"/>
      <c r="H98" s="156"/>
      <c r="I98" s="174"/>
      <c r="J98" s="156"/>
      <c r="K98" s="156"/>
      <c r="L98" s="156"/>
      <c r="M98" s="156"/>
      <c r="N98" s="156"/>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10"/>
      <c r="CB98" s="110"/>
      <c r="CC98" s="110"/>
      <c r="CD98" s="110"/>
      <c r="CE98" s="110"/>
      <c r="CF98" s="110"/>
      <c r="CG98" s="110"/>
      <c r="CH98" s="110"/>
      <c r="CI98" s="110"/>
      <c r="CJ98" s="110"/>
      <c r="CK98" s="110"/>
      <c r="CL98" s="110"/>
      <c r="CM98" s="110"/>
      <c r="CN98" s="110"/>
      <c r="CO98" s="110"/>
      <c r="CP98" s="110"/>
      <c r="CQ98" s="110"/>
      <c r="CR98" s="110"/>
      <c r="CS98" s="110"/>
      <c r="CT98" s="110"/>
      <c r="CU98" s="110"/>
      <c r="CV98" s="110"/>
      <c r="CW98" s="110"/>
      <c r="CX98" s="110"/>
      <c r="CY98" s="110"/>
      <c r="CZ98" s="110"/>
      <c r="DA98" s="110"/>
      <c r="DB98" s="110"/>
      <c r="DC98" s="110"/>
      <c r="DD98" s="110"/>
      <c r="DE98" s="110"/>
      <c r="DF98" s="110"/>
      <c r="DG98" s="110"/>
      <c r="DH98" s="110"/>
      <c r="DI98" s="110"/>
      <c r="DJ98" s="110"/>
      <c r="DK98" s="110"/>
      <c r="DL98" s="110"/>
      <c r="DM98" s="110"/>
      <c r="DN98" s="110"/>
      <c r="DO98" s="110"/>
      <c r="DP98" s="110"/>
      <c r="DQ98" s="110"/>
      <c r="DR98" s="110"/>
      <c r="DS98" s="110"/>
      <c r="DT98" s="110"/>
      <c r="DU98" s="110"/>
      <c r="DV98" s="110"/>
      <c r="DW98" s="110"/>
      <c r="DX98" s="110"/>
      <c r="DY98" s="110"/>
      <c r="DZ98" s="110"/>
      <c r="EA98" s="110"/>
      <c r="EB98" s="110"/>
      <c r="EC98" s="110"/>
      <c r="ED98" s="110"/>
      <c r="EE98" s="110"/>
      <c r="EF98" s="110"/>
      <c r="EG98" s="110"/>
      <c r="EH98" s="110"/>
      <c r="EI98" s="110"/>
      <c r="EJ98" s="110"/>
      <c r="EK98" s="110"/>
      <c r="EL98" s="110"/>
      <c r="EM98" s="110"/>
      <c r="EN98" s="110"/>
      <c r="EO98" s="110"/>
      <c r="EP98" s="110"/>
      <c r="EQ98" s="110"/>
      <c r="ER98" s="110"/>
      <c r="ES98" s="110"/>
      <c r="ET98" s="110"/>
      <c r="EU98" s="110"/>
      <c r="EV98" s="110"/>
      <c r="EW98" s="110"/>
      <c r="EX98" s="110"/>
      <c r="EY98" s="110"/>
      <c r="EZ98" s="110"/>
      <c r="FA98" s="110"/>
      <c r="FB98" s="110"/>
      <c r="FC98" s="110"/>
      <c r="FD98" s="110"/>
      <c r="FE98" s="110"/>
      <c r="FF98" s="110"/>
      <c r="FG98" s="110"/>
      <c r="FH98" s="110"/>
      <c r="FI98" s="110"/>
      <c r="FJ98" s="110"/>
      <c r="FK98" s="110"/>
      <c r="FL98" s="110"/>
      <c r="FM98" s="110"/>
      <c r="FN98" s="110"/>
      <c r="FO98" s="110"/>
      <c r="FP98" s="110"/>
      <c r="FQ98" s="110"/>
      <c r="FR98" s="110"/>
      <c r="FS98" s="110"/>
      <c r="FT98" s="110"/>
      <c r="FU98" s="110"/>
      <c r="FV98" s="110"/>
      <c r="FW98" s="110"/>
      <c r="FX98" s="110"/>
      <c r="FY98" s="110"/>
      <c r="FZ98" s="110"/>
      <c r="GA98" s="110"/>
      <c r="GB98" s="110"/>
      <c r="GC98" s="110"/>
      <c r="GD98" s="110"/>
      <c r="GE98" s="110"/>
      <c r="GF98" s="110"/>
      <c r="GG98" s="110"/>
      <c r="GH98" s="110"/>
      <c r="GI98" s="110"/>
      <c r="GJ98" s="110"/>
      <c r="GK98" s="110"/>
      <c r="GL98" s="110"/>
      <c r="GM98" s="110"/>
      <c r="GN98" s="110"/>
      <c r="GO98" s="110"/>
      <c r="GP98" s="110"/>
      <c r="GQ98" s="110"/>
      <c r="GR98" s="110"/>
      <c r="GS98" s="110"/>
      <c r="GT98" s="110"/>
      <c r="GU98" s="110"/>
      <c r="GV98" s="110"/>
      <c r="GW98" s="110"/>
      <c r="GX98" s="110"/>
      <c r="GY98" s="110"/>
      <c r="GZ98" s="110"/>
      <c r="HA98" s="110"/>
      <c r="HB98" s="110"/>
      <c r="HC98" s="110"/>
      <c r="HD98" s="110"/>
      <c r="HE98" s="110"/>
      <c r="HF98" s="110"/>
      <c r="HG98" s="110"/>
      <c r="HH98" s="110"/>
      <c r="HI98" s="110"/>
      <c r="HJ98" s="110"/>
      <c r="HK98" s="110"/>
      <c r="HL98" s="110"/>
      <c r="HM98" s="110"/>
      <c r="HN98" s="110"/>
      <c r="HO98" s="110"/>
      <c r="HP98" s="110"/>
      <c r="HQ98" s="110"/>
      <c r="HR98" s="110"/>
      <c r="HS98" s="110"/>
      <c r="HT98" s="110"/>
      <c r="HU98" s="110"/>
      <c r="HV98" s="110"/>
      <c r="HW98" s="110"/>
      <c r="HX98" s="110"/>
      <c r="HY98" s="110"/>
      <c r="HZ98" s="110"/>
      <c r="IA98" s="110"/>
      <c r="IB98" s="110"/>
      <c r="IC98" s="110"/>
      <c r="ID98" s="110"/>
      <c r="IE98" s="110"/>
      <c r="IF98" s="110"/>
      <c r="IG98" s="110"/>
      <c r="IH98" s="110"/>
      <c r="II98" s="110"/>
      <c r="IJ98" s="110"/>
      <c r="IK98" s="110"/>
      <c r="IL98" s="110"/>
      <c r="IM98" s="110"/>
      <c r="IN98" s="110"/>
      <c r="IO98" s="110"/>
      <c r="IP98" s="110"/>
      <c r="IQ98" s="110"/>
      <c r="IR98" s="110"/>
      <c r="IS98" s="110"/>
      <c r="IT98" s="110"/>
      <c r="IU98" s="110"/>
      <c r="IV98" s="110"/>
      <c r="IW98" s="110"/>
    </row>
    <row r="99" spans="1:257" x14ac:dyDescent="0.3">
      <c r="A99" s="156"/>
      <c r="B99" s="156"/>
      <c r="C99" s="156"/>
      <c r="D99" s="156"/>
      <c r="E99" s="156"/>
      <c r="F99" s="156"/>
      <c r="G99" s="156"/>
      <c r="H99" s="156"/>
      <c r="I99" s="174"/>
      <c r="J99" s="156"/>
      <c r="K99" s="156"/>
      <c r="L99" s="156"/>
      <c r="M99" s="156"/>
      <c r="N99" s="156"/>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10"/>
      <c r="CB99" s="110"/>
      <c r="CC99" s="110"/>
      <c r="CD99" s="110"/>
      <c r="CE99" s="110"/>
      <c r="CF99" s="110"/>
      <c r="CG99" s="110"/>
      <c r="CH99" s="110"/>
      <c r="CI99" s="110"/>
      <c r="CJ99" s="110"/>
      <c r="CK99" s="110"/>
      <c r="CL99" s="110"/>
      <c r="CM99" s="110"/>
      <c r="CN99" s="110"/>
      <c r="CO99" s="110"/>
      <c r="CP99" s="110"/>
      <c r="CQ99" s="110"/>
      <c r="CR99" s="110"/>
      <c r="CS99" s="110"/>
      <c r="CT99" s="110"/>
      <c r="CU99" s="110"/>
      <c r="CV99" s="110"/>
      <c r="CW99" s="110"/>
      <c r="CX99" s="110"/>
      <c r="CY99" s="110"/>
      <c r="CZ99" s="110"/>
      <c r="DA99" s="110"/>
      <c r="DB99" s="110"/>
      <c r="DC99" s="110"/>
      <c r="DD99" s="110"/>
      <c r="DE99" s="110"/>
      <c r="DF99" s="110"/>
      <c r="DG99" s="110"/>
      <c r="DH99" s="110"/>
      <c r="DI99" s="110"/>
      <c r="DJ99" s="110"/>
      <c r="DK99" s="110"/>
      <c r="DL99" s="110"/>
      <c r="DM99" s="110"/>
      <c r="DN99" s="110"/>
      <c r="DO99" s="110"/>
      <c r="DP99" s="110"/>
      <c r="DQ99" s="110"/>
      <c r="DR99" s="110"/>
      <c r="DS99" s="110"/>
      <c r="DT99" s="110"/>
      <c r="DU99" s="110"/>
      <c r="DV99" s="110"/>
      <c r="DW99" s="110"/>
      <c r="DX99" s="110"/>
      <c r="DY99" s="110"/>
      <c r="DZ99" s="110"/>
      <c r="EA99" s="110"/>
      <c r="EB99" s="110"/>
      <c r="EC99" s="110"/>
      <c r="ED99" s="110"/>
      <c r="EE99" s="110"/>
      <c r="EF99" s="110"/>
      <c r="EG99" s="110"/>
      <c r="EH99" s="110"/>
      <c r="EI99" s="110"/>
      <c r="EJ99" s="110"/>
      <c r="EK99" s="110"/>
      <c r="EL99" s="110"/>
      <c r="EM99" s="110"/>
      <c r="EN99" s="110"/>
      <c r="EO99" s="110"/>
      <c r="EP99" s="110"/>
      <c r="EQ99" s="110"/>
      <c r="ER99" s="110"/>
      <c r="ES99" s="110"/>
      <c r="ET99" s="110"/>
      <c r="EU99" s="110"/>
      <c r="EV99" s="110"/>
      <c r="EW99" s="110"/>
      <c r="EX99" s="110"/>
      <c r="EY99" s="110"/>
      <c r="EZ99" s="110"/>
      <c r="FA99" s="110"/>
      <c r="FB99" s="110"/>
      <c r="FC99" s="110"/>
      <c r="FD99" s="110"/>
      <c r="FE99" s="110"/>
      <c r="FF99" s="110"/>
      <c r="FG99" s="110"/>
      <c r="FH99" s="110"/>
      <c r="FI99" s="110"/>
      <c r="FJ99" s="110"/>
      <c r="FK99" s="110"/>
      <c r="FL99" s="110"/>
      <c r="FM99" s="110"/>
      <c r="FN99" s="110"/>
      <c r="FO99" s="110"/>
      <c r="FP99" s="110"/>
      <c r="FQ99" s="110"/>
      <c r="FR99" s="110"/>
      <c r="FS99" s="110"/>
      <c r="FT99" s="110"/>
      <c r="FU99" s="110"/>
      <c r="FV99" s="110"/>
      <c r="FW99" s="110"/>
      <c r="FX99" s="110"/>
      <c r="FY99" s="110"/>
      <c r="FZ99" s="110"/>
      <c r="GA99" s="110"/>
      <c r="GB99" s="110"/>
      <c r="GC99" s="110"/>
      <c r="GD99" s="110"/>
      <c r="GE99" s="110"/>
      <c r="GF99" s="110"/>
      <c r="GG99" s="110"/>
      <c r="GH99" s="110"/>
      <c r="GI99" s="110"/>
      <c r="GJ99" s="110"/>
      <c r="GK99" s="110"/>
      <c r="GL99" s="110"/>
      <c r="GM99" s="110"/>
      <c r="GN99" s="110"/>
      <c r="GO99" s="110"/>
      <c r="GP99" s="110"/>
      <c r="GQ99" s="110"/>
      <c r="GR99" s="110"/>
      <c r="GS99" s="110"/>
      <c r="GT99" s="110"/>
      <c r="GU99" s="110"/>
      <c r="GV99" s="110"/>
      <c r="GW99" s="110"/>
      <c r="GX99" s="110"/>
      <c r="GY99" s="110"/>
      <c r="GZ99" s="110"/>
      <c r="HA99" s="110"/>
      <c r="HB99" s="110"/>
      <c r="HC99" s="110"/>
      <c r="HD99" s="110"/>
      <c r="HE99" s="110"/>
      <c r="HF99" s="110"/>
      <c r="HG99" s="110"/>
      <c r="HH99" s="110"/>
      <c r="HI99" s="110"/>
      <c r="HJ99" s="110"/>
      <c r="HK99" s="110"/>
      <c r="HL99" s="110"/>
      <c r="HM99" s="110"/>
      <c r="HN99" s="110"/>
      <c r="HO99" s="110"/>
      <c r="HP99" s="110"/>
      <c r="HQ99" s="110"/>
      <c r="HR99" s="110"/>
      <c r="HS99" s="110"/>
      <c r="HT99" s="110"/>
      <c r="HU99" s="110"/>
      <c r="HV99" s="110"/>
      <c r="HW99" s="110"/>
      <c r="HX99" s="110"/>
      <c r="HY99" s="110"/>
      <c r="HZ99" s="110"/>
      <c r="IA99" s="110"/>
      <c r="IB99" s="110"/>
      <c r="IC99" s="110"/>
      <c r="ID99" s="110"/>
      <c r="IE99" s="110"/>
      <c r="IF99" s="110"/>
      <c r="IG99" s="110"/>
      <c r="IH99" s="110"/>
      <c r="II99" s="110"/>
      <c r="IJ99" s="110"/>
      <c r="IK99" s="110"/>
      <c r="IL99" s="110"/>
      <c r="IM99" s="110"/>
      <c r="IN99" s="110"/>
      <c r="IO99" s="110"/>
      <c r="IP99" s="110"/>
      <c r="IQ99" s="110"/>
      <c r="IR99" s="110"/>
      <c r="IS99" s="110"/>
      <c r="IT99" s="110"/>
      <c r="IU99" s="110"/>
      <c r="IV99" s="110"/>
      <c r="IW99" s="110"/>
    </row>
    <row r="100" spans="1:257" x14ac:dyDescent="0.3">
      <c r="A100" s="156"/>
      <c r="B100" s="156"/>
      <c r="C100" s="156"/>
      <c r="D100" s="156"/>
      <c r="E100" s="156"/>
      <c r="F100" s="156"/>
      <c r="G100" s="156"/>
      <c r="H100" s="156"/>
      <c r="I100" s="174"/>
      <c r="J100" s="156"/>
      <c r="K100" s="156"/>
      <c r="L100" s="156"/>
      <c r="M100" s="156"/>
      <c r="N100" s="156"/>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c r="BY100" s="110"/>
      <c r="BZ100" s="110"/>
      <c r="CA100" s="110"/>
      <c r="CB100" s="110"/>
      <c r="CC100" s="110"/>
      <c r="CD100" s="110"/>
      <c r="CE100" s="110"/>
      <c r="CF100" s="110"/>
      <c r="CG100" s="110"/>
      <c r="CH100" s="110"/>
      <c r="CI100" s="110"/>
      <c r="CJ100" s="110"/>
      <c r="CK100" s="110"/>
      <c r="CL100" s="110"/>
      <c r="CM100" s="110"/>
      <c r="CN100" s="110"/>
      <c r="CO100" s="110"/>
      <c r="CP100" s="110"/>
      <c r="CQ100" s="110"/>
      <c r="CR100" s="110"/>
      <c r="CS100" s="110"/>
      <c r="CT100" s="110"/>
      <c r="CU100" s="110"/>
      <c r="CV100" s="110"/>
      <c r="CW100" s="110"/>
      <c r="CX100" s="110"/>
      <c r="CY100" s="110"/>
      <c r="CZ100" s="110"/>
      <c r="DA100" s="110"/>
      <c r="DB100" s="110"/>
      <c r="DC100" s="110"/>
      <c r="DD100" s="110"/>
      <c r="DE100" s="110"/>
      <c r="DF100" s="110"/>
      <c r="DG100" s="110"/>
      <c r="DH100" s="110"/>
      <c r="DI100" s="110"/>
      <c r="DJ100" s="110"/>
      <c r="DK100" s="110"/>
      <c r="DL100" s="110"/>
      <c r="DM100" s="110"/>
      <c r="DN100" s="110"/>
      <c r="DO100" s="110"/>
      <c r="DP100" s="110"/>
      <c r="DQ100" s="110"/>
      <c r="DR100" s="110"/>
      <c r="DS100" s="110"/>
      <c r="DT100" s="110"/>
      <c r="DU100" s="110"/>
      <c r="DV100" s="110"/>
      <c r="DW100" s="110"/>
      <c r="DX100" s="110"/>
      <c r="DY100" s="110"/>
      <c r="DZ100" s="110"/>
      <c r="EA100" s="110"/>
      <c r="EB100" s="110"/>
      <c r="EC100" s="110"/>
      <c r="ED100" s="110"/>
      <c r="EE100" s="110"/>
      <c r="EF100" s="110"/>
      <c r="EG100" s="110"/>
      <c r="EH100" s="110"/>
      <c r="EI100" s="110"/>
      <c r="EJ100" s="110"/>
      <c r="EK100" s="110"/>
      <c r="EL100" s="110"/>
      <c r="EM100" s="110"/>
      <c r="EN100" s="110"/>
      <c r="EO100" s="110"/>
      <c r="EP100" s="110"/>
      <c r="EQ100" s="110"/>
      <c r="ER100" s="110"/>
      <c r="ES100" s="110"/>
      <c r="ET100" s="110"/>
      <c r="EU100" s="110"/>
      <c r="EV100" s="110"/>
      <c r="EW100" s="110"/>
      <c r="EX100" s="110"/>
      <c r="EY100" s="110"/>
      <c r="EZ100" s="110"/>
      <c r="FA100" s="110"/>
      <c r="FB100" s="110"/>
      <c r="FC100" s="110"/>
      <c r="FD100" s="110"/>
      <c r="FE100" s="110"/>
      <c r="FF100" s="110"/>
      <c r="FG100" s="110"/>
      <c r="FH100" s="110"/>
      <c r="FI100" s="110"/>
      <c r="FJ100" s="110"/>
      <c r="FK100" s="110"/>
      <c r="FL100" s="110"/>
      <c r="FM100" s="110"/>
      <c r="FN100" s="110"/>
      <c r="FO100" s="110"/>
      <c r="FP100" s="110"/>
      <c r="FQ100" s="110"/>
      <c r="FR100" s="110"/>
      <c r="FS100" s="110"/>
      <c r="FT100" s="110"/>
      <c r="FU100" s="110"/>
      <c r="FV100" s="110"/>
      <c r="FW100" s="110"/>
      <c r="FX100" s="110"/>
      <c r="FY100" s="110"/>
      <c r="FZ100" s="110"/>
      <c r="GA100" s="110"/>
      <c r="GB100" s="110"/>
      <c r="GC100" s="110"/>
      <c r="GD100" s="110"/>
      <c r="GE100" s="110"/>
      <c r="GF100" s="110"/>
      <c r="GG100" s="110"/>
      <c r="GH100" s="110"/>
      <c r="GI100" s="110"/>
      <c r="GJ100" s="110"/>
      <c r="GK100" s="110"/>
      <c r="GL100" s="110"/>
      <c r="GM100" s="110"/>
      <c r="GN100" s="110"/>
      <c r="GO100" s="110"/>
      <c r="GP100" s="110"/>
      <c r="GQ100" s="110"/>
      <c r="GR100" s="110"/>
      <c r="GS100" s="110"/>
      <c r="GT100" s="110"/>
      <c r="GU100" s="110"/>
      <c r="GV100" s="110"/>
      <c r="GW100" s="110"/>
      <c r="GX100" s="110"/>
      <c r="GY100" s="110"/>
      <c r="GZ100" s="110"/>
      <c r="HA100" s="110"/>
      <c r="HB100" s="110"/>
      <c r="HC100" s="110"/>
      <c r="HD100" s="110"/>
      <c r="HE100" s="110"/>
      <c r="HF100" s="110"/>
      <c r="HG100" s="110"/>
      <c r="HH100" s="110"/>
      <c r="HI100" s="110"/>
      <c r="HJ100" s="110"/>
      <c r="HK100" s="110"/>
      <c r="HL100" s="110"/>
      <c r="HM100" s="110"/>
      <c r="HN100" s="110"/>
      <c r="HO100" s="110"/>
      <c r="HP100" s="110"/>
      <c r="HQ100" s="110"/>
      <c r="HR100" s="110"/>
      <c r="HS100" s="110"/>
      <c r="HT100" s="110"/>
      <c r="HU100" s="110"/>
      <c r="HV100" s="110"/>
      <c r="HW100" s="110"/>
      <c r="HX100" s="110"/>
      <c r="HY100" s="110"/>
      <c r="HZ100" s="110"/>
      <c r="IA100" s="110"/>
      <c r="IB100" s="110"/>
      <c r="IC100" s="110"/>
      <c r="ID100" s="110"/>
      <c r="IE100" s="110"/>
      <c r="IF100" s="110"/>
      <c r="IG100" s="110"/>
      <c r="IH100" s="110"/>
      <c r="II100" s="110"/>
      <c r="IJ100" s="110"/>
      <c r="IK100" s="110"/>
      <c r="IL100" s="110"/>
      <c r="IM100" s="110"/>
      <c r="IN100" s="110"/>
      <c r="IO100" s="110"/>
      <c r="IP100" s="110"/>
      <c r="IQ100" s="110"/>
      <c r="IR100" s="110"/>
      <c r="IS100" s="110"/>
      <c r="IT100" s="110"/>
      <c r="IU100" s="110"/>
      <c r="IV100" s="110"/>
      <c r="IW100" s="110"/>
    </row>
    <row r="101" spans="1:257" x14ac:dyDescent="0.3">
      <c r="A101" s="156"/>
      <c r="B101" s="156"/>
      <c r="C101" s="156"/>
      <c r="D101" s="156"/>
      <c r="E101" s="156"/>
      <c r="F101" s="156"/>
      <c r="G101" s="156"/>
      <c r="H101" s="156"/>
      <c r="I101" s="174"/>
      <c r="J101" s="156"/>
      <c r="K101" s="156"/>
      <c r="L101" s="156"/>
      <c r="M101" s="156"/>
      <c r="N101" s="156"/>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c r="BY101" s="110"/>
      <c r="BZ101" s="110"/>
      <c r="CA101" s="110"/>
      <c r="CB101" s="110"/>
      <c r="CC101" s="110"/>
      <c r="CD101" s="110"/>
      <c r="CE101" s="110"/>
      <c r="CF101" s="110"/>
      <c r="CG101" s="110"/>
      <c r="CH101" s="110"/>
      <c r="CI101" s="110"/>
      <c r="CJ101" s="110"/>
      <c r="CK101" s="110"/>
      <c r="CL101" s="110"/>
      <c r="CM101" s="110"/>
      <c r="CN101" s="110"/>
      <c r="CO101" s="110"/>
      <c r="CP101" s="110"/>
      <c r="CQ101" s="110"/>
      <c r="CR101" s="110"/>
      <c r="CS101" s="110"/>
      <c r="CT101" s="110"/>
      <c r="CU101" s="110"/>
      <c r="CV101" s="110"/>
      <c r="CW101" s="110"/>
      <c r="CX101" s="110"/>
      <c r="CY101" s="110"/>
      <c r="CZ101" s="110"/>
      <c r="DA101" s="110"/>
      <c r="DB101" s="110"/>
      <c r="DC101" s="110"/>
      <c r="DD101" s="110"/>
      <c r="DE101" s="110"/>
      <c r="DF101" s="110"/>
      <c r="DG101" s="110"/>
      <c r="DH101" s="110"/>
      <c r="DI101" s="110"/>
      <c r="DJ101" s="110"/>
      <c r="DK101" s="110"/>
      <c r="DL101" s="110"/>
      <c r="DM101" s="110"/>
      <c r="DN101" s="110"/>
      <c r="DO101" s="110"/>
      <c r="DP101" s="110"/>
      <c r="DQ101" s="110"/>
      <c r="DR101" s="110"/>
      <c r="DS101" s="110"/>
      <c r="DT101" s="110"/>
      <c r="DU101" s="110"/>
      <c r="DV101" s="110"/>
      <c r="DW101" s="110"/>
      <c r="DX101" s="110"/>
      <c r="DY101" s="110"/>
      <c r="DZ101" s="110"/>
      <c r="EA101" s="110"/>
      <c r="EB101" s="110"/>
      <c r="EC101" s="110"/>
      <c r="ED101" s="110"/>
      <c r="EE101" s="110"/>
      <c r="EF101" s="110"/>
      <c r="EG101" s="110"/>
      <c r="EH101" s="110"/>
      <c r="EI101" s="110"/>
      <c r="EJ101" s="110"/>
      <c r="EK101" s="110"/>
      <c r="EL101" s="110"/>
      <c r="EM101" s="110"/>
      <c r="EN101" s="110"/>
      <c r="EO101" s="110"/>
      <c r="EP101" s="110"/>
      <c r="EQ101" s="110"/>
      <c r="ER101" s="110"/>
      <c r="ES101" s="110"/>
      <c r="ET101" s="110"/>
      <c r="EU101" s="110"/>
      <c r="EV101" s="110"/>
      <c r="EW101" s="110"/>
      <c r="EX101" s="110"/>
      <c r="EY101" s="110"/>
      <c r="EZ101" s="110"/>
      <c r="FA101" s="110"/>
      <c r="FB101" s="110"/>
      <c r="FC101" s="110"/>
      <c r="FD101" s="110"/>
      <c r="FE101" s="110"/>
      <c r="FF101" s="110"/>
      <c r="FG101" s="110"/>
      <c r="FH101" s="110"/>
      <c r="FI101" s="110"/>
      <c r="FJ101" s="110"/>
      <c r="FK101" s="110"/>
      <c r="FL101" s="110"/>
      <c r="FM101" s="110"/>
      <c r="FN101" s="110"/>
      <c r="FO101" s="110"/>
      <c r="FP101" s="110"/>
      <c r="FQ101" s="110"/>
      <c r="FR101" s="110"/>
      <c r="FS101" s="110"/>
      <c r="FT101" s="110"/>
      <c r="FU101" s="110"/>
      <c r="FV101" s="110"/>
      <c r="FW101" s="110"/>
      <c r="FX101" s="110"/>
      <c r="FY101" s="110"/>
      <c r="FZ101" s="110"/>
      <c r="GA101" s="110"/>
      <c r="GB101" s="110"/>
      <c r="GC101" s="110"/>
      <c r="GD101" s="110"/>
      <c r="GE101" s="110"/>
      <c r="GF101" s="110"/>
      <c r="GG101" s="110"/>
      <c r="GH101" s="110"/>
      <c r="GI101" s="110"/>
      <c r="GJ101" s="110"/>
      <c r="GK101" s="110"/>
      <c r="GL101" s="110"/>
      <c r="GM101" s="110"/>
      <c r="GN101" s="110"/>
      <c r="GO101" s="110"/>
      <c r="GP101" s="110"/>
      <c r="GQ101" s="110"/>
      <c r="GR101" s="110"/>
      <c r="GS101" s="110"/>
      <c r="GT101" s="110"/>
      <c r="GU101" s="110"/>
      <c r="GV101" s="110"/>
      <c r="GW101" s="110"/>
      <c r="GX101" s="110"/>
      <c r="GY101" s="110"/>
      <c r="GZ101" s="110"/>
      <c r="HA101" s="110"/>
      <c r="HB101" s="110"/>
      <c r="HC101" s="110"/>
      <c r="HD101" s="110"/>
      <c r="HE101" s="110"/>
      <c r="HF101" s="110"/>
      <c r="HG101" s="110"/>
      <c r="HH101" s="110"/>
      <c r="HI101" s="110"/>
      <c r="HJ101" s="110"/>
      <c r="HK101" s="110"/>
      <c r="HL101" s="110"/>
      <c r="HM101" s="110"/>
      <c r="HN101" s="110"/>
      <c r="HO101" s="110"/>
      <c r="HP101" s="110"/>
      <c r="HQ101" s="110"/>
      <c r="HR101" s="110"/>
      <c r="HS101" s="110"/>
      <c r="HT101" s="110"/>
      <c r="HU101" s="110"/>
      <c r="HV101" s="110"/>
      <c r="HW101" s="110"/>
      <c r="HX101" s="110"/>
      <c r="HY101" s="110"/>
      <c r="HZ101" s="110"/>
      <c r="IA101" s="110"/>
      <c r="IB101" s="110"/>
      <c r="IC101" s="110"/>
      <c r="ID101" s="110"/>
      <c r="IE101" s="110"/>
      <c r="IF101" s="110"/>
      <c r="IG101" s="110"/>
      <c r="IH101" s="110"/>
      <c r="II101" s="110"/>
      <c r="IJ101" s="110"/>
      <c r="IK101" s="110"/>
      <c r="IL101" s="110"/>
      <c r="IM101" s="110"/>
      <c r="IN101" s="110"/>
      <c r="IO101" s="110"/>
      <c r="IP101" s="110"/>
      <c r="IQ101" s="110"/>
      <c r="IR101" s="110"/>
      <c r="IS101" s="110"/>
      <c r="IT101" s="110"/>
      <c r="IU101" s="110"/>
      <c r="IV101" s="110"/>
      <c r="IW101" s="110"/>
    </row>
    <row r="102" spans="1:257" x14ac:dyDescent="0.3">
      <c r="A102" s="156"/>
      <c r="B102" s="156"/>
      <c r="C102" s="156"/>
      <c r="D102" s="156"/>
      <c r="E102" s="156"/>
      <c r="F102" s="156"/>
      <c r="G102" s="156"/>
      <c r="H102" s="156"/>
      <c r="I102" s="174"/>
      <c r="J102" s="156"/>
      <c r="K102" s="156"/>
      <c r="L102" s="156"/>
      <c r="M102" s="156"/>
      <c r="N102" s="156"/>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c r="BY102" s="110"/>
      <c r="BZ102" s="110"/>
      <c r="CA102" s="110"/>
      <c r="CB102" s="110"/>
      <c r="CC102" s="110"/>
      <c r="CD102" s="110"/>
      <c r="CE102" s="110"/>
      <c r="CF102" s="110"/>
      <c r="CG102" s="110"/>
      <c r="CH102" s="110"/>
      <c r="CI102" s="110"/>
      <c r="CJ102" s="110"/>
      <c r="CK102" s="110"/>
      <c r="CL102" s="110"/>
      <c r="CM102" s="110"/>
      <c r="CN102" s="110"/>
      <c r="CO102" s="110"/>
      <c r="CP102" s="110"/>
      <c r="CQ102" s="110"/>
      <c r="CR102" s="110"/>
      <c r="CS102" s="110"/>
      <c r="CT102" s="110"/>
      <c r="CU102" s="110"/>
      <c r="CV102" s="110"/>
      <c r="CW102" s="110"/>
      <c r="CX102" s="110"/>
      <c r="CY102" s="110"/>
      <c r="CZ102" s="110"/>
      <c r="DA102" s="110"/>
      <c r="DB102" s="110"/>
      <c r="DC102" s="110"/>
      <c r="DD102" s="110"/>
      <c r="DE102" s="110"/>
      <c r="DF102" s="110"/>
      <c r="DG102" s="110"/>
      <c r="DH102" s="110"/>
      <c r="DI102" s="110"/>
      <c r="DJ102" s="110"/>
      <c r="DK102" s="110"/>
      <c r="DL102" s="110"/>
      <c r="DM102" s="110"/>
      <c r="DN102" s="110"/>
      <c r="DO102" s="110"/>
      <c r="DP102" s="110"/>
      <c r="DQ102" s="110"/>
      <c r="DR102" s="110"/>
      <c r="DS102" s="110"/>
      <c r="DT102" s="110"/>
      <c r="DU102" s="110"/>
      <c r="DV102" s="110"/>
      <c r="DW102" s="110"/>
      <c r="DX102" s="110"/>
      <c r="DY102" s="110"/>
      <c r="DZ102" s="110"/>
      <c r="EA102" s="110"/>
      <c r="EB102" s="110"/>
      <c r="EC102" s="110"/>
      <c r="ED102" s="110"/>
      <c r="EE102" s="110"/>
      <c r="EF102" s="110"/>
      <c r="EG102" s="110"/>
      <c r="EH102" s="110"/>
      <c r="EI102" s="110"/>
      <c r="EJ102" s="110"/>
      <c r="EK102" s="110"/>
      <c r="EL102" s="110"/>
      <c r="EM102" s="110"/>
      <c r="EN102" s="110"/>
      <c r="EO102" s="110"/>
      <c r="EP102" s="110"/>
      <c r="EQ102" s="110"/>
      <c r="ER102" s="110"/>
      <c r="ES102" s="110"/>
      <c r="ET102" s="110"/>
      <c r="EU102" s="110"/>
      <c r="EV102" s="110"/>
      <c r="EW102" s="110"/>
      <c r="EX102" s="110"/>
      <c r="EY102" s="110"/>
      <c r="EZ102" s="110"/>
      <c r="FA102" s="110"/>
      <c r="FB102" s="110"/>
      <c r="FC102" s="110"/>
      <c r="FD102" s="110"/>
      <c r="FE102" s="110"/>
      <c r="FF102" s="110"/>
      <c r="FG102" s="110"/>
      <c r="FH102" s="110"/>
      <c r="FI102" s="110"/>
      <c r="FJ102" s="110"/>
      <c r="FK102" s="110"/>
      <c r="FL102" s="110"/>
      <c r="FM102" s="110"/>
      <c r="FN102" s="110"/>
      <c r="FO102" s="110"/>
      <c r="FP102" s="110"/>
      <c r="FQ102" s="110"/>
      <c r="FR102" s="110"/>
      <c r="FS102" s="110"/>
      <c r="FT102" s="110"/>
      <c r="FU102" s="110"/>
      <c r="FV102" s="110"/>
      <c r="FW102" s="110"/>
      <c r="FX102" s="110"/>
      <c r="FY102" s="110"/>
      <c r="FZ102" s="110"/>
      <c r="GA102" s="110"/>
      <c r="GB102" s="110"/>
      <c r="GC102" s="110"/>
      <c r="GD102" s="110"/>
      <c r="GE102" s="110"/>
      <c r="GF102" s="110"/>
      <c r="GG102" s="110"/>
      <c r="GH102" s="110"/>
      <c r="GI102" s="110"/>
      <c r="GJ102" s="110"/>
      <c r="GK102" s="110"/>
      <c r="GL102" s="110"/>
      <c r="GM102" s="110"/>
      <c r="GN102" s="110"/>
      <c r="GO102" s="110"/>
      <c r="GP102" s="110"/>
      <c r="GQ102" s="110"/>
      <c r="GR102" s="110"/>
      <c r="GS102" s="110"/>
      <c r="GT102" s="110"/>
      <c r="GU102" s="110"/>
      <c r="GV102" s="110"/>
      <c r="GW102" s="110"/>
      <c r="GX102" s="110"/>
      <c r="GY102" s="110"/>
      <c r="GZ102" s="110"/>
      <c r="HA102" s="110"/>
      <c r="HB102" s="110"/>
      <c r="HC102" s="110"/>
      <c r="HD102" s="110"/>
      <c r="HE102" s="110"/>
      <c r="HF102" s="110"/>
      <c r="HG102" s="110"/>
      <c r="HH102" s="110"/>
      <c r="HI102" s="110"/>
      <c r="HJ102" s="110"/>
      <c r="HK102" s="110"/>
      <c r="HL102" s="110"/>
      <c r="HM102" s="110"/>
      <c r="HN102" s="110"/>
      <c r="HO102" s="110"/>
      <c r="HP102" s="110"/>
      <c r="HQ102" s="110"/>
      <c r="HR102" s="110"/>
      <c r="HS102" s="110"/>
      <c r="HT102" s="110"/>
      <c r="HU102" s="110"/>
      <c r="HV102" s="110"/>
      <c r="HW102" s="110"/>
      <c r="HX102" s="110"/>
      <c r="HY102" s="110"/>
      <c r="HZ102" s="110"/>
      <c r="IA102" s="110"/>
      <c r="IB102" s="110"/>
      <c r="IC102" s="110"/>
      <c r="ID102" s="110"/>
      <c r="IE102" s="110"/>
      <c r="IF102" s="110"/>
      <c r="IG102" s="110"/>
      <c r="IH102" s="110"/>
      <c r="II102" s="110"/>
      <c r="IJ102" s="110"/>
      <c r="IK102" s="110"/>
      <c r="IL102" s="110"/>
      <c r="IM102" s="110"/>
      <c r="IN102" s="110"/>
      <c r="IO102" s="110"/>
      <c r="IP102" s="110"/>
      <c r="IQ102" s="110"/>
      <c r="IR102" s="110"/>
      <c r="IS102" s="110"/>
      <c r="IT102" s="110"/>
      <c r="IU102" s="110"/>
      <c r="IV102" s="110"/>
      <c r="IW102" s="110"/>
    </row>
    <row r="103" spans="1:257" x14ac:dyDescent="0.3">
      <c r="A103" s="156"/>
      <c r="B103" s="156"/>
      <c r="C103" s="156"/>
      <c r="D103" s="156"/>
      <c r="E103" s="156"/>
      <c r="F103" s="156"/>
      <c r="G103" s="156"/>
      <c r="H103" s="156"/>
      <c r="I103" s="174"/>
      <c r="J103" s="156"/>
      <c r="K103" s="156"/>
      <c r="L103" s="156"/>
      <c r="M103" s="156"/>
      <c r="N103" s="156"/>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c r="BY103" s="110"/>
      <c r="BZ103" s="110"/>
      <c r="CA103" s="110"/>
      <c r="CB103" s="110"/>
      <c r="CC103" s="110"/>
      <c r="CD103" s="110"/>
      <c r="CE103" s="110"/>
      <c r="CF103" s="110"/>
      <c r="CG103" s="110"/>
      <c r="CH103" s="110"/>
      <c r="CI103" s="110"/>
      <c r="CJ103" s="110"/>
      <c r="CK103" s="110"/>
      <c r="CL103" s="110"/>
      <c r="CM103" s="110"/>
      <c r="CN103" s="110"/>
      <c r="CO103" s="110"/>
      <c r="CP103" s="110"/>
      <c r="CQ103" s="110"/>
      <c r="CR103" s="110"/>
      <c r="CS103" s="110"/>
      <c r="CT103" s="110"/>
      <c r="CU103" s="110"/>
      <c r="CV103" s="110"/>
      <c r="CW103" s="110"/>
      <c r="CX103" s="110"/>
      <c r="CY103" s="110"/>
      <c r="CZ103" s="110"/>
      <c r="DA103" s="110"/>
      <c r="DB103" s="110"/>
      <c r="DC103" s="110"/>
      <c r="DD103" s="110"/>
      <c r="DE103" s="110"/>
      <c r="DF103" s="110"/>
      <c r="DG103" s="110"/>
      <c r="DH103" s="110"/>
      <c r="DI103" s="110"/>
      <c r="DJ103" s="110"/>
      <c r="DK103" s="110"/>
      <c r="DL103" s="110"/>
      <c r="DM103" s="110"/>
      <c r="DN103" s="110"/>
      <c r="DO103" s="110"/>
      <c r="DP103" s="110"/>
      <c r="DQ103" s="110"/>
      <c r="DR103" s="110"/>
      <c r="DS103" s="110"/>
      <c r="DT103" s="110"/>
      <c r="DU103" s="110"/>
      <c r="DV103" s="110"/>
      <c r="DW103" s="110"/>
      <c r="DX103" s="110"/>
      <c r="DY103" s="110"/>
      <c r="DZ103" s="110"/>
      <c r="EA103" s="110"/>
      <c r="EB103" s="110"/>
      <c r="EC103" s="110"/>
      <c r="ED103" s="110"/>
      <c r="EE103" s="110"/>
      <c r="EF103" s="110"/>
      <c r="EG103" s="110"/>
      <c r="EH103" s="110"/>
      <c r="EI103" s="110"/>
      <c r="EJ103" s="110"/>
      <c r="EK103" s="110"/>
      <c r="EL103" s="110"/>
      <c r="EM103" s="110"/>
      <c r="EN103" s="110"/>
      <c r="EO103" s="110"/>
      <c r="EP103" s="110"/>
      <c r="EQ103" s="110"/>
      <c r="ER103" s="110"/>
      <c r="ES103" s="110"/>
      <c r="ET103" s="110"/>
      <c r="EU103" s="110"/>
      <c r="EV103" s="110"/>
      <c r="EW103" s="110"/>
      <c r="EX103" s="110"/>
      <c r="EY103" s="110"/>
      <c r="EZ103" s="110"/>
      <c r="FA103" s="110"/>
      <c r="FB103" s="110"/>
      <c r="FC103" s="110"/>
      <c r="FD103" s="110"/>
      <c r="FE103" s="110"/>
      <c r="FF103" s="110"/>
      <c r="FG103" s="110"/>
      <c r="FH103" s="110"/>
      <c r="FI103" s="110"/>
      <c r="FJ103" s="110"/>
      <c r="FK103" s="110"/>
      <c r="FL103" s="110"/>
      <c r="FM103" s="110"/>
      <c r="FN103" s="110"/>
      <c r="FO103" s="110"/>
      <c r="FP103" s="110"/>
      <c r="FQ103" s="110"/>
      <c r="FR103" s="110"/>
      <c r="FS103" s="110"/>
      <c r="FT103" s="110"/>
      <c r="FU103" s="110"/>
      <c r="FV103" s="110"/>
      <c r="FW103" s="110"/>
      <c r="FX103" s="110"/>
      <c r="FY103" s="110"/>
      <c r="FZ103" s="110"/>
      <c r="GA103" s="110"/>
      <c r="GB103" s="110"/>
      <c r="GC103" s="110"/>
      <c r="GD103" s="110"/>
      <c r="GE103" s="110"/>
      <c r="GF103" s="110"/>
      <c r="GG103" s="110"/>
      <c r="GH103" s="110"/>
      <c r="GI103" s="110"/>
      <c r="GJ103" s="110"/>
      <c r="GK103" s="110"/>
      <c r="GL103" s="110"/>
      <c r="GM103" s="110"/>
      <c r="GN103" s="110"/>
      <c r="GO103" s="110"/>
      <c r="GP103" s="110"/>
      <c r="GQ103" s="110"/>
      <c r="GR103" s="110"/>
      <c r="GS103" s="110"/>
      <c r="GT103" s="110"/>
      <c r="GU103" s="110"/>
      <c r="GV103" s="110"/>
      <c r="GW103" s="110"/>
      <c r="GX103" s="110"/>
      <c r="GY103" s="110"/>
      <c r="GZ103" s="110"/>
      <c r="HA103" s="110"/>
      <c r="HB103" s="110"/>
      <c r="HC103" s="110"/>
      <c r="HD103" s="110"/>
      <c r="HE103" s="110"/>
      <c r="HF103" s="110"/>
      <c r="HG103" s="110"/>
      <c r="HH103" s="110"/>
      <c r="HI103" s="110"/>
      <c r="HJ103" s="110"/>
      <c r="HK103" s="110"/>
      <c r="HL103" s="110"/>
      <c r="HM103" s="110"/>
      <c r="HN103" s="110"/>
      <c r="HO103" s="110"/>
      <c r="HP103" s="110"/>
      <c r="HQ103" s="110"/>
      <c r="HR103" s="110"/>
      <c r="HS103" s="110"/>
      <c r="HT103" s="110"/>
      <c r="HU103" s="110"/>
      <c r="HV103" s="110"/>
      <c r="HW103" s="110"/>
      <c r="HX103" s="110"/>
      <c r="HY103" s="110"/>
      <c r="HZ103" s="110"/>
      <c r="IA103" s="110"/>
      <c r="IB103" s="110"/>
      <c r="IC103" s="110"/>
      <c r="ID103" s="110"/>
      <c r="IE103" s="110"/>
      <c r="IF103" s="110"/>
      <c r="IG103" s="110"/>
      <c r="IH103" s="110"/>
      <c r="II103" s="110"/>
      <c r="IJ103" s="110"/>
      <c r="IK103" s="110"/>
      <c r="IL103" s="110"/>
      <c r="IM103" s="110"/>
      <c r="IN103" s="110"/>
      <c r="IO103" s="110"/>
      <c r="IP103" s="110"/>
      <c r="IQ103" s="110"/>
      <c r="IR103" s="110"/>
      <c r="IS103" s="110"/>
      <c r="IT103" s="110"/>
      <c r="IU103" s="110"/>
      <c r="IV103" s="110"/>
      <c r="IW103" s="110"/>
    </row>
    <row r="104" spans="1:257" x14ac:dyDescent="0.3">
      <c r="A104" s="156"/>
      <c r="B104" s="156"/>
      <c r="C104" s="156"/>
      <c r="D104" s="156"/>
      <c r="E104" s="156"/>
      <c r="F104" s="156"/>
      <c r="G104" s="156"/>
      <c r="H104" s="156"/>
      <c r="I104" s="174"/>
      <c r="J104" s="156"/>
      <c r="K104" s="156"/>
      <c r="L104" s="156"/>
      <c r="M104" s="156"/>
      <c r="N104" s="156"/>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c r="BY104" s="110"/>
      <c r="BZ104" s="110"/>
      <c r="CA104" s="110"/>
      <c r="CB104" s="110"/>
      <c r="CC104" s="110"/>
      <c r="CD104" s="110"/>
      <c r="CE104" s="110"/>
      <c r="CF104" s="110"/>
      <c r="CG104" s="110"/>
      <c r="CH104" s="110"/>
      <c r="CI104" s="110"/>
      <c r="CJ104" s="110"/>
      <c r="CK104" s="110"/>
      <c r="CL104" s="110"/>
      <c r="CM104" s="110"/>
      <c r="CN104" s="110"/>
      <c r="CO104" s="110"/>
      <c r="CP104" s="110"/>
      <c r="CQ104" s="110"/>
      <c r="CR104" s="110"/>
      <c r="CS104" s="110"/>
      <c r="CT104" s="110"/>
      <c r="CU104" s="110"/>
      <c r="CV104" s="110"/>
      <c r="CW104" s="110"/>
      <c r="CX104" s="110"/>
      <c r="CY104" s="110"/>
      <c r="CZ104" s="110"/>
      <c r="DA104" s="110"/>
      <c r="DB104" s="110"/>
      <c r="DC104" s="110"/>
      <c r="DD104" s="110"/>
      <c r="DE104" s="110"/>
      <c r="DF104" s="110"/>
      <c r="DG104" s="110"/>
      <c r="DH104" s="110"/>
      <c r="DI104" s="110"/>
      <c r="DJ104" s="110"/>
      <c r="DK104" s="110"/>
      <c r="DL104" s="110"/>
      <c r="DM104" s="110"/>
      <c r="DN104" s="110"/>
      <c r="DO104" s="110"/>
      <c r="DP104" s="110"/>
      <c r="DQ104" s="110"/>
      <c r="DR104" s="110"/>
      <c r="DS104" s="110"/>
      <c r="DT104" s="110"/>
      <c r="DU104" s="110"/>
      <c r="DV104" s="110"/>
      <c r="DW104" s="110"/>
      <c r="DX104" s="110"/>
      <c r="DY104" s="110"/>
      <c r="DZ104" s="110"/>
      <c r="EA104" s="110"/>
      <c r="EB104" s="110"/>
      <c r="EC104" s="110"/>
      <c r="ED104" s="110"/>
      <c r="EE104" s="110"/>
      <c r="EF104" s="110"/>
      <c r="EG104" s="110"/>
      <c r="EH104" s="110"/>
      <c r="EI104" s="110"/>
      <c r="EJ104" s="110"/>
      <c r="EK104" s="110"/>
      <c r="EL104" s="110"/>
      <c r="EM104" s="110"/>
      <c r="EN104" s="110"/>
      <c r="EO104" s="110"/>
      <c r="EP104" s="110"/>
      <c r="EQ104" s="110"/>
      <c r="ER104" s="110"/>
      <c r="ES104" s="110"/>
      <c r="ET104" s="110"/>
      <c r="EU104" s="110"/>
      <c r="EV104" s="110"/>
      <c r="EW104" s="110"/>
      <c r="EX104" s="110"/>
      <c r="EY104" s="110"/>
      <c r="EZ104" s="110"/>
      <c r="FA104" s="110"/>
      <c r="FB104" s="110"/>
      <c r="FC104" s="110"/>
      <c r="FD104" s="110"/>
      <c r="FE104" s="110"/>
      <c r="FF104" s="110"/>
      <c r="FG104" s="110"/>
      <c r="FH104" s="110"/>
      <c r="FI104" s="110"/>
      <c r="FJ104" s="110"/>
      <c r="FK104" s="110"/>
      <c r="FL104" s="110"/>
      <c r="FM104" s="110"/>
      <c r="FN104" s="110"/>
      <c r="FO104" s="110"/>
      <c r="FP104" s="110"/>
      <c r="FQ104" s="110"/>
      <c r="FR104" s="110"/>
      <c r="FS104" s="110"/>
      <c r="FT104" s="110"/>
      <c r="FU104" s="110"/>
      <c r="FV104" s="110"/>
      <c r="FW104" s="110"/>
      <c r="FX104" s="110"/>
      <c r="FY104" s="110"/>
      <c r="FZ104" s="110"/>
      <c r="GA104" s="110"/>
      <c r="GB104" s="110"/>
      <c r="GC104" s="110"/>
      <c r="GD104" s="110"/>
      <c r="GE104" s="110"/>
      <c r="GF104" s="110"/>
      <c r="GG104" s="110"/>
      <c r="GH104" s="110"/>
      <c r="GI104" s="110"/>
      <c r="GJ104" s="110"/>
      <c r="GK104" s="110"/>
      <c r="GL104" s="110"/>
      <c r="GM104" s="110"/>
      <c r="GN104" s="110"/>
      <c r="GO104" s="110"/>
      <c r="GP104" s="110"/>
      <c r="GQ104" s="110"/>
      <c r="GR104" s="110"/>
      <c r="GS104" s="110"/>
      <c r="GT104" s="110"/>
      <c r="GU104" s="110"/>
      <c r="GV104" s="110"/>
      <c r="GW104" s="110"/>
      <c r="GX104" s="110"/>
      <c r="GY104" s="110"/>
      <c r="GZ104" s="110"/>
      <c r="HA104" s="110"/>
      <c r="HB104" s="110"/>
      <c r="HC104" s="110"/>
      <c r="HD104" s="110"/>
      <c r="HE104" s="110"/>
      <c r="HF104" s="110"/>
      <c r="HG104" s="110"/>
      <c r="HH104" s="110"/>
      <c r="HI104" s="110"/>
      <c r="HJ104" s="110"/>
      <c r="HK104" s="110"/>
      <c r="HL104" s="110"/>
      <c r="HM104" s="110"/>
      <c r="HN104" s="110"/>
      <c r="HO104" s="110"/>
      <c r="HP104" s="110"/>
      <c r="HQ104" s="110"/>
      <c r="HR104" s="110"/>
      <c r="HS104" s="110"/>
      <c r="HT104" s="110"/>
      <c r="HU104" s="110"/>
      <c r="HV104" s="110"/>
      <c r="HW104" s="110"/>
      <c r="HX104" s="110"/>
      <c r="HY104" s="110"/>
      <c r="HZ104" s="110"/>
      <c r="IA104" s="110"/>
      <c r="IB104" s="110"/>
      <c r="IC104" s="110"/>
      <c r="ID104" s="110"/>
      <c r="IE104" s="110"/>
      <c r="IF104" s="110"/>
      <c r="IG104" s="110"/>
      <c r="IH104" s="110"/>
      <c r="II104" s="110"/>
      <c r="IJ104" s="110"/>
      <c r="IK104" s="110"/>
      <c r="IL104" s="110"/>
      <c r="IM104" s="110"/>
      <c r="IN104" s="110"/>
      <c r="IO104" s="110"/>
      <c r="IP104" s="110"/>
      <c r="IQ104" s="110"/>
      <c r="IR104" s="110"/>
      <c r="IS104" s="110"/>
      <c r="IT104" s="110"/>
      <c r="IU104" s="110"/>
      <c r="IV104" s="110"/>
      <c r="IW104" s="110"/>
    </row>
    <row r="105" spans="1:257" x14ac:dyDescent="0.3">
      <c r="A105" s="156"/>
      <c r="B105" s="156"/>
      <c r="C105" s="156"/>
      <c r="D105" s="156"/>
      <c r="E105" s="156"/>
      <c r="F105" s="156"/>
      <c r="G105" s="156"/>
      <c r="H105" s="156"/>
      <c r="I105" s="174"/>
      <c r="J105" s="156"/>
      <c r="K105" s="156"/>
      <c r="L105" s="156"/>
      <c r="M105" s="156"/>
      <c r="N105" s="156"/>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c r="BY105" s="110"/>
      <c r="BZ105" s="110"/>
      <c r="CA105" s="110"/>
      <c r="CB105" s="110"/>
      <c r="CC105" s="110"/>
      <c r="CD105" s="110"/>
      <c r="CE105" s="110"/>
      <c r="CF105" s="110"/>
      <c r="CG105" s="110"/>
      <c r="CH105" s="110"/>
      <c r="CI105" s="110"/>
      <c r="CJ105" s="110"/>
      <c r="CK105" s="110"/>
      <c r="CL105" s="110"/>
      <c r="CM105" s="110"/>
      <c r="CN105" s="110"/>
      <c r="CO105" s="110"/>
      <c r="CP105" s="110"/>
      <c r="CQ105" s="110"/>
      <c r="CR105" s="110"/>
      <c r="CS105" s="110"/>
      <c r="CT105" s="110"/>
      <c r="CU105" s="110"/>
      <c r="CV105" s="110"/>
      <c r="CW105" s="110"/>
      <c r="CX105" s="110"/>
      <c r="CY105" s="110"/>
      <c r="CZ105" s="110"/>
      <c r="DA105" s="110"/>
      <c r="DB105" s="110"/>
      <c r="DC105" s="110"/>
      <c r="DD105" s="110"/>
      <c r="DE105" s="110"/>
      <c r="DF105" s="110"/>
      <c r="DG105" s="110"/>
      <c r="DH105" s="110"/>
      <c r="DI105" s="110"/>
      <c r="DJ105" s="110"/>
      <c r="DK105" s="110"/>
      <c r="DL105" s="110"/>
      <c r="DM105" s="110"/>
      <c r="DN105" s="110"/>
      <c r="DO105" s="110"/>
      <c r="DP105" s="110"/>
      <c r="DQ105" s="110"/>
      <c r="DR105" s="110"/>
      <c r="DS105" s="110"/>
      <c r="DT105" s="110"/>
      <c r="DU105" s="110"/>
      <c r="DV105" s="110"/>
      <c r="DW105" s="110"/>
      <c r="DX105" s="110"/>
      <c r="DY105" s="110"/>
      <c r="DZ105" s="110"/>
      <c r="EA105" s="110"/>
      <c r="EB105" s="110"/>
      <c r="EC105" s="110"/>
      <c r="ED105" s="110"/>
      <c r="EE105" s="110"/>
      <c r="EF105" s="110"/>
      <c r="EG105" s="110"/>
      <c r="EH105" s="110"/>
      <c r="EI105" s="110"/>
      <c r="EJ105" s="110"/>
      <c r="EK105" s="110"/>
      <c r="EL105" s="110"/>
      <c r="EM105" s="110"/>
      <c r="EN105" s="110"/>
      <c r="EO105" s="110"/>
      <c r="EP105" s="110"/>
      <c r="EQ105" s="110"/>
      <c r="ER105" s="110"/>
      <c r="ES105" s="110"/>
      <c r="ET105" s="110"/>
      <c r="EU105" s="110"/>
      <c r="EV105" s="110"/>
      <c r="EW105" s="110"/>
      <c r="EX105" s="110"/>
      <c r="EY105" s="110"/>
      <c r="EZ105" s="110"/>
      <c r="FA105" s="110"/>
      <c r="FB105" s="110"/>
      <c r="FC105" s="110"/>
      <c r="FD105" s="110"/>
      <c r="FE105" s="110"/>
      <c r="FF105" s="110"/>
      <c r="FG105" s="110"/>
      <c r="FH105" s="110"/>
      <c r="FI105" s="110"/>
      <c r="FJ105" s="110"/>
      <c r="FK105" s="110"/>
      <c r="FL105" s="110"/>
      <c r="FM105" s="110"/>
      <c r="FN105" s="110"/>
      <c r="FO105" s="110"/>
      <c r="FP105" s="110"/>
      <c r="FQ105" s="110"/>
      <c r="FR105" s="110"/>
      <c r="FS105" s="110"/>
      <c r="FT105" s="110"/>
      <c r="FU105" s="110"/>
      <c r="FV105" s="110"/>
      <c r="FW105" s="110"/>
      <c r="FX105" s="110"/>
      <c r="FY105" s="110"/>
      <c r="FZ105" s="110"/>
      <c r="GA105" s="110"/>
      <c r="GB105" s="110"/>
      <c r="GC105" s="110"/>
      <c r="GD105" s="110"/>
      <c r="GE105" s="110"/>
      <c r="GF105" s="110"/>
      <c r="GG105" s="110"/>
      <c r="GH105" s="110"/>
      <c r="GI105" s="110"/>
      <c r="GJ105" s="110"/>
      <c r="GK105" s="110"/>
      <c r="GL105" s="110"/>
      <c r="GM105" s="110"/>
      <c r="GN105" s="110"/>
      <c r="GO105" s="110"/>
      <c r="GP105" s="110"/>
      <c r="GQ105" s="110"/>
      <c r="GR105" s="110"/>
      <c r="GS105" s="110"/>
      <c r="GT105" s="110"/>
      <c r="GU105" s="110"/>
      <c r="GV105" s="110"/>
      <c r="GW105" s="110"/>
      <c r="GX105" s="110"/>
      <c r="GY105" s="110"/>
      <c r="GZ105" s="110"/>
      <c r="HA105" s="110"/>
      <c r="HB105" s="110"/>
      <c r="HC105" s="110"/>
      <c r="HD105" s="110"/>
      <c r="HE105" s="110"/>
      <c r="HF105" s="110"/>
      <c r="HG105" s="110"/>
      <c r="HH105" s="110"/>
      <c r="HI105" s="110"/>
      <c r="HJ105" s="110"/>
      <c r="HK105" s="110"/>
      <c r="HL105" s="110"/>
      <c r="HM105" s="110"/>
      <c r="HN105" s="110"/>
      <c r="HO105" s="110"/>
      <c r="HP105" s="110"/>
      <c r="HQ105" s="110"/>
      <c r="HR105" s="110"/>
      <c r="HS105" s="110"/>
      <c r="HT105" s="110"/>
      <c r="HU105" s="110"/>
      <c r="HV105" s="110"/>
      <c r="HW105" s="110"/>
      <c r="HX105" s="110"/>
      <c r="HY105" s="110"/>
      <c r="HZ105" s="110"/>
      <c r="IA105" s="110"/>
      <c r="IB105" s="110"/>
      <c r="IC105" s="110"/>
      <c r="ID105" s="110"/>
      <c r="IE105" s="110"/>
      <c r="IF105" s="110"/>
      <c r="IG105" s="110"/>
      <c r="IH105" s="110"/>
      <c r="II105" s="110"/>
      <c r="IJ105" s="110"/>
      <c r="IK105" s="110"/>
      <c r="IL105" s="110"/>
      <c r="IM105" s="110"/>
      <c r="IN105" s="110"/>
      <c r="IO105" s="110"/>
      <c r="IP105" s="110"/>
      <c r="IQ105" s="110"/>
      <c r="IR105" s="110"/>
      <c r="IS105" s="110"/>
      <c r="IT105" s="110"/>
      <c r="IU105" s="110"/>
      <c r="IV105" s="110"/>
      <c r="IW105" s="110"/>
    </row>
    <row r="106" spans="1:257" x14ac:dyDescent="0.3">
      <c r="A106" s="156"/>
      <c r="B106" s="156"/>
      <c r="C106" s="156"/>
      <c r="D106" s="156"/>
      <c r="E106" s="156"/>
      <c r="F106" s="156"/>
      <c r="G106" s="156"/>
      <c r="H106" s="156"/>
      <c r="I106" s="174"/>
      <c r="J106" s="156"/>
      <c r="K106" s="156"/>
      <c r="L106" s="156"/>
      <c r="M106" s="156"/>
      <c r="N106" s="156"/>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c r="BY106" s="110"/>
      <c r="BZ106" s="110"/>
      <c r="CA106" s="110"/>
      <c r="CB106" s="110"/>
      <c r="CC106" s="110"/>
      <c r="CD106" s="110"/>
      <c r="CE106" s="110"/>
      <c r="CF106" s="110"/>
      <c r="CG106" s="110"/>
      <c r="CH106" s="110"/>
      <c r="CI106" s="110"/>
      <c r="CJ106" s="110"/>
      <c r="CK106" s="110"/>
      <c r="CL106" s="110"/>
      <c r="CM106" s="110"/>
      <c r="CN106" s="110"/>
      <c r="CO106" s="110"/>
      <c r="CP106" s="110"/>
      <c r="CQ106" s="110"/>
      <c r="CR106" s="110"/>
      <c r="CS106" s="110"/>
      <c r="CT106" s="110"/>
      <c r="CU106" s="110"/>
      <c r="CV106" s="110"/>
      <c r="CW106" s="110"/>
      <c r="CX106" s="110"/>
      <c r="CY106" s="110"/>
      <c r="CZ106" s="110"/>
      <c r="DA106" s="110"/>
      <c r="DB106" s="110"/>
      <c r="DC106" s="110"/>
      <c r="DD106" s="110"/>
      <c r="DE106" s="110"/>
      <c r="DF106" s="110"/>
      <c r="DG106" s="110"/>
      <c r="DH106" s="110"/>
      <c r="DI106" s="110"/>
      <c r="DJ106" s="110"/>
      <c r="DK106" s="110"/>
      <c r="DL106" s="110"/>
      <c r="DM106" s="110"/>
      <c r="DN106" s="110"/>
      <c r="DO106" s="110"/>
      <c r="DP106" s="110"/>
      <c r="DQ106" s="110"/>
      <c r="DR106" s="110"/>
      <c r="DS106" s="110"/>
      <c r="DT106" s="110"/>
      <c r="DU106" s="110"/>
      <c r="DV106" s="110"/>
      <c r="DW106" s="110"/>
      <c r="DX106" s="110"/>
      <c r="DY106" s="110"/>
      <c r="DZ106" s="110"/>
      <c r="EA106" s="110"/>
      <c r="EB106" s="110"/>
      <c r="EC106" s="110"/>
      <c r="ED106" s="110"/>
      <c r="EE106" s="110"/>
      <c r="EF106" s="110"/>
      <c r="EG106" s="110"/>
      <c r="EH106" s="110"/>
      <c r="EI106" s="110"/>
      <c r="EJ106" s="110"/>
      <c r="EK106" s="110"/>
      <c r="EL106" s="110"/>
      <c r="EM106" s="110"/>
      <c r="EN106" s="110"/>
      <c r="EO106" s="110"/>
      <c r="EP106" s="110"/>
      <c r="EQ106" s="110"/>
      <c r="ER106" s="110"/>
      <c r="ES106" s="110"/>
      <c r="ET106" s="110"/>
      <c r="EU106" s="110"/>
      <c r="EV106" s="110"/>
      <c r="EW106" s="110"/>
      <c r="EX106" s="110"/>
      <c r="EY106" s="110"/>
      <c r="EZ106" s="110"/>
      <c r="FA106" s="110"/>
      <c r="FB106" s="110"/>
      <c r="FC106" s="110"/>
      <c r="FD106" s="110"/>
      <c r="FE106" s="110"/>
      <c r="FF106" s="110"/>
      <c r="FG106" s="110"/>
      <c r="FH106" s="110"/>
      <c r="FI106" s="110"/>
      <c r="FJ106" s="110"/>
      <c r="FK106" s="110"/>
      <c r="FL106" s="110"/>
      <c r="FM106" s="110"/>
      <c r="FN106" s="110"/>
      <c r="FO106" s="110"/>
      <c r="FP106" s="110"/>
      <c r="FQ106" s="110"/>
      <c r="FR106" s="110"/>
      <c r="FS106" s="110"/>
      <c r="FT106" s="110"/>
      <c r="FU106" s="110"/>
      <c r="FV106" s="110"/>
      <c r="FW106" s="110"/>
      <c r="FX106" s="110"/>
      <c r="FY106" s="110"/>
      <c r="FZ106" s="110"/>
      <c r="GA106" s="110"/>
      <c r="GB106" s="110"/>
      <c r="GC106" s="110"/>
      <c r="GD106" s="110"/>
      <c r="GE106" s="110"/>
      <c r="GF106" s="110"/>
      <c r="GG106" s="110"/>
      <c r="GH106" s="110"/>
      <c r="GI106" s="110"/>
      <c r="GJ106" s="110"/>
      <c r="GK106" s="110"/>
      <c r="GL106" s="110"/>
      <c r="GM106" s="110"/>
      <c r="GN106" s="110"/>
      <c r="GO106" s="110"/>
      <c r="GP106" s="110"/>
      <c r="GQ106" s="110"/>
      <c r="GR106" s="110"/>
      <c r="GS106" s="110"/>
      <c r="GT106" s="110"/>
      <c r="GU106" s="110"/>
      <c r="GV106" s="110"/>
      <c r="GW106" s="110"/>
      <c r="GX106" s="110"/>
      <c r="GY106" s="110"/>
      <c r="GZ106" s="110"/>
      <c r="HA106" s="110"/>
      <c r="HB106" s="110"/>
      <c r="HC106" s="110"/>
      <c r="HD106" s="110"/>
      <c r="HE106" s="110"/>
      <c r="HF106" s="110"/>
      <c r="HG106" s="110"/>
      <c r="HH106" s="110"/>
      <c r="HI106" s="110"/>
      <c r="HJ106" s="110"/>
      <c r="HK106" s="110"/>
      <c r="HL106" s="110"/>
      <c r="HM106" s="110"/>
      <c r="HN106" s="110"/>
      <c r="HO106" s="110"/>
      <c r="HP106" s="110"/>
      <c r="HQ106" s="110"/>
      <c r="HR106" s="110"/>
      <c r="HS106" s="110"/>
      <c r="HT106" s="110"/>
      <c r="HU106" s="110"/>
      <c r="HV106" s="110"/>
      <c r="HW106" s="110"/>
      <c r="HX106" s="110"/>
      <c r="HY106" s="110"/>
      <c r="HZ106" s="110"/>
      <c r="IA106" s="110"/>
      <c r="IB106" s="110"/>
      <c r="IC106" s="110"/>
      <c r="ID106" s="110"/>
      <c r="IE106" s="110"/>
      <c r="IF106" s="110"/>
      <c r="IG106" s="110"/>
      <c r="IH106" s="110"/>
      <c r="II106" s="110"/>
      <c r="IJ106" s="110"/>
      <c r="IK106" s="110"/>
      <c r="IL106" s="110"/>
      <c r="IM106" s="110"/>
      <c r="IN106" s="110"/>
      <c r="IO106" s="110"/>
      <c r="IP106" s="110"/>
      <c r="IQ106" s="110"/>
      <c r="IR106" s="110"/>
      <c r="IS106" s="110"/>
      <c r="IT106" s="110"/>
      <c r="IU106" s="110"/>
      <c r="IV106" s="110"/>
      <c r="IW106" s="110"/>
    </row>
    <row r="107" spans="1:257" x14ac:dyDescent="0.3">
      <c r="A107" s="156"/>
      <c r="B107" s="156"/>
      <c r="C107" s="156"/>
      <c r="D107" s="156"/>
      <c r="E107" s="156"/>
      <c r="F107" s="156"/>
      <c r="G107" s="156"/>
      <c r="H107" s="156"/>
      <c r="I107" s="174"/>
      <c r="J107" s="156"/>
      <c r="K107" s="156"/>
      <c r="L107" s="156"/>
      <c r="M107" s="156"/>
      <c r="N107" s="156"/>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c r="BY107" s="110"/>
      <c r="BZ107" s="110"/>
      <c r="CA107" s="110"/>
      <c r="CB107" s="110"/>
      <c r="CC107" s="110"/>
      <c r="CD107" s="110"/>
      <c r="CE107" s="110"/>
      <c r="CF107" s="110"/>
      <c r="CG107" s="110"/>
      <c r="CH107" s="110"/>
      <c r="CI107" s="110"/>
      <c r="CJ107" s="110"/>
      <c r="CK107" s="110"/>
      <c r="CL107" s="110"/>
      <c r="CM107" s="110"/>
      <c r="CN107" s="110"/>
      <c r="CO107" s="110"/>
      <c r="CP107" s="110"/>
      <c r="CQ107" s="110"/>
      <c r="CR107" s="110"/>
      <c r="CS107" s="110"/>
      <c r="CT107" s="110"/>
      <c r="CU107" s="110"/>
      <c r="CV107" s="110"/>
      <c r="CW107" s="110"/>
      <c r="CX107" s="110"/>
      <c r="CY107" s="110"/>
      <c r="CZ107" s="110"/>
      <c r="DA107" s="110"/>
      <c r="DB107" s="110"/>
      <c r="DC107" s="110"/>
      <c r="DD107" s="110"/>
      <c r="DE107" s="110"/>
      <c r="DF107" s="110"/>
      <c r="DG107" s="110"/>
      <c r="DH107" s="110"/>
      <c r="DI107" s="110"/>
      <c r="DJ107" s="110"/>
      <c r="DK107" s="110"/>
      <c r="DL107" s="110"/>
      <c r="DM107" s="110"/>
      <c r="DN107" s="110"/>
      <c r="DO107" s="110"/>
      <c r="DP107" s="110"/>
      <c r="DQ107" s="110"/>
      <c r="DR107" s="110"/>
      <c r="DS107" s="110"/>
      <c r="DT107" s="110"/>
      <c r="DU107" s="110"/>
      <c r="DV107" s="110"/>
      <c r="DW107" s="110"/>
      <c r="DX107" s="110"/>
      <c r="DY107" s="110"/>
      <c r="DZ107" s="110"/>
      <c r="EA107" s="110"/>
      <c r="EB107" s="110"/>
      <c r="EC107" s="110"/>
      <c r="ED107" s="110"/>
      <c r="EE107" s="110"/>
      <c r="EF107" s="110"/>
      <c r="EG107" s="110"/>
      <c r="EH107" s="110"/>
      <c r="EI107" s="110"/>
      <c r="EJ107" s="110"/>
      <c r="EK107" s="110"/>
      <c r="EL107" s="110"/>
      <c r="EM107" s="110"/>
      <c r="EN107" s="110"/>
      <c r="EO107" s="110"/>
      <c r="EP107" s="110"/>
      <c r="EQ107" s="110"/>
      <c r="ER107" s="110"/>
      <c r="ES107" s="110"/>
      <c r="ET107" s="110"/>
      <c r="EU107" s="110"/>
      <c r="EV107" s="110"/>
      <c r="EW107" s="110"/>
      <c r="EX107" s="110"/>
      <c r="EY107" s="110"/>
      <c r="EZ107" s="110"/>
      <c r="FA107" s="110"/>
      <c r="FB107" s="110"/>
      <c r="FC107" s="110"/>
      <c r="FD107" s="110"/>
      <c r="FE107" s="110"/>
      <c r="FF107" s="110"/>
      <c r="FG107" s="110"/>
      <c r="FH107" s="110"/>
      <c r="FI107" s="110"/>
      <c r="FJ107" s="110"/>
      <c r="FK107" s="110"/>
      <c r="FL107" s="110"/>
      <c r="FM107" s="110"/>
      <c r="FN107" s="110"/>
      <c r="FO107" s="110"/>
      <c r="FP107" s="110"/>
      <c r="FQ107" s="110"/>
      <c r="FR107" s="110"/>
      <c r="FS107" s="110"/>
      <c r="FT107" s="110"/>
      <c r="FU107" s="110"/>
      <c r="FV107" s="110"/>
      <c r="FW107" s="110"/>
      <c r="FX107" s="110"/>
      <c r="FY107" s="110"/>
      <c r="FZ107" s="110"/>
      <c r="GA107" s="110"/>
      <c r="GB107" s="110"/>
      <c r="GC107" s="110"/>
      <c r="GD107" s="110"/>
      <c r="GE107" s="110"/>
      <c r="GF107" s="110"/>
      <c r="GG107" s="110"/>
      <c r="GH107" s="110"/>
      <c r="GI107" s="110"/>
      <c r="GJ107" s="110"/>
      <c r="GK107" s="110"/>
      <c r="GL107" s="110"/>
      <c r="GM107" s="110"/>
      <c r="GN107" s="110"/>
      <c r="GO107" s="110"/>
      <c r="GP107" s="110"/>
      <c r="GQ107" s="110"/>
      <c r="GR107" s="110"/>
      <c r="GS107" s="110"/>
      <c r="GT107" s="110"/>
      <c r="GU107" s="110"/>
      <c r="GV107" s="110"/>
      <c r="GW107" s="110"/>
      <c r="GX107" s="110"/>
      <c r="GY107" s="110"/>
      <c r="GZ107" s="110"/>
      <c r="HA107" s="110"/>
      <c r="HB107" s="110"/>
      <c r="HC107" s="110"/>
      <c r="HD107" s="110"/>
      <c r="HE107" s="110"/>
      <c r="HF107" s="110"/>
      <c r="HG107" s="110"/>
      <c r="HH107" s="110"/>
      <c r="HI107" s="110"/>
      <c r="HJ107" s="110"/>
      <c r="HK107" s="110"/>
      <c r="HL107" s="110"/>
      <c r="HM107" s="110"/>
      <c r="HN107" s="110"/>
      <c r="HO107" s="110"/>
      <c r="HP107" s="110"/>
      <c r="HQ107" s="110"/>
      <c r="HR107" s="110"/>
      <c r="HS107" s="110"/>
      <c r="HT107" s="110"/>
      <c r="HU107" s="110"/>
      <c r="HV107" s="110"/>
      <c r="HW107" s="110"/>
      <c r="HX107" s="110"/>
      <c r="HY107" s="110"/>
      <c r="HZ107" s="110"/>
      <c r="IA107" s="110"/>
      <c r="IB107" s="110"/>
      <c r="IC107" s="110"/>
      <c r="ID107" s="110"/>
      <c r="IE107" s="110"/>
      <c r="IF107" s="110"/>
      <c r="IG107" s="110"/>
      <c r="IH107" s="110"/>
      <c r="II107" s="110"/>
      <c r="IJ107" s="110"/>
      <c r="IK107" s="110"/>
      <c r="IL107" s="110"/>
      <c r="IM107" s="110"/>
      <c r="IN107" s="110"/>
      <c r="IO107" s="110"/>
      <c r="IP107" s="110"/>
      <c r="IQ107" s="110"/>
      <c r="IR107" s="110"/>
      <c r="IS107" s="110"/>
      <c r="IT107" s="110"/>
      <c r="IU107" s="110"/>
      <c r="IV107" s="110"/>
      <c r="IW107" s="110"/>
    </row>
    <row r="108" spans="1:257" x14ac:dyDescent="0.3">
      <c r="A108" s="156"/>
      <c r="B108" s="156"/>
      <c r="C108" s="156"/>
      <c r="D108" s="156"/>
      <c r="E108" s="156"/>
      <c r="F108" s="156"/>
      <c r="G108" s="156"/>
      <c r="H108" s="156"/>
      <c r="I108" s="174"/>
      <c r="J108" s="156"/>
      <c r="K108" s="156"/>
      <c r="L108" s="156"/>
      <c r="M108" s="156"/>
      <c r="N108" s="156"/>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c r="BY108" s="110"/>
      <c r="BZ108" s="110"/>
      <c r="CA108" s="110"/>
      <c r="CB108" s="110"/>
      <c r="CC108" s="110"/>
      <c r="CD108" s="110"/>
      <c r="CE108" s="110"/>
      <c r="CF108" s="110"/>
      <c r="CG108" s="110"/>
      <c r="CH108" s="110"/>
      <c r="CI108" s="110"/>
      <c r="CJ108" s="110"/>
      <c r="CK108" s="110"/>
      <c r="CL108" s="110"/>
      <c r="CM108" s="110"/>
      <c r="CN108" s="110"/>
      <c r="CO108" s="110"/>
      <c r="CP108" s="110"/>
      <c r="CQ108" s="110"/>
      <c r="CR108" s="110"/>
      <c r="CS108" s="110"/>
      <c r="CT108" s="110"/>
      <c r="CU108" s="110"/>
      <c r="CV108" s="110"/>
      <c r="CW108" s="110"/>
      <c r="CX108" s="110"/>
      <c r="CY108" s="110"/>
      <c r="CZ108" s="110"/>
      <c r="DA108" s="110"/>
      <c r="DB108" s="110"/>
      <c r="DC108" s="110"/>
      <c r="DD108" s="110"/>
      <c r="DE108" s="110"/>
      <c r="DF108" s="110"/>
      <c r="DG108" s="110"/>
      <c r="DH108" s="110"/>
      <c r="DI108" s="110"/>
      <c r="DJ108" s="110"/>
      <c r="DK108" s="110"/>
      <c r="DL108" s="110"/>
      <c r="DM108" s="110"/>
      <c r="DN108" s="110"/>
      <c r="DO108" s="110"/>
      <c r="DP108" s="110"/>
      <c r="DQ108" s="110"/>
      <c r="DR108" s="110"/>
      <c r="DS108" s="110"/>
      <c r="DT108" s="110"/>
      <c r="DU108" s="110"/>
      <c r="DV108" s="110"/>
      <c r="DW108" s="110"/>
      <c r="DX108" s="110"/>
      <c r="DY108" s="110"/>
      <c r="DZ108" s="110"/>
      <c r="EA108" s="110"/>
      <c r="EB108" s="110"/>
      <c r="EC108" s="110"/>
      <c r="ED108" s="110"/>
      <c r="EE108" s="110"/>
      <c r="EF108" s="110"/>
      <c r="EG108" s="110"/>
      <c r="EH108" s="110"/>
      <c r="EI108" s="110"/>
      <c r="EJ108" s="110"/>
      <c r="EK108" s="110"/>
      <c r="EL108" s="110"/>
      <c r="EM108" s="110"/>
      <c r="EN108" s="110"/>
      <c r="EO108" s="110"/>
      <c r="EP108" s="110"/>
      <c r="EQ108" s="110"/>
      <c r="ER108" s="110"/>
      <c r="ES108" s="110"/>
      <c r="ET108" s="110"/>
      <c r="EU108" s="110"/>
      <c r="EV108" s="110"/>
      <c r="EW108" s="110"/>
      <c r="EX108" s="110"/>
      <c r="EY108" s="110"/>
      <c r="EZ108" s="110"/>
      <c r="FA108" s="110"/>
      <c r="FB108" s="110"/>
      <c r="FC108" s="110"/>
      <c r="FD108" s="110"/>
      <c r="FE108" s="110"/>
      <c r="FF108" s="110"/>
      <c r="FG108" s="110"/>
      <c r="FH108" s="110"/>
      <c r="FI108" s="110"/>
      <c r="FJ108" s="110"/>
      <c r="FK108" s="110"/>
      <c r="FL108" s="110"/>
      <c r="FM108" s="110"/>
      <c r="FN108" s="110"/>
      <c r="FO108" s="110"/>
      <c r="FP108" s="110"/>
      <c r="FQ108" s="110"/>
      <c r="FR108" s="110"/>
      <c r="FS108" s="110"/>
      <c r="FT108" s="110"/>
      <c r="FU108" s="110"/>
      <c r="FV108" s="110"/>
      <c r="FW108" s="110"/>
      <c r="FX108" s="110"/>
      <c r="FY108" s="110"/>
      <c r="FZ108" s="110"/>
      <c r="GA108" s="110"/>
      <c r="GB108" s="110"/>
      <c r="GC108" s="110"/>
      <c r="GD108" s="110"/>
      <c r="GE108" s="110"/>
      <c r="GF108" s="110"/>
      <c r="GG108" s="110"/>
      <c r="GH108" s="110"/>
      <c r="GI108" s="110"/>
      <c r="GJ108" s="110"/>
      <c r="GK108" s="110"/>
      <c r="GL108" s="110"/>
      <c r="GM108" s="110"/>
      <c r="GN108" s="110"/>
      <c r="GO108" s="110"/>
      <c r="GP108" s="110"/>
      <c r="GQ108" s="110"/>
      <c r="GR108" s="110"/>
      <c r="GS108" s="110"/>
      <c r="GT108" s="110"/>
      <c r="GU108" s="110"/>
      <c r="GV108" s="110"/>
      <c r="GW108" s="110"/>
      <c r="GX108" s="110"/>
      <c r="GY108" s="110"/>
      <c r="GZ108" s="110"/>
      <c r="HA108" s="110"/>
      <c r="HB108" s="110"/>
      <c r="HC108" s="110"/>
      <c r="HD108" s="110"/>
      <c r="HE108" s="110"/>
      <c r="HF108" s="110"/>
      <c r="HG108" s="110"/>
      <c r="HH108" s="110"/>
      <c r="HI108" s="110"/>
      <c r="HJ108" s="110"/>
      <c r="HK108" s="110"/>
      <c r="HL108" s="110"/>
      <c r="HM108" s="110"/>
      <c r="HN108" s="110"/>
      <c r="HO108" s="110"/>
      <c r="HP108" s="110"/>
      <c r="HQ108" s="110"/>
      <c r="HR108" s="110"/>
      <c r="HS108" s="110"/>
      <c r="HT108" s="110"/>
      <c r="HU108" s="110"/>
      <c r="HV108" s="110"/>
      <c r="HW108" s="110"/>
      <c r="HX108" s="110"/>
      <c r="HY108" s="110"/>
      <c r="HZ108" s="110"/>
      <c r="IA108" s="110"/>
      <c r="IB108" s="110"/>
      <c r="IC108" s="110"/>
      <c r="ID108" s="110"/>
      <c r="IE108" s="110"/>
      <c r="IF108" s="110"/>
      <c r="IG108" s="110"/>
      <c r="IH108" s="110"/>
      <c r="II108" s="110"/>
      <c r="IJ108" s="110"/>
      <c r="IK108" s="110"/>
      <c r="IL108" s="110"/>
      <c r="IM108" s="110"/>
      <c r="IN108" s="110"/>
      <c r="IO108" s="110"/>
      <c r="IP108" s="110"/>
      <c r="IQ108" s="110"/>
      <c r="IR108" s="110"/>
      <c r="IS108" s="110"/>
      <c r="IT108" s="110"/>
      <c r="IU108" s="110"/>
      <c r="IV108" s="110"/>
      <c r="IW108" s="110"/>
    </row>
    <row r="109" spans="1:257" x14ac:dyDescent="0.3">
      <c r="A109" s="156"/>
      <c r="B109" s="156"/>
      <c r="C109" s="156"/>
      <c r="D109" s="156"/>
      <c r="E109" s="156"/>
      <c r="F109" s="156"/>
      <c r="G109" s="156"/>
      <c r="H109" s="156"/>
      <c r="I109" s="174"/>
      <c r="J109" s="156"/>
      <c r="K109" s="156"/>
      <c r="L109" s="156"/>
      <c r="M109" s="156"/>
      <c r="N109" s="156"/>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c r="BY109" s="110"/>
      <c r="BZ109" s="110"/>
      <c r="CA109" s="110"/>
      <c r="CB109" s="110"/>
      <c r="CC109" s="110"/>
      <c r="CD109" s="110"/>
      <c r="CE109" s="110"/>
      <c r="CF109" s="110"/>
      <c r="CG109" s="110"/>
      <c r="CH109" s="110"/>
      <c r="CI109" s="110"/>
      <c r="CJ109" s="110"/>
      <c r="CK109" s="110"/>
      <c r="CL109" s="110"/>
      <c r="CM109" s="110"/>
      <c r="CN109" s="110"/>
      <c r="CO109" s="110"/>
      <c r="CP109" s="110"/>
      <c r="CQ109" s="110"/>
      <c r="CR109" s="110"/>
      <c r="CS109" s="110"/>
      <c r="CT109" s="110"/>
      <c r="CU109" s="110"/>
      <c r="CV109" s="110"/>
      <c r="CW109" s="110"/>
      <c r="CX109" s="110"/>
      <c r="CY109" s="110"/>
      <c r="CZ109" s="110"/>
      <c r="DA109" s="110"/>
      <c r="DB109" s="110"/>
      <c r="DC109" s="110"/>
      <c r="DD109" s="110"/>
      <c r="DE109" s="110"/>
      <c r="DF109" s="110"/>
      <c r="DG109" s="110"/>
      <c r="DH109" s="110"/>
      <c r="DI109" s="110"/>
      <c r="DJ109" s="110"/>
      <c r="DK109" s="110"/>
      <c r="DL109" s="110"/>
      <c r="DM109" s="110"/>
      <c r="DN109" s="110"/>
      <c r="DO109" s="110"/>
      <c r="DP109" s="110"/>
      <c r="DQ109" s="110"/>
      <c r="DR109" s="110"/>
      <c r="DS109" s="110"/>
      <c r="DT109" s="110"/>
      <c r="DU109" s="110"/>
      <c r="DV109" s="110"/>
      <c r="DW109" s="110"/>
      <c r="DX109" s="110"/>
      <c r="DY109" s="110"/>
      <c r="DZ109" s="110"/>
      <c r="EA109" s="110"/>
      <c r="EB109" s="110"/>
      <c r="EC109" s="110"/>
      <c r="ED109" s="110"/>
      <c r="EE109" s="110"/>
      <c r="EF109" s="110"/>
      <c r="EG109" s="110"/>
      <c r="EH109" s="110"/>
      <c r="EI109" s="110"/>
      <c r="EJ109" s="110"/>
      <c r="EK109" s="110"/>
      <c r="EL109" s="110"/>
      <c r="EM109" s="110"/>
      <c r="EN109" s="110"/>
      <c r="EO109" s="110"/>
      <c r="EP109" s="110"/>
      <c r="EQ109" s="110"/>
      <c r="ER109" s="110"/>
      <c r="ES109" s="110"/>
      <c r="ET109" s="110"/>
      <c r="EU109" s="110"/>
      <c r="EV109" s="110"/>
      <c r="EW109" s="110"/>
      <c r="EX109" s="110"/>
      <c r="EY109" s="110"/>
      <c r="EZ109" s="110"/>
      <c r="FA109" s="110"/>
      <c r="FB109" s="110"/>
      <c r="FC109" s="110"/>
      <c r="FD109" s="110"/>
      <c r="FE109" s="110"/>
      <c r="FF109" s="110"/>
      <c r="FG109" s="110"/>
      <c r="FH109" s="110"/>
      <c r="FI109" s="110"/>
      <c r="FJ109" s="110"/>
      <c r="FK109" s="110"/>
      <c r="FL109" s="110"/>
      <c r="FM109" s="110"/>
      <c r="FN109" s="110"/>
      <c r="FO109" s="110"/>
      <c r="FP109" s="110"/>
      <c r="FQ109" s="110"/>
      <c r="FR109" s="110"/>
      <c r="FS109" s="110"/>
      <c r="FT109" s="110"/>
      <c r="FU109" s="110"/>
      <c r="FV109" s="110"/>
      <c r="FW109" s="110"/>
      <c r="FX109" s="110"/>
      <c r="FY109" s="110"/>
      <c r="FZ109" s="110"/>
      <c r="GA109" s="110"/>
      <c r="GB109" s="110"/>
      <c r="GC109" s="110"/>
      <c r="GD109" s="110"/>
      <c r="GE109" s="110"/>
      <c r="GF109" s="110"/>
      <c r="GG109" s="110"/>
      <c r="GH109" s="110"/>
      <c r="GI109" s="110"/>
      <c r="GJ109" s="110"/>
      <c r="GK109" s="110"/>
      <c r="GL109" s="110"/>
      <c r="GM109" s="110"/>
      <c r="GN109" s="110"/>
      <c r="GO109" s="110"/>
      <c r="GP109" s="110"/>
      <c r="GQ109" s="110"/>
      <c r="GR109" s="110"/>
      <c r="GS109" s="110"/>
      <c r="GT109" s="110"/>
      <c r="GU109" s="110"/>
      <c r="GV109" s="110"/>
      <c r="GW109" s="110"/>
      <c r="GX109" s="110"/>
      <c r="GY109" s="110"/>
      <c r="GZ109" s="110"/>
      <c r="HA109" s="110"/>
      <c r="HB109" s="110"/>
      <c r="HC109" s="110"/>
      <c r="HD109" s="110"/>
      <c r="HE109" s="110"/>
      <c r="HF109" s="110"/>
      <c r="HG109" s="110"/>
      <c r="HH109" s="110"/>
      <c r="HI109" s="110"/>
      <c r="HJ109" s="110"/>
      <c r="HK109" s="110"/>
      <c r="HL109" s="110"/>
      <c r="HM109" s="110"/>
      <c r="HN109" s="110"/>
      <c r="HO109" s="110"/>
      <c r="HP109" s="110"/>
      <c r="HQ109" s="110"/>
      <c r="HR109" s="110"/>
      <c r="HS109" s="110"/>
      <c r="HT109" s="110"/>
      <c r="HU109" s="110"/>
      <c r="HV109" s="110"/>
      <c r="HW109" s="110"/>
      <c r="HX109" s="110"/>
      <c r="HY109" s="110"/>
      <c r="HZ109" s="110"/>
      <c r="IA109" s="110"/>
      <c r="IB109" s="110"/>
      <c r="IC109" s="110"/>
      <c r="ID109" s="110"/>
      <c r="IE109" s="110"/>
      <c r="IF109" s="110"/>
      <c r="IG109" s="110"/>
      <c r="IH109" s="110"/>
      <c r="II109" s="110"/>
      <c r="IJ109" s="110"/>
      <c r="IK109" s="110"/>
      <c r="IL109" s="110"/>
      <c r="IM109" s="110"/>
      <c r="IN109" s="110"/>
      <c r="IO109" s="110"/>
      <c r="IP109" s="110"/>
      <c r="IQ109" s="110"/>
      <c r="IR109" s="110"/>
      <c r="IS109" s="110"/>
      <c r="IT109" s="110"/>
      <c r="IU109" s="110"/>
      <c r="IV109" s="110"/>
      <c r="IW109" s="110"/>
    </row>
    <row r="110" spans="1:257" x14ac:dyDescent="0.3">
      <c r="A110" s="156"/>
      <c r="B110" s="156"/>
      <c r="C110" s="156"/>
      <c r="D110" s="156"/>
      <c r="E110" s="156"/>
      <c r="F110" s="156"/>
      <c r="G110" s="156"/>
      <c r="H110" s="156"/>
      <c r="I110" s="174"/>
      <c r="J110" s="156"/>
      <c r="K110" s="156"/>
      <c r="L110" s="156"/>
      <c r="M110" s="156"/>
      <c r="N110" s="156"/>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c r="BY110" s="110"/>
      <c r="BZ110" s="110"/>
      <c r="CA110" s="110"/>
      <c r="CB110" s="110"/>
      <c r="CC110" s="110"/>
      <c r="CD110" s="110"/>
      <c r="CE110" s="110"/>
      <c r="CF110" s="110"/>
      <c r="CG110" s="110"/>
      <c r="CH110" s="110"/>
      <c r="CI110" s="110"/>
      <c r="CJ110" s="110"/>
      <c r="CK110" s="110"/>
      <c r="CL110" s="110"/>
      <c r="CM110" s="110"/>
      <c r="CN110" s="110"/>
      <c r="CO110" s="110"/>
      <c r="CP110" s="110"/>
      <c r="CQ110" s="110"/>
      <c r="CR110" s="110"/>
      <c r="CS110" s="110"/>
      <c r="CT110" s="110"/>
      <c r="CU110" s="110"/>
      <c r="CV110" s="110"/>
      <c r="CW110" s="110"/>
      <c r="CX110" s="110"/>
      <c r="CY110" s="110"/>
      <c r="CZ110" s="110"/>
      <c r="DA110" s="110"/>
      <c r="DB110" s="110"/>
      <c r="DC110" s="110"/>
      <c r="DD110" s="110"/>
      <c r="DE110" s="110"/>
      <c r="DF110" s="110"/>
      <c r="DG110" s="110"/>
      <c r="DH110" s="110"/>
      <c r="DI110" s="110"/>
      <c r="DJ110" s="110"/>
      <c r="DK110" s="110"/>
      <c r="DL110" s="110"/>
      <c r="DM110" s="110"/>
      <c r="DN110" s="110"/>
      <c r="DO110" s="110"/>
      <c r="DP110" s="110"/>
      <c r="DQ110" s="110"/>
      <c r="DR110" s="110"/>
      <c r="DS110" s="110"/>
      <c r="DT110" s="110"/>
      <c r="DU110" s="110"/>
      <c r="DV110" s="110"/>
      <c r="DW110" s="110"/>
      <c r="DX110" s="110"/>
      <c r="DY110" s="110"/>
      <c r="DZ110" s="110"/>
      <c r="EA110" s="110"/>
      <c r="EB110" s="110"/>
      <c r="EC110" s="110"/>
      <c r="ED110" s="110"/>
      <c r="EE110" s="110"/>
      <c r="EF110" s="110"/>
      <c r="EG110" s="110"/>
      <c r="EH110" s="110"/>
      <c r="EI110" s="110"/>
      <c r="EJ110" s="110"/>
      <c r="EK110" s="110"/>
      <c r="EL110" s="110"/>
      <c r="EM110" s="110"/>
      <c r="EN110" s="110"/>
      <c r="EO110" s="110"/>
      <c r="EP110" s="110"/>
      <c r="EQ110" s="110"/>
      <c r="ER110" s="110"/>
      <c r="ES110" s="110"/>
      <c r="ET110" s="110"/>
      <c r="EU110" s="110"/>
      <c r="EV110" s="110"/>
      <c r="EW110" s="110"/>
      <c r="EX110" s="110"/>
      <c r="EY110" s="110"/>
      <c r="EZ110" s="110"/>
      <c r="FA110" s="110"/>
      <c r="FB110" s="110"/>
      <c r="FC110" s="110"/>
      <c r="FD110" s="110"/>
      <c r="FE110" s="110"/>
      <c r="FF110" s="110"/>
      <c r="FG110" s="110"/>
      <c r="FH110" s="110"/>
      <c r="FI110" s="110"/>
      <c r="FJ110" s="110"/>
      <c r="FK110" s="110"/>
      <c r="FL110" s="110"/>
      <c r="FM110" s="110"/>
      <c r="FN110" s="110"/>
      <c r="FO110" s="110"/>
      <c r="FP110" s="110"/>
      <c r="FQ110" s="110"/>
      <c r="FR110" s="110"/>
      <c r="FS110" s="110"/>
      <c r="FT110" s="110"/>
      <c r="FU110" s="110"/>
      <c r="FV110" s="110"/>
      <c r="FW110" s="110"/>
      <c r="FX110" s="110"/>
      <c r="FY110" s="110"/>
      <c r="FZ110" s="110"/>
      <c r="GA110" s="110"/>
      <c r="GB110" s="110"/>
      <c r="GC110" s="110"/>
      <c r="GD110" s="110"/>
      <c r="GE110" s="110"/>
      <c r="GF110" s="110"/>
      <c r="GG110" s="110"/>
      <c r="GH110" s="110"/>
      <c r="GI110" s="110"/>
      <c r="GJ110" s="110"/>
      <c r="GK110" s="110"/>
      <c r="GL110" s="110"/>
      <c r="GM110" s="110"/>
      <c r="GN110" s="110"/>
      <c r="GO110" s="110"/>
      <c r="GP110" s="110"/>
      <c r="GQ110" s="110"/>
      <c r="GR110" s="110"/>
      <c r="GS110" s="110"/>
      <c r="GT110" s="110"/>
      <c r="GU110" s="110"/>
      <c r="GV110" s="110"/>
      <c r="GW110" s="110"/>
      <c r="GX110" s="110"/>
      <c r="GY110" s="110"/>
      <c r="GZ110" s="110"/>
      <c r="HA110" s="110"/>
      <c r="HB110" s="110"/>
      <c r="HC110" s="110"/>
      <c r="HD110" s="110"/>
      <c r="HE110" s="110"/>
      <c r="HF110" s="110"/>
      <c r="HG110" s="110"/>
      <c r="HH110" s="110"/>
      <c r="HI110" s="110"/>
      <c r="HJ110" s="110"/>
      <c r="HK110" s="110"/>
      <c r="HL110" s="110"/>
      <c r="HM110" s="110"/>
      <c r="HN110" s="110"/>
      <c r="HO110" s="110"/>
      <c r="HP110" s="110"/>
      <c r="HQ110" s="110"/>
      <c r="HR110" s="110"/>
      <c r="HS110" s="110"/>
      <c r="HT110" s="110"/>
      <c r="HU110" s="110"/>
      <c r="HV110" s="110"/>
      <c r="HW110" s="110"/>
      <c r="HX110" s="110"/>
      <c r="HY110" s="110"/>
      <c r="HZ110" s="110"/>
      <c r="IA110" s="110"/>
      <c r="IB110" s="110"/>
      <c r="IC110" s="110"/>
      <c r="ID110" s="110"/>
      <c r="IE110" s="110"/>
      <c r="IF110" s="110"/>
      <c r="IG110" s="110"/>
      <c r="IH110" s="110"/>
      <c r="II110" s="110"/>
      <c r="IJ110" s="110"/>
      <c r="IK110" s="110"/>
      <c r="IL110" s="110"/>
      <c r="IM110" s="110"/>
      <c r="IN110" s="110"/>
      <c r="IO110" s="110"/>
      <c r="IP110" s="110"/>
      <c r="IQ110" s="110"/>
      <c r="IR110" s="110"/>
      <c r="IS110" s="110"/>
      <c r="IT110" s="110"/>
      <c r="IU110" s="110"/>
      <c r="IV110" s="110"/>
      <c r="IW110" s="110"/>
    </row>
    <row r="111" spans="1:257" x14ac:dyDescent="0.3">
      <c r="A111" s="156"/>
      <c r="B111" s="156"/>
      <c r="C111" s="156"/>
      <c r="D111" s="156"/>
      <c r="E111" s="156"/>
      <c r="F111" s="156"/>
      <c r="G111" s="156"/>
      <c r="H111" s="156"/>
      <c r="I111" s="174"/>
      <c r="J111" s="156"/>
      <c r="K111" s="156"/>
      <c r="L111" s="156"/>
      <c r="M111" s="156"/>
      <c r="N111" s="156"/>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c r="BY111" s="110"/>
      <c r="BZ111" s="110"/>
      <c r="CA111" s="110"/>
      <c r="CB111" s="110"/>
      <c r="CC111" s="110"/>
      <c r="CD111" s="110"/>
      <c r="CE111" s="110"/>
      <c r="CF111" s="110"/>
      <c r="CG111" s="110"/>
      <c r="CH111" s="110"/>
      <c r="CI111" s="110"/>
      <c r="CJ111" s="110"/>
      <c r="CK111" s="110"/>
      <c r="CL111" s="110"/>
      <c r="CM111" s="110"/>
      <c r="CN111" s="110"/>
      <c r="CO111" s="110"/>
      <c r="CP111" s="110"/>
      <c r="CQ111" s="110"/>
      <c r="CR111" s="110"/>
      <c r="CS111" s="110"/>
      <c r="CT111" s="110"/>
      <c r="CU111" s="110"/>
      <c r="CV111" s="110"/>
      <c r="CW111" s="110"/>
      <c r="CX111" s="110"/>
      <c r="CY111" s="110"/>
      <c r="CZ111" s="110"/>
      <c r="DA111" s="110"/>
      <c r="DB111" s="110"/>
      <c r="DC111" s="110"/>
      <c r="DD111" s="110"/>
      <c r="DE111" s="110"/>
      <c r="DF111" s="110"/>
      <c r="DG111" s="110"/>
      <c r="DH111" s="110"/>
      <c r="DI111" s="110"/>
      <c r="DJ111" s="110"/>
      <c r="DK111" s="110"/>
      <c r="DL111" s="110"/>
      <c r="DM111" s="110"/>
      <c r="DN111" s="110"/>
      <c r="DO111" s="110"/>
      <c r="DP111" s="110"/>
      <c r="DQ111" s="110"/>
      <c r="DR111" s="110"/>
      <c r="DS111" s="110"/>
      <c r="DT111" s="110"/>
      <c r="DU111" s="110"/>
      <c r="DV111" s="110"/>
      <c r="DW111" s="110"/>
      <c r="DX111" s="110"/>
      <c r="DY111" s="110"/>
      <c r="DZ111" s="110"/>
      <c r="EA111" s="110"/>
      <c r="EB111" s="110"/>
      <c r="EC111" s="110"/>
      <c r="ED111" s="110"/>
      <c r="EE111" s="110"/>
      <c r="EF111" s="110"/>
      <c r="EG111" s="110"/>
      <c r="EH111" s="110"/>
      <c r="EI111" s="110"/>
      <c r="EJ111" s="110"/>
      <c r="EK111" s="110"/>
      <c r="EL111" s="110"/>
      <c r="EM111" s="110"/>
      <c r="EN111" s="110"/>
      <c r="EO111" s="110"/>
      <c r="EP111" s="110"/>
      <c r="EQ111" s="110"/>
      <c r="ER111" s="110"/>
      <c r="ES111" s="110"/>
      <c r="ET111" s="110"/>
      <c r="EU111" s="110"/>
      <c r="EV111" s="110"/>
      <c r="EW111" s="110"/>
      <c r="EX111" s="110"/>
      <c r="EY111" s="110"/>
      <c r="EZ111" s="110"/>
      <c r="FA111" s="110"/>
      <c r="FB111" s="110"/>
      <c r="FC111" s="110"/>
      <c r="FD111" s="110"/>
      <c r="FE111" s="110"/>
      <c r="FF111" s="110"/>
      <c r="FG111" s="110"/>
      <c r="FH111" s="110"/>
      <c r="FI111" s="110"/>
      <c r="FJ111" s="110"/>
      <c r="FK111" s="110"/>
      <c r="FL111" s="110"/>
      <c r="FM111" s="110"/>
      <c r="FN111" s="110"/>
      <c r="FO111" s="110"/>
      <c r="FP111" s="110"/>
      <c r="FQ111" s="110"/>
      <c r="FR111" s="110"/>
      <c r="FS111" s="110"/>
      <c r="FT111" s="110"/>
      <c r="FU111" s="110"/>
      <c r="FV111" s="110"/>
      <c r="FW111" s="110"/>
      <c r="FX111" s="110"/>
      <c r="FY111" s="110"/>
      <c r="FZ111" s="110"/>
      <c r="GA111" s="110"/>
      <c r="GB111" s="110"/>
      <c r="GC111" s="110"/>
      <c r="GD111" s="110"/>
      <c r="GE111" s="110"/>
      <c r="GF111" s="110"/>
      <c r="GG111" s="110"/>
      <c r="GH111" s="110"/>
      <c r="GI111" s="110"/>
      <c r="GJ111" s="110"/>
      <c r="GK111" s="110"/>
      <c r="GL111" s="110"/>
      <c r="GM111" s="110"/>
      <c r="GN111" s="110"/>
      <c r="GO111" s="110"/>
      <c r="GP111" s="110"/>
      <c r="GQ111" s="110"/>
      <c r="GR111" s="110"/>
      <c r="GS111" s="110"/>
      <c r="GT111" s="110"/>
      <c r="GU111" s="110"/>
      <c r="GV111" s="110"/>
      <c r="GW111" s="110"/>
      <c r="GX111" s="110"/>
      <c r="GY111" s="110"/>
      <c r="GZ111" s="110"/>
      <c r="HA111" s="110"/>
      <c r="HB111" s="110"/>
      <c r="HC111" s="110"/>
      <c r="HD111" s="110"/>
      <c r="HE111" s="110"/>
      <c r="HF111" s="110"/>
      <c r="HG111" s="110"/>
      <c r="HH111" s="110"/>
      <c r="HI111" s="110"/>
      <c r="HJ111" s="110"/>
      <c r="HK111" s="110"/>
      <c r="HL111" s="110"/>
      <c r="HM111" s="110"/>
      <c r="HN111" s="110"/>
      <c r="HO111" s="110"/>
      <c r="HP111" s="110"/>
      <c r="HQ111" s="110"/>
      <c r="HR111" s="110"/>
      <c r="HS111" s="110"/>
      <c r="HT111" s="110"/>
      <c r="HU111" s="110"/>
      <c r="HV111" s="110"/>
      <c r="HW111" s="110"/>
      <c r="HX111" s="110"/>
      <c r="HY111" s="110"/>
      <c r="HZ111" s="110"/>
      <c r="IA111" s="110"/>
      <c r="IB111" s="110"/>
      <c r="IC111" s="110"/>
      <c r="ID111" s="110"/>
      <c r="IE111" s="110"/>
      <c r="IF111" s="110"/>
      <c r="IG111" s="110"/>
      <c r="IH111" s="110"/>
      <c r="II111" s="110"/>
      <c r="IJ111" s="110"/>
      <c r="IK111" s="110"/>
      <c r="IL111" s="110"/>
      <c r="IM111" s="110"/>
      <c r="IN111" s="110"/>
      <c r="IO111" s="110"/>
      <c r="IP111" s="110"/>
      <c r="IQ111" s="110"/>
      <c r="IR111" s="110"/>
      <c r="IS111" s="110"/>
      <c r="IT111" s="110"/>
      <c r="IU111" s="110"/>
      <c r="IV111" s="110"/>
      <c r="IW111" s="110"/>
    </row>
    <row r="112" spans="1:257" x14ac:dyDescent="0.3">
      <c r="A112" s="156"/>
      <c r="B112" s="156"/>
      <c r="C112" s="156"/>
      <c r="D112" s="156"/>
      <c r="E112" s="156"/>
      <c r="F112" s="156"/>
      <c r="G112" s="156"/>
      <c r="H112" s="156"/>
      <c r="I112" s="174"/>
      <c r="J112" s="156"/>
      <c r="K112" s="156"/>
      <c r="L112" s="156"/>
      <c r="M112" s="156"/>
      <c r="N112" s="156"/>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c r="BY112" s="110"/>
      <c r="BZ112" s="110"/>
      <c r="CA112" s="110"/>
      <c r="CB112" s="110"/>
      <c r="CC112" s="110"/>
      <c r="CD112" s="110"/>
      <c r="CE112" s="110"/>
      <c r="CF112" s="110"/>
      <c r="CG112" s="110"/>
      <c r="CH112" s="110"/>
      <c r="CI112" s="110"/>
      <c r="CJ112" s="110"/>
      <c r="CK112" s="110"/>
      <c r="CL112" s="110"/>
      <c r="CM112" s="110"/>
      <c r="CN112" s="110"/>
      <c r="CO112" s="110"/>
      <c r="CP112" s="110"/>
      <c r="CQ112" s="110"/>
      <c r="CR112" s="110"/>
      <c r="CS112" s="110"/>
      <c r="CT112" s="110"/>
      <c r="CU112" s="110"/>
      <c r="CV112" s="110"/>
      <c r="CW112" s="110"/>
      <c r="CX112" s="110"/>
      <c r="CY112" s="110"/>
      <c r="CZ112" s="110"/>
      <c r="DA112" s="110"/>
      <c r="DB112" s="110"/>
      <c r="DC112" s="110"/>
      <c r="DD112" s="110"/>
      <c r="DE112" s="110"/>
      <c r="DF112" s="110"/>
      <c r="DG112" s="110"/>
      <c r="DH112" s="110"/>
      <c r="DI112" s="110"/>
      <c r="DJ112" s="110"/>
      <c r="DK112" s="110"/>
      <c r="DL112" s="110"/>
      <c r="DM112" s="110"/>
      <c r="DN112" s="110"/>
      <c r="DO112" s="110"/>
      <c r="DP112" s="110"/>
      <c r="DQ112" s="110"/>
      <c r="DR112" s="110"/>
      <c r="DS112" s="110"/>
      <c r="DT112" s="110"/>
      <c r="DU112" s="110"/>
      <c r="DV112" s="110"/>
      <c r="DW112" s="110"/>
      <c r="DX112" s="110"/>
      <c r="DY112" s="110"/>
      <c r="DZ112" s="110"/>
      <c r="EA112" s="110"/>
      <c r="EB112" s="110"/>
      <c r="EC112" s="110"/>
      <c r="ED112" s="110"/>
      <c r="EE112" s="110"/>
      <c r="EF112" s="110"/>
      <c r="EG112" s="110"/>
      <c r="EH112" s="110"/>
      <c r="EI112" s="110"/>
      <c r="EJ112" s="110"/>
      <c r="EK112" s="110"/>
      <c r="EL112" s="110"/>
      <c r="EM112" s="110"/>
      <c r="EN112" s="110"/>
      <c r="EO112" s="110"/>
      <c r="EP112" s="110"/>
      <c r="EQ112" s="110"/>
      <c r="ER112" s="110"/>
      <c r="ES112" s="110"/>
      <c r="ET112" s="110"/>
      <c r="EU112" s="110"/>
      <c r="EV112" s="110"/>
      <c r="EW112" s="110"/>
      <c r="EX112" s="110"/>
      <c r="EY112" s="110"/>
      <c r="EZ112" s="110"/>
      <c r="FA112" s="110"/>
      <c r="FB112" s="110"/>
      <c r="FC112" s="110"/>
      <c r="FD112" s="110"/>
      <c r="FE112" s="110"/>
      <c r="FF112" s="110"/>
      <c r="FG112" s="110"/>
      <c r="FH112" s="110"/>
      <c r="FI112" s="110"/>
      <c r="FJ112" s="110"/>
      <c r="FK112" s="110"/>
      <c r="FL112" s="110"/>
      <c r="FM112" s="110"/>
      <c r="FN112" s="110"/>
      <c r="FO112" s="110"/>
      <c r="FP112" s="110"/>
      <c r="FQ112" s="110"/>
      <c r="FR112" s="110"/>
      <c r="FS112" s="110"/>
      <c r="FT112" s="110"/>
      <c r="FU112" s="110"/>
      <c r="FV112" s="110"/>
      <c r="FW112" s="110"/>
      <c r="FX112" s="110"/>
      <c r="FY112" s="110"/>
      <c r="FZ112" s="110"/>
      <c r="GA112" s="110"/>
      <c r="GB112" s="110"/>
      <c r="GC112" s="110"/>
      <c r="GD112" s="110"/>
      <c r="GE112" s="110"/>
      <c r="GF112" s="110"/>
      <c r="GG112" s="110"/>
      <c r="GH112" s="110"/>
      <c r="GI112" s="110"/>
      <c r="GJ112" s="110"/>
      <c r="GK112" s="110"/>
      <c r="GL112" s="110"/>
      <c r="GM112" s="110"/>
      <c r="GN112" s="110"/>
      <c r="GO112" s="110"/>
      <c r="GP112" s="110"/>
      <c r="GQ112" s="110"/>
      <c r="GR112" s="110"/>
      <c r="GS112" s="110"/>
      <c r="GT112" s="110"/>
      <c r="GU112" s="110"/>
      <c r="GV112" s="110"/>
      <c r="GW112" s="110"/>
      <c r="GX112" s="110"/>
      <c r="GY112" s="110"/>
      <c r="GZ112" s="110"/>
      <c r="HA112" s="110"/>
      <c r="HB112" s="110"/>
      <c r="HC112" s="110"/>
      <c r="HD112" s="110"/>
      <c r="HE112" s="110"/>
      <c r="HF112" s="110"/>
      <c r="HG112" s="110"/>
      <c r="HH112" s="110"/>
      <c r="HI112" s="110"/>
      <c r="HJ112" s="110"/>
      <c r="HK112" s="110"/>
      <c r="HL112" s="110"/>
      <c r="HM112" s="110"/>
      <c r="HN112" s="110"/>
      <c r="HO112" s="110"/>
      <c r="HP112" s="110"/>
      <c r="HQ112" s="110"/>
      <c r="HR112" s="110"/>
      <c r="HS112" s="110"/>
      <c r="HT112" s="110"/>
      <c r="HU112" s="110"/>
      <c r="HV112" s="110"/>
      <c r="HW112" s="110"/>
      <c r="HX112" s="110"/>
      <c r="HY112" s="110"/>
      <c r="HZ112" s="110"/>
      <c r="IA112" s="110"/>
      <c r="IB112" s="110"/>
      <c r="IC112" s="110"/>
      <c r="ID112" s="110"/>
      <c r="IE112" s="110"/>
      <c r="IF112" s="110"/>
      <c r="IG112" s="110"/>
      <c r="IH112" s="110"/>
      <c r="II112" s="110"/>
      <c r="IJ112" s="110"/>
      <c r="IK112" s="110"/>
      <c r="IL112" s="110"/>
      <c r="IM112" s="110"/>
      <c r="IN112" s="110"/>
      <c r="IO112" s="110"/>
      <c r="IP112" s="110"/>
      <c r="IQ112" s="110"/>
      <c r="IR112" s="110"/>
      <c r="IS112" s="110"/>
      <c r="IT112" s="110"/>
      <c r="IU112" s="110"/>
      <c r="IV112" s="110"/>
      <c r="IW112" s="110"/>
    </row>
    <row r="113" spans="1:257" x14ac:dyDescent="0.3">
      <c r="A113" s="156"/>
      <c r="B113" s="156"/>
      <c r="C113" s="156"/>
      <c r="D113" s="156"/>
      <c r="E113" s="156"/>
      <c r="F113" s="156"/>
      <c r="G113" s="156"/>
      <c r="H113" s="156"/>
      <c r="I113" s="174"/>
      <c r="J113" s="156"/>
      <c r="K113" s="156"/>
      <c r="L113" s="156"/>
      <c r="M113" s="156"/>
      <c r="N113" s="156"/>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c r="BY113" s="110"/>
      <c r="BZ113" s="110"/>
      <c r="CA113" s="110"/>
      <c r="CB113" s="110"/>
      <c r="CC113" s="110"/>
      <c r="CD113" s="110"/>
      <c r="CE113" s="110"/>
      <c r="CF113" s="110"/>
      <c r="CG113" s="110"/>
      <c r="CH113" s="110"/>
      <c r="CI113" s="110"/>
      <c r="CJ113" s="110"/>
      <c r="CK113" s="110"/>
      <c r="CL113" s="110"/>
      <c r="CM113" s="110"/>
      <c r="CN113" s="110"/>
      <c r="CO113" s="110"/>
      <c r="CP113" s="110"/>
      <c r="CQ113" s="110"/>
      <c r="CR113" s="110"/>
      <c r="CS113" s="110"/>
      <c r="CT113" s="110"/>
      <c r="CU113" s="110"/>
      <c r="CV113" s="110"/>
      <c r="CW113" s="110"/>
      <c r="CX113" s="110"/>
      <c r="CY113" s="110"/>
      <c r="CZ113" s="110"/>
      <c r="DA113" s="110"/>
      <c r="DB113" s="110"/>
      <c r="DC113" s="110"/>
      <c r="DD113" s="110"/>
      <c r="DE113" s="110"/>
      <c r="DF113" s="110"/>
      <c r="DG113" s="110"/>
      <c r="DH113" s="110"/>
      <c r="DI113" s="110"/>
      <c r="DJ113" s="110"/>
      <c r="DK113" s="110"/>
      <c r="DL113" s="110"/>
      <c r="DM113" s="110"/>
      <c r="DN113" s="110"/>
      <c r="DO113" s="110"/>
      <c r="DP113" s="110"/>
      <c r="DQ113" s="110"/>
      <c r="DR113" s="110"/>
      <c r="DS113" s="110"/>
      <c r="DT113" s="110"/>
      <c r="DU113" s="110"/>
      <c r="DV113" s="110"/>
      <c r="DW113" s="110"/>
      <c r="DX113" s="110"/>
      <c r="DY113" s="110"/>
      <c r="DZ113" s="110"/>
      <c r="EA113" s="110"/>
      <c r="EB113" s="110"/>
      <c r="EC113" s="110"/>
      <c r="ED113" s="110"/>
      <c r="EE113" s="110"/>
      <c r="EF113" s="110"/>
      <c r="EG113" s="110"/>
      <c r="EH113" s="110"/>
      <c r="EI113" s="110"/>
      <c r="EJ113" s="110"/>
      <c r="EK113" s="110"/>
      <c r="EL113" s="110"/>
      <c r="EM113" s="110"/>
      <c r="EN113" s="110"/>
      <c r="EO113" s="110"/>
      <c r="EP113" s="110"/>
      <c r="EQ113" s="110"/>
      <c r="ER113" s="110"/>
      <c r="ES113" s="110"/>
      <c r="ET113" s="110"/>
      <c r="EU113" s="110"/>
      <c r="EV113" s="110"/>
      <c r="EW113" s="110"/>
      <c r="EX113" s="110"/>
      <c r="EY113" s="110"/>
      <c r="EZ113" s="110"/>
      <c r="FA113" s="110"/>
      <c r="FB113" s="110"/>
      <c r="FC113" s="110"/>
      <c r="FD113" s="110"/>
      <c r="FE113" s="110"/>
      <c r="FF113" s="110"/>
      <c r="FG113" s="110"/>
      <c r="FH113" s="110"/>
      <c r="FI113" s="110"/>
      <c r="FJ113" s="110"/>
      <c r="FK113" s="110"/>
      <c r="FL113" s="110"/>
      <c r="FM113" s="110"/>
      <c r="FN113" s="110"/>
      <c r="FO113" s="110"/>
      <c r="FP113" s="110"/>
      <c r="FQ113" s="110"/>
      <c r="FR113" s="110"/>
      <c r="FS113" s="110"/>
      <c r="FT113" s="110"/>
      <c r="FU113" s="110"/>
      <c r="FV113" s="110"/>
      <c r="FW113" s="110"/>
      <c r="FX113" s="110"/>
      <c r="FY113" s="110"/>
      <c r="FZ113" s="110"/>
      <c r="GA113" s="110"/>
      <c r="GB113" s="110"/>
      <c r="GC113" s="110"/>
      <c r="GD113" s="110"/>
      <c r="GE113" s="110"/>
      <c r="GF113" s="110"/>
      <c r="GG113" s="110"/>
      <c r="GH113" s="110"/>
      <c r="GI113" s="110"/>
      <c r="GJ113" s="110"/>
      <c r="GK113" s="110"/>
      <c r="GL113" s="110"/>
      <c r="GM113" s="110"/>
      <c r="GN113" s="110"/>
      <c r="GO113" s="110"/>
      <c r="GP113" s="110"/>
      <c r="GQ113" s="110"/>
      <c r="GR113" s="110"/>
      <c r="GS113" s="110"/>
      <c r="GT113" s="110"/>
      <c r="GU113" s="110"/>
      <c r="GV113" s="110"/>
      <c r="GW113" s="110"/>
      <c r="GX113" s="110"/>
      <c r="GY113" s="110"/>
      <c r="GZ113" s="110"/>
      <c r="HA113" s="110"/>
      <c r="HB113" s="110"/>
      <c r="HC113" s="110"/>
      <c r="HD113" s="110"/>
      <c r="HE113" s="110"/>
      <c r="HF113" s="110"/>
      <c r="HG113" s="110"/>
      <c r="HH113" s="110"/>
      <c r="HI113" s="110"/>
      <c r="HJ113" s="110"/>
      <c r="HK113" s="110"/>
      <c r="HL113" s="110"/>
      <c r="HM113" s="110"/>
      <c r="HN113" s="110"/>
      <c r="HO113" s="110"/>
      <c r="HP113" s="110"/>
      <c r="HQ113" s="110"/>
      <c r="HR113" s="110"/>
      <c r="HS113" s="110"/>
      <c r="HT113" s="110"/>
      <c r="HU113" s="110"/>
      <c r="HV113" s="110"/>
      <c r="HW113" s="110"/>
      <c r="HX113" s="110"/>
      <c r="HY113" s="110"/>
      <c r="HZ113" s="110"/>
      <c r="IA113" s="110"/>
      <c r="IB113" s="110"/>
      <c r="IC113" s="110"/>
      <c r="ID113" s="110"/>
      <c r="IE113" s="110"/>
      <c r="IF113" s="110"/>
      <c r="IG113" s="110"/>
      <c r="IH113" s="110"/>
      <c r="II113" s="110"/>
      <c r="IJ113" s="110"/>
      <c r="IK113" s="110"/>
      <c r="IL113" s="110"/>
      <c r="IM113" s="110"/>
      <c r="IN113" s="110"/>
      <c r="IO113" s="110"/>
      <c r="IP113" s="110"/>
      <c r="IQ113" s="110"/>
      <c r="IR113" s="110"/>
      <c r="IS113" s="110"/>
      <c r="IT113" s="110"/>
      <c r="IU113" s="110"/>
      <c r="IV113" s="110"/>
      <c r="IW113" s="110"/>
    </row>
    <row r="114" spans="1:257" x14ac:dyDescent="0.3">
      <c r="A114" s="156"/>
      <c r="B114" s="156"/>
      <c r="C114" s="156"/>
      <c r="D114" s="156"/>
      <c r="E114" s="156"/>
      <c r="F114" s="156"/>
      <c r="G114" s="156"/>
      <c r="H114" s="156"/>
      <c r="I114" s="174"/>
      <c r="J114" s="156"/>
      <c r="K114" s="156"/>
      <c r="L114" s="156"/>
      <c r="M114" s="156"/>
      <c r="N114" s="156"/>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c r="BY114" s="110"/>
      <c r="BZ114" s="110"/>
      <c r="CA114" s="110"/>
      <c r="CB114" s="110"/>
      <c r="CC114" s="110"/>
      <c r="CD114" s="110"/>
      <c r="CE114" s="110"/>
      <c r="CF114" s="110"/>
      <c r="CG114" s="110"/>
      <c r="CH114" s="110"/>
      <c r="CI114" s="110"/>
      <c r="CJ114" s="110"/>
      <c r="CK114" s="110"/>
      <c r="CL114" s="110"/>
      <c r="CM114" s="110"/>
      <c r="CN114" s="110"/>
      <c r="CO114" s="110"/>
      <c r="CP114" s="110"/>
      <c r="CQ114" s="110"/>
      <c r="CR114" s="110"/>
      <c r="CS114" s="110"/>
      <c r="CT114" s="110"/>
      <c r="CU114" s="110"/>
      <c r="CV114" s="110"/>
      <c r="CW114" s="110"/>
      <c r="CX114" s="110"/>
      <c r="CY114" s="110"/>
      <c r="CZ114" s="110"/>
      <c r="DA114" s="110"/>
      <c r="DB114" s="110"/>
      <c r="DC114" s="110"/>
      <c r="DD114" s="110"/>
      <c r="DE114" s="110"/>
      <c r="DF114" s="110"/>
      <c r="DG114" s="110"/>
      <c r="DH114" s="110"/>
      <c r="DI114" s="110"/>
      <c r="DJ114" s="110"/>
      <c r="DK114" s="110"/>
      <c r="DL114" s="110"/>
      <c r="DM114" s="110"/>
      <c r="DN114" s="110"/>
      <c r="DO114" s="110"/>
      <c r="DP114" s="110"/>
      <c r="DQ114" s="110"/>
      <c r="DR114" s="110"/>
      <c r="DS114" s="110"/>
      <c r="DT114" s="110"/>
      <c r="DU114" s="110"/>
      <c r="DV114" s="110"/>
      <c r="DW114" s="110"/>
      <c r="DX114" s="110"/>
      <c r="DY114" s="110"/>
      <c r="DZ114" s="110"/>
      <c r="EA114" s="110"/>
      <c r="EB114" s="110"/>
      <c r="EC114" s="110"/>
      <c r="ED114" s="110"/>
      <c r="EE114" s="110"/>
      <c r="EF114" s="110"/>
      <c r="EG114" s="110"/>
      <c r="EH114" s="110"/>
      <c r="EI114" s="110"/>
      <c r="EJ114" s="110"/>
      <c r="EK114" s="110"/>
      <c r="EL114" s="110"/>
      <c r="EM114" s="110"/>
      <c r="EN114" s="110"/>
      <c r="EO114" s="110"/>
      <c r="EP114" s="110"/>
      <c r="EQ114" s="110"/>
      <c r="ER114" s="110"/>
      <c r="ES114" s="110"/>
      <c r="ET114" s="110"/>
      <c r="EU114" s="110"/>
      <c r="EV114" s="110"/>
      <c r="EW114" s="110"/>
      <c r="EX114" s="110"/>
      <c r="EY114" s="110"/>
      <c r="EZ114" s="110"/>
      <c r="FA114" s="110"/>
      <c r="FB114" s="110"/>
      <c r="FC114" s="110"/>
      <c r="FD114" s="110"/>
      <c r="FE114" s="110"/>
      <c r="FF114" s="110"/>
      <c r="FG114" s="110"/>
      <c r="FH114" s="110"/>
      <c r="FI114" s="110"/>
      <c r="FJ114" s="110"/>
      <c r="FK114" s="110"/>
      <c r="FL114" s="110"/>
      <c r="FM114" s="110"/>
      <c r="FN114" s="110"/>
      <c r="FO114" s="110"/>
      <c r="FP114" s="110"/>
      <c r="FQ114" s="110"/>
      <c r="FR114" s="110"/>
      <c r="FS114" s="110"/>
      <c r="FT114" s="110"/>
      <c r="FU114" s="110"/>
      <c r="FV114" s="110"/>
      <c r="FW114" s="110"/>
      <c r="FX114" s="110"/>
      <c r="FY114" s="110"/>
      <c r="FZ114" s="110"/>
      <c r="GA114" s="110"/>
      <c r="GB114" s="110"/>
      <c r="GC114" s="110"/>
      <c r="GD114" s="110"/>
      <c r="GE114" s="110"/>
      <c r="GF114" s="110"/>
      <c r="GG114" s="110"/>
      <c r="GH114" s="110"/>
      <c r="GI114" s="110"/>
      <c r="GJ114" s="110"/>
      <c r="GK114" s="110"/>
      <c r="GL114" s="110"/>
      <c r="GM114" s="110"/>
      <c r="GN114" s="110"/>
      <c r="GO114" s="110"/>
      <c r="GP114" s="110"/>
      <c r="GQ114" s="110"/>
      <c r="GR114" s="110"/>
      <c r="GS114" s="110"/>
      <c r="GT114" s="110"/>
      <c r="GU114" s="110"/>
      <c r="GV114" s="110"/>
      <c r="GW114" s="110"/>
      <c r="GX114" s="110"/>
      <c r="GY114" s="110"/>
      <c r="GZ114" s="110"/>
      <c r="HA114" s="110"/>
      <c r="HB114" s="110"/>
      <c r="HC114" s="110"/>
      <c r="HD114" s="110"/>
      <c r="HE114" s="110"/>
      <c r="HF114" s="110"/>
      <c r="HG114" s="110"/>
      <c r="HH114" s="110"/>
      <c r="HI114" s="110"/>
      <c r="HJ114" s="110"/>
      <c r="HK114" s="110"/>
      <c r="HL114" s="110"/>
      <c r="HM114" s="110"/>
      <c r="HN114" s="110"/>
      <c r="HO114" s="110"/>
      <c r="HP114" s="110"/>
      <c r="HQ114" s="110"/>
      <c r="HR114" s="110"/>
      <c r="HS114" s="110"/>
      <c r="HT114" s="110"/>
      <c r="HU114" s="110"/>
      <c r="HV114" s="110"/>
      <c r="HW114" s="110"/>
      <c r="HX114" s="110"/>
      <c r="HY114" s="110"/>
      <c r="HZ114" s="110"/>
      <c r="IA114" s="110"/>
      <c r="IB114" s="110"/>
      <c r="IC114" s="110"/>
      <c r="ID114" s="110"/>
      <c r="IE114" s="110"/>
      <c r="IF114" s="110"/>
      <c r="IG114" s="110"/>
      <c r="IH114" s="110"/>
      <c r="II114" s="110"/>
      <c r="IJ114" s="110"/>
      <c r="IK114" s="110"/>
      <c r="IL114" s="110"/>
      <c r="IM114" s="110"/>
      <c r="IN114" s="110"/>
      <c r="IO114" s="110"/>
      <c r="IP114" s="110"/>
      <c r="IQ114" s="110"/>
      <c r="IR114" s="110"/>
      <c r="IS114" s="110"/>
      <c r="IT114" s="110"/>
      <c r="IU114" s="110"/>
      <c r="IV114" s="110"/>
      <c r="IW114" s="110"/>
    </row>
    <row r="115" spans="1:257" x14ac:dyDescent="0.3">
      <c r="A115" s="156"/>
      <c r="B115" s="156"/>
      <c r="C115" s="156"/>
      <c r="D115" s="156"/>
      <c r="E115" s="156"/>
      <c r="F115" s="156"/>
      <c r="G115" s="156"/>
      <c r="H115" s="156"/>
      <c r="I115" s="174"/>
      <c r="J115" s="156"/>
      <c r="K115" s="156"/>
      <c r="L115" s="156"/>
      <c r="M115" s="156"/>
      <c r="N115" s="156"/>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c r="BY115" s="110"/>
      <c r="BZ115" s="110"/>
      <c r="CA115" s="110"/>
      <c r="CB115" s="110"/>
      <c r="CC115" s="110"/>
      <c r="CD115" s="110"/>
      <c r="CE115" s="110"/>
      <c r="CF115" s="110"/>
      <c r="CG115" s="110"/>
      <c r="CH115" s="110"/>
      <c r="CI115" s="110"/>
      <c r="CJ115" s="110"/>
      <c r="CK115" s="110"/>
      <c r="CL115" s="110"/>
      <c r="CM115" s="110"/>
      <c r="CN115" s="110"/>
      <c r="CO115" s="110"/>
      <c r="CP115" s="110"/>
      <c r="CQ115" s="110"/>
      <c r="CR115" s="110"/>
      <c r="CS115" s="110"/>
      <c r="CT115" s="110"/>
      <c r="CU115" s="110"/>
      <c r="CV115" s="110"/>
      <c r="CW115" s="110"/>
      <c r="CX115" s="110"/>
      <c r="CY115" s="110"/>
      <c r="CZ115" s="110"/>
      <c r="DA115" s="110"/>
      <c r="DB115" s="110"/>
      <c r="DC115" s="110"/>
      <c r="DD115" s="110"/>
      <c r="DE115" s="110"/>
      <c r="DF115" s="110"/>
      <c r="DG115" s="110"/>
      <c r="DH115" s="110"/>
      <c r="DI115" s="110"/>
      <c r="DJ115" s="110"/>
      <c r="DK115" s="110"/>
      <c r="DL115" s="110"/>
      <c r="DM115" s="110"/>
      <c r="DN115" s="110"/>
      <c r="DO115" s="110"/>
      <c r="DP115" s="110"/>
      <c r="DQ115" s="110"/>
      <c r="DR115" s="110"/>
      <c r="DS115" s="110"/>
      <c r="DT115" s="110"/>
      <c r="DU115" s="110"/>
      <c r="DV115" s="110"/>
      <c r="DW115" s="110"/>
      <c r="DX115" s="110"/>
      <c r="DY115" s="110"/>
      <c r="DZ115" s="110"/>
      <c r="EA115" s="110"/>
      <c r="EB115" s="110"/>
      <c r="EC115" s="110"/>
      <c r="ED115" s="110"/>
      <c r="EE115" s="110"/>
      <c r="EF115" s="110"/>
      <c r="EG115" s="110"/>
      <c r="EH115" s="110"/>
      <c r="EI115" s="110"/>
      <c r="EJ115" s="110"/>
      <c r="EK115" s="110"/>
      <c r="EL115" s="110"/>
      <c r="EM115" s="110"/>
      <c r="EN115" s="110"/>
      <c r="EO115" s="110"/>
      <c r="EP115" s="110"/>
      <c r="EQ115" s="110"/>
      <c r="ER115" s="110"/>
      <c r="ES115" s="110"/>
      <c r="ET115" s="110"/>
      <c r="EU115" s="110"/>
      <c r="EV115" s="110"/>
      <c r="EW115" s="110"/>
      <c r="EX115" s="110"/>
      <c r="EY115" s="110"/>
      <c r="EZ115" s="110"/>
      <c r="FA115" s="110"/>
      <c r="FB115" s="110"/>
      <c r="FC115" s="110"/>
      <c r="FD115" s="110"/>
      <c r="FE115" s="110"/>
      <c r="FF115" s="110"/>
      <c r="FG115" s="110"/>
      <c r="FH115" s="110"/>
      <c r="FI115" s="110"/>
      <c r="FJ115" s="110"/>
      <c r="FK115" s="110"/>
      <c r="FL115" s="110"/>
      <c r="FM115" s="110"/>
      <c r="FN115" s="110"/>
      <c r="FO115" s="110"/>
      <c r="FP115" s="110"/>
      <c r="FQ115" s="110"/>
      <c r="FR115" s="110"/>
      <c r="FS115" s="110"/>
      <c r="FT115" s="110"/>
      <c r="FU115" s="110"/>
      <c r="FV115" s="110"/>
      <c r="FW115" s="110"/>
      <c r="FX115" s="110"/>
      <c r="FY115" s="110"/>
      <c r="FZ115" s="110"/>
      <c r="GA115" s="110"/>
      <c r="GB115" s="110"/>
      <c r="GC115" s="110"/>
      <c r="GD115" s="110"/>
      <c r="GE115" s="110"/>
      <c r="GF115" s="110"/>
      <c r="GG115" s="110"/>
      <c r="GH115" s="110"/>
      <c r="GI115" s="110"/>
      <c r="GJ115" s="110"/>
      <c r="GK115" s="110"/>
      <c r="GL115" s="110"/>
      <c r="GM115" s="110"/>
      <c r="GN115" s="110"/>
      <c r="GO115" s="110"/>
      <c r="GP115" s="110"/>
      <c r="GQ115" s="110"/>
      <c r="GR115" s="110"/>
      <c r="GS115" s="110"/>
      <c r="GT115" s="110"/>
      <c r="GU115" s="110"/>
      <c r="GV115" s="110"/>
      <c r="GW115" s="110"/>
      <c r="GX115" s="110"/>
      <c r="GY115" s="110"/>
      <c r="GZ115" s="110"/>
      <c r="HA115" s="110"/>
      <c r="HB115" s="110"/>
      <c r="HC115" s="110"/>
      <c r="HD115" s="110"/>
      <c r="HE115" s="110"/>
      <c r="HF115" s="110"/>
      <c r="HG115" s="110"/>
      <c r="HH115" s="110"/>
      <c r="HI115" s="110"/>
      <c r="HJ115" s="110"/>
      <c r="HK115" s="110"/>
      <c r="HL115" s="110"/>
      <c r="HM115" s="110"/>
      <c r="HN115" s="110"/>
      <c r="HO115" s="110"/>
      <c r="HP115" s="110"/>
      <c r="HQ115" s="110"/>
      <c r="HR115" s="110"/>
      <c r="HS115" s="110"/>
      <c r="HT115" s="110"/>
      <c r="HU115" s="110"/>
      <c r="HV115" s="110"/>
      <c r="HW115" s="110"/>
      <c r="HX115" s="110"/>
      <c r="HY115" s="110"/>
      <c r="HZ115" s="110"/>
      <c r="IA115" s="110"/>
      <c r="IB115" s="110"/>
      <c r="IC115" s="110"/>
      <c r="ID115" s="110"/>
      <c r="IE115" s="110"/>
      <c r="IF115" s="110"/>
      <c r="IG115" s="110"/>
      <c r="IH115" s="110"/>
      <c r="II115" s="110"/>
      <c r="IJ115" s="110"/>
      <c r="IK115" s="110"/>
      <c r="IL115" s="110"/>
      <c r="IM115" s="110"/>
      <c r="IN115" s="110"/>
      <c r="IO115" s="110"/>
      <c r="IP115" s="110"/>
      <c r="IQ115" s="110"/>
      <c r="IR115" s="110"/>
      <c r="IS115" s="110"/>
      <c r="IT115" s="110"/>
      <c r="IU115" s="110"/>
      <c r="IV115" s="110"/>
      <c r="IW115" s="110"/>
    </row>
    <row r="116" spans="1:257" x14ac:dyDescent="0.3">
      <c r="A116" s="156"/>
      <c r="B116" s="156"/>
      <c r="C116" s="156"/>
      <c r="D116" s="156"/>
      <c r="E116" s="156"/>
      <c r="F116" s="156"/>
      <c r="G116" s="156"/>
      <c r="H116" s="156"/>
      <c r="I116" s="174"/>
      <c r="J116" s="156"/>
      <c r="K116" s="156"/>
      <c r="L116" s="156"/>
      <c r="M116" s="156"/>
      <c r="N116" s="156"/>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c r="BY116" s="110"/>
      <c r="BZ116" s="110"/>
      <c r="CA116" s="110"/>
      <c r="CB116" s="110"/>
      <c r="CC116" s="110"/>
      <c r="CD116" s="110"/>
      <c r="CE116" s="110"/>
      <c r="CF116" s="110"/>
      <c r="CG116" s="110"/>
      <c r="CH116" s="110"/>
      <c r="CI116" s="110"/>
      <c r="CJ116" s="110"/>
      <c r="CK116" s="110"/>
      <c r="CL116" s="110"/>
      <c r="CM116" s="110"/>
      <c r="CN116" s="110"/>
      <c r="CO116" s="110"/>
      <c r="CP116" s="110"/>
      <c r="CQ116" s="110"/>
      <c r="CR116" s="110"/>
      <c r="CS116" s="110"/>
      <c r="CT116" s="110"/>
      <c r="CU116" s="110"/>
      <c r="CV116" s="110"/>
      <c r="CW116" s="110"/>
      <c r="CX116" s="110"/>
      <c r="CY116" s="110"/>
      <c r="CZ116" s="110"/>
      <c r="DA116" s="110"/>
      <c r="DB116" s="110"/>
      <c r="DC116" s="110"/>
      <c r="DD116" s="110"/>
      <c r="DE116" s="110"/>
      <c r="DF116" s="110"/>
      <c r="DG116" s="110"/>
      <c r="DH116" s="110"/>
      <c r="DI116" s="110"/>
      <c r="DJ116" s="110"/>
      <c r="DK116" s="110"/>
      <c r="DL116" s="110"/>
      <c r="DM116" s="110"/>
      <c r="DN116" s="110"/>
      <c r="DO116" s="110"/>
      <c r="DP116" s="110"/>
      <c r="DQ116" s="110"/>
      <c r="DR116" s="110"/>
      <c r="DS116" s="110"/>
      <c r="DT116" s="110"/>
      <c r="DU116" s="110"/>
      <c r="DV116" s="110"/>
      <c r="DW116" s="110"/>
      <c r="DX116" s="110"/>
      <c r="DY116" s="110"/>
      <c r="DZ116" s="110"/>
      <c r="EA116" s="110"/>
      <c r="EB116" s="110"/>
      <c r="EC116" s="110"/>
      <c r="ED116" s="110"/>
      <c r="EE116" s="110"/>
      <c r="EF116" s="110"/>
      <c r="EG116" s="110"/>
      <c r="EH116" s="110"/>
      <c r="EI116" s="110"/>
      <c r="EJ116" s="110"/>
      <c r="EK116" s="110"/>
      <c r="EL116" s="110"/>
      <c r="EM116" s="110"/>
      <c r="EN116" s="110"/>
      <c r="EO116" s="110"/>
      <c r="EP116" s="110"/>
      <c r="EQ116" s="110"/>
      <c r="ER116" s="110"/>
      <c r="ES116" s="110"/>
      <c r="ET116" s="110"/>
      <c r="EU116" s="110"/>
      <c r="EV116" s="110"/>
      <c r="EW116" s="110"/>
      <c r="EX116" s="110"/>
      <c r="EY116" s="110"/>
      <c r="EZ116" s="110"/>
      <c r="FA116" s="110"/>
      <c r="FB116" s="110"/>
      <c r="FC116" s="110"/>
      <c r="FD116" s="110"/>
      <c r="FE116" s="110"/>
      <c r="FF116" s="110"/>
      <c r="FG116" s="110"/>
      <c r="FH116" s="110"/>
      <c r="FI116" s="110"/>
      <c r="FJ116" s="110"/>
      <c r="FK116" s="110"/>
      <c r="FL116" s="110"/>
      <c r="FM116" s="110"/>
      <c r="FN116" s="110"/>
      <c r="FO116" s="110"/>
      <c r="FP116" s="110"/>
      <c r="FQ116" s="110"/>
      <c r="FR116" s="110"/>
      <c r="FS116" s="110"/>
      <c r="FT116" s="110"/>
      <c r="FU116" s="110"/>
      <c r="FV116" s="110"/>
      <c r="FW116" s="110"/>
      <c r="FX116" s="110"/>
      <c r="FY116" s="110"/>
      <c r="FZ116" s="110"/>
      <c r="GA116" s="110"/>
      <c r="GB116" s="110"/>
      <c r="GC116" s="110"/>
      <c r="GD116" s="110"/>
      <c r="GE116" s="110"/>
      <c r="GF116" s="110"/>
      <c r="GG116" s="110"/>
      <c r="GH116" s="110"/>
      <c r="GI116" s="110"/>
      <c r="GJ116" s="110"/>
      <c r="GK116" s="110"/>
      <c r="GL116" s="110"/>
      <c r="GM116" s="110"/>
      <c r="GN116" s="110"/>
      <c r="GO116" s="110"/>
      <c r="GP116" s="110"/>
      <c r="GQ116" s="110"/>
      <c r="GR116" s="110"/>
      <c r="GS116" s="110"/>
      <c r="GT116" s="110"/>
      <c r="GU116" s="110"/>
      <c r="GV116" s="110"/>
      <c r="GW116" s="110"/>
      <c r="GX116" s="110"/>
      <c r="GY116" s="110"/>
      <c r="GZ116" s="110"/>
      <c r="HA116" s="110"/>
      <c r="HB116" s="110"/>
      <c r="HC116" s="110"/>
      <c r="HD116" s="110"/>
      <c r="HE116" s="110"/>
      <c r="HF116" s="110"/>
      <c r="HG116" s="110"/>
      <c r="HH116" s="110"/>
      <c r="HI116" s="110"/>
      <c r="HJ116" s="110"/>
      <c r="HK116" s="110"/>
      <c r="HL116" s="110"/>
      <c r="HM116" s="110"/>
      <c r="HN116" s="110"/>
      <c r="HO116" s="110"/>
      <c r="HP116" s="110"/>
      <c r="HQ116" s="110"/>
      <c r="HR116" s="110"/>
      <c r="HS116" s="110"/>
      <c r="HT116" s="110"/>
      <c r="HU116" s="110"/>
      <c r="HV116" s="110"/>
      <c r="HW116" s="110"/>
      <c r="HX116" s="110"/>
      <c r="HY116" s="110"/>
      <c r="HZ116" s="110"/>
      <c r="IA116" s="110"/>
      <c r="IB116" s="110"/>
      <c r="IC116" s="110"/>
      <c r="ID116" s="110"/>
      <c r="IE116" s="110"/>
      <c r="IF116" s="110"/>
      <c r="IG116" s="110"/>
      <c r="IH116" s="110"/>
      <c r="II116" s="110"/>
      <c r="IJ116" s="110"/>
      <c r="IK116" s="110"/>
      <c r="IL116" s="110"/>
      <c r="IM116" s="110"/>
      <c r="IN116" s="110"/>
      <c r="IO116" s="110"/>
      <c r="IP116" s="110"/>
      <c r="IQ116" s="110"/>
      <c r="IR116" s="110"/>
      <c r="IS116" s="110"/>
      <c r="IT116" s="110"/>
      <c r="IU116" s="110"/>
      <c r="IV116" s="110"/>
      <c r="IW116" s="110"/>
    </row>
    <row r="117" spans="1:257" x14ac:dyDescent="0.3">
      <c r="A117" s="156"/>
      <c r="B117" s="156"/>
      <c r="C117" s="156"/>
      <c r="D117" s="156"/>
      <c r="E117" s="156"/>
      <c r="F117" s="156"/>
      <c r="G117" s="156"/>
      <c r="H117" s="156"/>
      <c r="I117" s="174"/>
      <c r="J117" s="156"/>
      <c r="K117" s="156"/>
      <c r="L117" s="156"/>
      <c r="M117" s="156"/>
      <c r="N117" s="156"/>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c r="BY117" s="110"/>
      <c r="BZ117" s="110"/>
      <c r="CA117" s="110"/>
      <c r="CB117" s="110"/>
      <c r="CC117" s="110"/>
      <c r="CD117" s="110"/>
      <c r="CE117" s="110"/>
      <c r="CF117" s="110"/>
      <c r="CG117" s="110"/>
      <c r="CH117" s="110"/>
      <c r="CI117" s="110"/>
      <c r="CJ117" s="110"/>
      <c r="CK117" s="110"/>
      <c r="CL117" s="110"/>
      <c r="CM117" s="110"/>
      <c r="CN117" s="110"/>
      <c r="CO117" s="110"/>
      <c r="CP117" s="110"/>
      <c r="CQ117" s="110"/>
      <c r="CR117" s="110"/>
      <c r="CS117" s="110"/>
      <c r="CT117" s="110"/>
      <c r="CU117" s="110"/>
      <c r="CV117" s="110"/>
      <c r="CW117" s="110"/>
      <c r="CX117" s="110"/>
      <c r="CY117" s="110"/>
      <c r="CZ117" s="110"/>
      <c r="DA117" s="110"/>
      <c r="DB117" s="110"/>
      <c r="DC117" s="110"/>
      <c r="DD117" s="110"/>
      <c r="DE117" s="110"/>
      <c r="DF117" s="110"/>
      <c r="DG117" s="110"/>
      <c r="DH117" s="110"/>
      <c r="DI117" s="110"/>
      <c r="DJ117" s="110"/>
      <c r="DK117" s="110"/>
      <c r="DL117" s="110"/>
      <c r="DM117" s="110"/>
      <c r="DN117" s="110"/>
      <c r="DO117" s="110"/>
      <c r="DP117" s="110"/>
      <c r="DQ117" s="110"/>
      <c r="DR117" s="110"/>
      <c r="DS117" s="110"/>
      <c r="DT117" s="110"/>
      <c r="DU117" s="110"/>
      <c r="DV117" s="110"/>
      <c r="DW117" s="110"/>
      <c r="DX117" s="110"/>
      <c r="DY117" s="110"/>
      <c r="DZ117" s="110"/>
      <c r="EA117" s="110"/>
      <c r="EB117" s="110"/>
      <c r="EC117" s="110"/>
      <c r="ED117" s="110"/>
      <c r="EE117" s="110"/>
      <c r="EF117" s="110"/>
      <c r="EG117" s="110"/>
      <c r="EH117" s="110"/>
      <c r="EI117" s="110"/>
      <c r="EJ117" s="110"/>
      <c r="EK117" s="110"/>
      <c r="EL117" s="110"/>
      <c r="EM117" s="110"/>
      <c r="EN117" s="110"/>
      <c r="EO117" s="110"/>
      <c r="EP117" s="110"/>
      <c r="EQ117" s="110"/>
      <c r="ER117" s="110"/>
      <c r="ES117" s="110"/>
      <c r="ET117" s="110"/>
      <c r="EU117" s="110"/>
      <c r="EV117" s="110"/>
      <c r="EW117" s="110"/>
      <c r="EX117" s="110"/>
      <c r="EY117" s="110"/>
      <c r="EZ117" s="110"/>
      <c r="FA117" s="110"/>
      <c r="FB117" s="110"/>
      <c r="FC117" s="110"/>
      <c r="FD117" s="110"/>
      <c r="FE117" s="110"/>
      <c r="FF117" s="110"/>
      <c r="FG117" s="110"/>
      <c r="FH117" s="110"/>
      <c r="FI117" s="110"/>
      <c r="FJ117" s="110"/>
      <c r="FK117" s="110"/>
      <c r="FL117" s="110"/>
      <c r="FM117" s="110"/>
      <c r="FN117" s="110"/>
      <c r="FO117" s="110"/>
      <c r="FP117" s="110"/>
      <c r="FQ117" s="110"/>
      <c r="FR117" s="110"/>
      <c r="FS117" s="110"/>
      <c r="FT117" s="110"/>
      <c r="FU117" s="110"/>
      <c r="FV117" s="110"/>
      <c r="FW117" s="110"/>
      <c r="FX117" s="110"/>
      <c r="FY117" s="110"/>
      <c r="FZ117" s="110"/>
      <c r="GA117" s="110"/>
      <c r="GB117" s="110"/>
      <c r="GC117" s="110"/>
      <c r="GD117" s="110"/>
      <c r="GE117" s="110"/>
      <c r="GF117" s="110"/>
      <c r="GG117" s="110"/>
      <c r="GH117" s="110"/>
      <c r="GI117" s="110"/>
      <c r="GJ117" s="110"/>
      <c r="GK117" s="110"/>
      <c r="GL117" s="110"/>
      <c r="GM117" s="110"/>
      <c r="GN117" s="110"/>
      <c r="GO117" s="110"/>
      <c r="GP117" s="110"/>
      <c r="GQ117" s="110"/>
      <c r="GR117" s="110"/>
      <c r="GS117" s="110"/>
      <c r="GT117" s="110"/>
      <c r="GU117" s="110"/>
      <c r="GV117" s="110"/>
      <c r="GW117" s="110"/>
      <c r="GX117" s="110"/>
      <c r="GY117" s="110"/>
      <c r="GZ117" s="110"/>
      <c r="HA117" s="110"/>
      <c r="HB117" s="110"/>
      <c r="HC117" s="110"/>
      <c r="HD117" s="110"/>
      <c r="HE117" s="110"/>
      <c r="HF117" s="110"/>
      <c r="HG117" s="110"/>
      <c r="HH117" s="110"/>
      <c r="HI117" s="110"/>
      <c r="HJ117" s="110"/>
      <c r="HK117" s="110"/>
      <c r="HL117" s="110"/>
      <c r="HM117" s="110"/>
      <c r="HN117" s="110"/>
      <c r="HO117" s="110"/>
      <c r="HP117" s="110"/>
      <c r="HQ117" s="110"/>
      <c r="HR117" s="110"/>
      <c r="HS117" s="110"/>
      <c r="HT117" s="110"/>
      <c r="HU117" s="110"/>
      <c r="HV117" s="110"/>
      <c r="HW117" s="110"/>
      <c r="HX117" s="110"/>
      <c r="HY117" s="110"/>
      <c r="HZ117" s="110"/>
      <c r="IA117" s="110"/>
      <c r="IB117" s="110"/>
      <c r="IC117" s="110"/>
      <c r="ID117" s="110"/>
      <c r="IE117" s="110"/>
      <c r="IF117" s="110"/>
      <c r="IG117" s="110"/>
      <c r="IH117" s="110"/>
      <c r="II117" s="110"/>
      <c r="IJ117" s="110"/>
      <c r="IK117" s="110"/>
      <c r="IL117" s="110"/>
      <c r="IM117" s="110"/>
      <c r="IN117" s="110"/>
      <c r="IO117" s="110"/>
      <c r="IP117" s="110"/>
      <c r="IQ117" s="110"/>
      <c r="IR117" s="110"/>
      <c r="IS117" s="110"/>
      <c r="IT117" s="110"/>
      <c r="IU117" s="110"/>
      <c r="IV117" s="110"/>
      <c r="IW117" s="110"/>
    </row>
    <row r="118" spans="1:257" x14ac:dyDescent="0.3">
      <c r="A118" s="156"/>
      <c r="B118" s="156"/>
      <c r="C118" s="156"/>
      <c r="D118" s="156"/>
      <c r="E118" s="156"/>
      <c r="F118" s="156"/>
      <c r="G118" s="156"/>
      <c r="H118" s="156"/>
      <c r="I118" s="174"/>
      <c r="J118" s="156"/>
      <c r="K118" s="156"/>
      <c r="L118" s="156"/>
      <c r="M118" s="156"/>
      <c r="N118" s="156"/>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c r="BY118" s="110"/>
      <c r="BZ118" s="110"/>
      <c r="CA118" s="110"/>
      <c r="CB118" s="110"/>
      <c r="CC118" s="110"/>
      <c r="CD118" s="110"/>
      <c r="CE118" s="110"/>
      <c r="CF118" s="110"/>
      <c r="CG118" s="110"/>
      <c r="CH118" s="110"/>
      <c r="CI118" s="110"/>
      <c r="CJ118" s="110"/>
      <c r="CK118" s="110"/>
      <c r="CL118" s="110"/>
      <c r="CM118" s="110"/>
      <c r="CN118" s="110"/>
      <c r="CO118" s="110"/>
      <c r="CP118" s="110"/>
      <c r="CQ118" s="110"/>
      <c r="CR118" s="110"/>
      <c r="CS118" s="110"/>
      <c r="CT118" s="110"/>
      <c r="CU118" s="110"/>
      <c r="CV118" s="110"/>
      <c r="CW118" s="110"/>
      <c r="CX118" s="110"/>
      <c r="CY118" s="110"/>
      <c r="CZ118" s="110"/>
      <c r="DA118" s="110"/>
      <c r="DB118" s="110"/>
      <c r="DC118" s="110"/>
      <c r="DD118" s="110"/>
      <c r="DE118" s="110"/>
      <c r="DF118" s="110"/>
      <c r="DG118" s="110"/>
      <c r="DH118" s="110"/>
      <c r="DI118" s="110"/>
      <c r="DJ118" s="110"/>
      <c r="DK118" s="110"/>
      <c r="DL118" s="110"/>
      <c r="DM118" s="110"/>
      <c r="DN118" s="110"/>
      <c r="DO118" s="110"/>
      <c r="DP118" s="110"/>
      <c r="DQ118" s="110"/>
      <c r="DR118" s="110"/>
      <c r="DS118" s="110"/>
      <c r="DT118" s="110"/>
      <c r="DU118" s="110"/>
      <c r="DV118" s="110"/>
      <c r="DW118" s="110"/>
      <c r="DX118" s="110"/>
      <c r="DY118" s="110"/>
      <c r="DZ118" s="110"/>
      <c r="EA118" s="110"/>
      <c r="EB118" s="110"/>
      <c r="EC118" s="110"/>
      <c r="ED118" s="110"/>
      <c r="EE118" s="110"/>
      <c r="EF118" s="110"/>
      <c r="EG118" s="110"/>
      <c r="EH118" s="110"/>
      <c r="EI118" s="110"/>
      <c r="EJ118" s="110"/>
      <c r="EK118" s="110"/>
      <c r="EL118" s="110"/>
      <c r="EM118" s="110"/>
      <c r="EN118" s="110"/>
      <c r="EO118" s="110"/>
      <c r="EP118" s="110"/>
      <c r="EQ118" s="110"/>
      <c r="ER118" s="110"/>
      <c r="ES118" s="110"/>
      <c r="ET118" s="110"/>
      <c r="EU118" s="110"/>
      <c r="EV118" s="110"/>
      <c r="EW118" s="110"/>
      <c r="EX118" s="110"/>
      <c r="EY118" s="110"/>
      <c r="EZ118" s="110"/>
      <c r="FA118" s="110"/>
      <c r="FB118" s="110"/>
      <c r="FC118" s="110"/>
      <c r="FD118" s="110"/>
      <c r="FE118" s="110"/>
      <c r="FF118" s="110"/>
      <c r="FG118" s="110"/>
      <c r="FH118" s="110"/>
      <c r="FI118" s="110"/>
      <c r="FJ118" s="110"/>
      <c r="FK118" s="110"/>
      <c r="FL118" s="110"/>
      <c r="FM118" s="110"/>
      <c r="FN118" s="110"/>
      <c r="FO118" s="110"/>
      <c r="FP118" s="110"/>
      <c r="FQ118" s="110"/>
      <c r="FR118" s="110"/>
      <c r="FS118" s="110"/>
      <c r="FT118" s="110"/>
      <c r="FU118" s="110"/>
      <c r="FV118" s="110"/>
      <c r="FW118" s="110"/>
      <c r="FX118" s="110"/>
      <c r="FY118" s="110"/>
      <c r="FZ118" s="110"/>
      <c r="GA118" s="110"/>
      <c r="GB118" s="110"/>
      <c r="GC118" s="110"/>
      <c r="GD118" s="110"/>
      <c r="GE118" s="110"/>
      <c r="GF118" s="110"/>
      <c r="GG118" s="110"/>
      <c r="GH118" s="110"/>
      <c r="GI118" s="110"/>
      <c r="GJ118" s="110"/>
      <c r="GK118" s="110"/>
      <c r="GL118" s="110"/>
      <c r="GM118" s="110"/>
      <c r="GN118" s="110"/>
      <c r="GO118" s="110"/>
      <c r="GP118" s="110"/>
      <c r="GQ118" s="110"/>
      <c r="GR118" s="110"/>
      <c r="GS118" s="110"/>
      <c r="GT118" s="110"/>
      <c r="GU118" s="110"/>
      <c r="GV118" s="110"/>
      <c r="GW118" s="110"/>
      <c r="GX118" s="110"/>
      <c r="GY118" s="110"/>
      <c r="GZ118" s="110"/>
      <c r="HA118" s="110"/>
      <c r="HB118" s="110"/>
      <c r="HC118" s="110"/>
      <c r="HD118" s="110"/>
      <c r="HE118" s="110"/>
      <c r="HF118" s="110"/>
      <c r="HG118" s="110"/>
      <c r="HH118" s="110"/>
      <c r="HI118" s="110"/>
      <c r="HJ118" s="110"/>
      <c r="HK118" s="110"/>
      <c r="HL118" s="110"/>
      <c r="HM118" s="110"/>
      <c r="HN118" s="110"/>
      <c r="HO118" s="110"/>
      <c r="HP118" s="110"/>
      <c r="HQ118" s="110"/>
      <c r="HR118" s="110"/>
      <c r="HS118" s="110"/>
      <c r="HT118" s="110"/>
      <c r="HU118" s="110"/>
      <c r="HV118" s="110"/>
      <c r="HW118" s="110"/>
      <c r="HX118" s="110"/>
      <c r="HY118" s="110"/>
      <c r="HZ118" s="110"/>
      <c r="IA118" s="110"/>
      <c r="IB118" s="110"/>
      <c r="IC118" s="110"/>
      <c r="ID118" s="110"/>
      <c r="IE118" s="110"/>
      <c r="IF118" s="110"/>
      <c r="IG118" s="110"/>
      <c r="IH118" s="110"/>
      <c r="II118" s="110"/>
      <c r="IJ118" s="110"/>
      <c r="IK118" s="110"/>
      <c r="IL118" s="110"/>
      <c r="IM118" s="110"/>
      <c r="IN118" s="110"/>
      <c r="IO118" s="110"/>
      <c r="IP118" s="110"/>
      <c r="IQ118" s="110"/>
      <c r="IR118" s="110"/>
      <c r="IS118" s="110"/>
      <c r="IT118" s="110"/>
      <c r="IU118" s="110"/>
      <c r="IV118" s="110"/>
      <c r="IW118" s="110"/>
    </row>
    <row r="119" spans="1:257" x14ac:dyDescent="0.3">
      <c r="A119" s="156"/>
      <c r="B119" s="156"/>
      <c r="C119" s="156"/>
      <c r="D119" s="156"/>
      <c r="E119" s="156"/>
      <c r="F119" s="156"/>
      <c r="G119" s="156"/>
      <c r="H119" s="156"/>
      <c r="I119" s="174"/>
      <c r="J119" s="156"/>
      <c r="K119" s="156"/>
      <c r="L119" s="156"/>
      <c r="M119" s="156"/>
      <c r="N119" s="156"/>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c r="BY119" s="110"/>
      <c r="BZ119" s="110"/>
      <c r="CA119" s="110"/>
      <c r="CB119" s="110"/>
      <c r="CC119" s="110"/>
      <c r="CD119" s="110"/>
      <c r="CE119" s="110"/>
      <c r="CF119" s="110"/>
      <c r="CG119" s="110"/>
      <c r="CH119" s="110"/>
      <c r="CI119" s="110"/>
      <c r="CJ119" s="110"/>
      <c r="CK119" s="110"/>
      <c r="CL119" s="110"/>
      <c r="CM119" s="110"/>
      <c r="CN119" s="110"/>
      <c r="CO119" s="110"/>
      <c r="CP119" s="110"/>
      <c r="CQ119" s="110"/>
      <c r="CR119" s="110"/>
      <c r="CS119" s="110"/>
      <c r="CT119" s="110"/>
      <c r="CU119" s="110"/>
      <c r="CV119" s="110"/>
      <c r="CW119" s="110"/>
      <c r="CX119" s="110"/>
      <c r="CY119" s="110"/>
      <c r="CZ119" s="110"/>
      <c r="DA119" s="110"/>
      <c r="DB119" s="110"/>
      <c r="DC119" s="110"/>
      <c r="DD119" s="110"/>
      <c r="DE119" s="110"/>
      <c r="DF119" s="110"/>
      <c r="DG119" s="110"/>
      <c r="DH119" s="110"/>
      <c r="DI119" s="110"/>
      <c r="DJ119" s="110"/>
      <c r="DK119" s="110"/>
      <c r="DL119" s="110"/>
      <c r="DM119" s="110"/>
      <c r="DN119" s="110"/>
      <c r="DO119" s="110"/>
      <c r="DP119" s="110"/>
      <c r="DQ119" s="110"/>
      <c r="DR119" s="110"/>
      <c r="DS119" s="110"/>
      <c r="DT119" s="110"/>
      <c r="DU119" s="110"/>
      <c r="DV119" s="110"/>
      <c r="DW119" s="110"/>
      <c r="DX119" s="110"/>
      <c r="DY119" s="110"/>
      <c r="DZ119" s="110"/>
      <c r="EA119" s="110"/>
      <c r="EB119" s="110"/>
      <c r="EC119" s="110"/>
      <c r="ED119" s="110"/>
      <c r="EE119" s="110"/>
      <c r="EF119" s="110"/>
      <c r="EG119" s="110"/>
      <c r="EH119" s="110"/>
      <c r="EI119" s="110"/>
      <c r="EJ119" s="110"/>
      <c r="EK119" s="110"/>
      <c r="EL119" s="110"/>
      <c r="EM119" s="110"/>
      <c r="EN119" s="110"/>
      <c r="EO119" s="110"/>
      <c r="EP119" s="110"/>
      <c r="EQ119" s="110"/>
      <c r="ER119" s="110"/>
      <c r="ES119" s="110"/>
      <c r="ET119" s="110"/>
      <c r="EU119" s="110"/>
      <c r="EV119" s="110"/>
      <c r="EW119" s="110"/>
      <c r="EX119" s="110"/>
      <c r="EY119" s="110"/>
      <c r="EZ119" s="110"/>
      <c r="FA119" s="110"/>
      <c r="FB119" s="110"/>
      <c r="FC119" s="110"/>
      <c r="FD119" s="110"/>
      <c r="FE119" s="110"/>
      <c r="FF119" s="110"/>
      <c r="FG119" s="110"/>
      <c r="FH119" s="110"/>
      <c r="FI119" s="110"/>
      <c r="FJ119" s="110"/>
      <c r="FK119" s="110"/>
      <c r="FL119" s="110"/>
      <c r="FM119" s="110"/>
      <c r="FN119" s="110"/>
      <c r="FO119" s="110"/>
      <c r="FP119" s="110"/>
      <c r="FQ119" s="110"/>
      <c r="FR119" s="110"/>
      <c r="FS119" s="110"/>
      <c r="FT119" s="110"/>
      <c r="FU119" s="110"/>
      <c r="FV119" s="110"/>
      <c r="FW119" s="110"/>
      <c r="FX119" s="110"/>
      <c r="FY119" s="110"/>
      <c r="FZ119" s="110"/>
      <c r="GA119" s="110"/>
      <c r="GB119" s="110"/>
      <c r="GC119" s="110"/>
      <c r="GD119" s="110"/>
      <c r="GE119" s="110"/>
      <c r="GF119" s="110"/>
      <c r="GG119" s="110"/>
      <c r="GH119" s="110"/>
      <c r="GI119" s="110"/>
      <c r="GJ119" s="110"/>
      <c r="GK119" s="110"/>
      <c r="GL119" s="110"/>
      <c r="GM119" s="110"/>
      <c r="GN119" s="110"/>
      <c r="GO119" s="110"/>
      <c r="GP119" s="110"/>
      <c r="GQ119" s="110"/>
      <c r="GR119" s="110"/>
      <c r="GS119" s="110"/>
      <c r="GT119" s="110"/>
      <c r="GU119" s="110"/>
      <c r="GV119" s="110"/>
      <c r="GW119" s="110"/>
      <c r="GX119" s="110"/>
      <c r="GY119" s="110"/>
      <c r="GZ119" s="110"/>
      <c r="HA119" s="110"/>
      <c r="HB119" s="110"/>
      <c r="HC119" s="110"/>
      <c r="HD119" s="110"/>
      <c r="HE119" s="110"/>
      <c r="HF119" s="110"/>
      <c r="HG119" s="110"/>
      <c r="HH119" s="110"/>
      <c r="HI119" s="110"/>
      <c r="HJ119" s="110"/>
      <c r="HK119" s="110"/>
      <c r="HL119" s="110"/>
      <c r="HM119" s="110"/>
      <c r="HN119" s="110"/>
      <c r="HO119" s="110"/>
      <c r="HP119" s="110"/>
      <c r="HQ119" s="110"/>
      <c r="HR119" s="110"/>
      <c r="HS119" s="110"/>
      <c r="HT119" s="110"/>
      <c r="HU119" s="110"/>
      <c r="HV119" s="110"/>
      <c r="HW119" s="110"/>
      <c r="HX119" s="110"/>
      <c r="HY119" s="110"/>
      <c r="HZ119" s="110"/>
      <c r="IA119" s="110"/>
      <c r="IB119" s="110"/>
      <c r="IC119" s="110"/>
      <c r="ID119" s="110"/>
      <c r="IE119" s="110"/>
      <c r="IF119" s="110"/>
      <c r="IG119" s="110"/>
      <c r="IH119" s="110"/>
      <c r="II119" s="110"/>
      <c r="IJ119" s="110"/>
      <c r="IK119" s="110"/>
      <c r="IL119" s="110"/>
      <c r="IM119" s="110"/>
      <c r="IN119" s="110"/>
      <c r="IO119" s="110"/>
      <c r="IP119" s="110"/>
      <c r="IQ119" s="110"/>
      <c r="IR119" s="110"/>
      <c r="IS119" s="110"/>
      <c r="IT119" s="110"/>
      <c r="IU119" s="110"/>
      <c r="IV119" s="110"/>
      <c r="IW119" s="110"/>
    </row>
    <row r="120" spans="1:257" x14ac:dyDescent="0.3">
      <c r="A120" s="156"/>
      <c r="B120" s="156"/>
      <c r="C120" s="156"/>
      <c r="D120" s="156"/>
      <c r="E120" s="156"/>
      <c r="F120" s="156"/>
      <c r="G120" s="156"/>
      <c r="H120" s="156"/>
      <c r="I120" s="174"/>
      <c r="J120" s="156"/>
      <c r="K120" s="156"/>
      <c r="L120" s="156"/>
      <c r="M120" s="156"/>
      <c r="N120" s="156"/>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c r="BY120" s="110"/>
      <c r="BZ120" s="110"/>
      <c r="CA120" s="110"/>
      <c r="CB120" s="110"/>
      <c r="CC120" s="110"/>
      <c r="CD120" s="110"/>
      <c r="CE120" s="110"/>
      <c r="CF120" s="110"/>
      <c r="CG120" s="110"/>
      <c r="CH120" s="110"/>
      <c r="CI120" s="110"/>
      <c r="CJ120" s="110"/>
      <c r="CK120" s="110"/>
      <c r="CL120" s="110"/>
      <c r="CM120" s="110"/>
      <c r="CN120" s="110"/>
      <c r="CO120" s="110"/>
      <c r="CP120" s="110"/>
      <c r="CQ120" s="110"/>
      <c r="CR120" s="110"/>
      <c r="CS120" s="110"/>
      <c r="CT120" s="110"/>
      <c r="CU120" s="110"/>
      <c r="CV120" s="110"/>
      <c r="CW120" s="110"/>
      <c r="CX120" s="110"/>
      <c r="CY120" s="110"/>
      <c r="CZ120" s="110"/>
      <c r="DA120" s="110"/>
      <c r="DB120" s="110"/>
      <c r="DC120" s="110"/>
      <c r="DD120" s="110"/>
      <c r="DE120" s="110"/>
      <c r="DF120" s="110"/>
      <c r="DG120" s="110"/>
      <c r="DH120" s="110"/>
      <c r="DI120" s="110"/>
      <c r="DJ120" s="110"/>
      <c r="DK120" s="110"/>
      <c r="DL120" s="110"/>
      <c r="DM120" s="110"/>
      <c r="DN120" s="110"/>
      <c r="DO120" s="110"/>
      <c r="DP120" s="110"/>
      <c r="DQ120" s="110"/>
      <c r="DR120" s="110"/>
      <c r="DS120" s="110"/>
      <c r="DT120" s="110"/>
      <c r="DU120" s="110"/>
      <c r="DV120" s="110"/>
      <c r="DW120" s="110"/>
      <c r="DX120" s="110"/>
      <c r="DY120" s="110"/>
      <c r="DZ120" s="110"/>
      <c r="EA120" s="110"/>
      <c r="EB120" s="110"/>
      <c r="EC120" s="110"/>
      <c r="ED120" s="110"/>
      <c r="EE120" s="110"/>
      <c r="EF120" s="110"/>
      <c r="EG120" s="110"/>
      <c r="EH120" s="110"/>
      <c r="EI120" s="110"/>
      <c r="EJ120" s="110"/>
      <c r="EK120" s="110"/>
      <c r="EL120" s="110"/>
      <c r="EM120" s="110"/>
      <c r="EN120" s="110"/>
      <c r="EO120" s="110"/>
      <c r="EP120" s="110"/>
      <c r="EQ120" s="110"/>
      <c r="ER120" s="110"/>
      <c r="ES120" s="110"/>
      <c r="ET120" s="110"/>
      <c r="EU120" s="110"/>
      <c r="EV120" s="110"/>
      <c r="EW120" s="110"/>
      <c r="EX120" s="110"/>
      <c r="EY120" s="110"/>
      <c r="EZ120" s="110"/>
      <c r="FA120" s="110"/>
      <c r="FB120" s="110"/>
      <c r="FC120" s="110"/>
      <c r="FD120" s="110"/>
      <c r="FE120" s="110"/>
      <c r="FF120" s="110"/>
      <c r="FG120" s="110"/>
      <c r="FH120" s="110"/>
      <c r="FI120" s="110"/>
      <c r="FJ120" s="110"/>
      <c r="FK120" s="110"/>
      <c r="FL120" s="110"/>
      <c r="FM120" s="110"/>
      <c r="FN120" s="110"/>
      <c r="FO120" s="110"/>
      <c r="FP120" s="110"/>
      <c r="FQ120" s="110"/>
      <c r="FR120" s="110"/>
      <c r="FS120" s="110"/>
      <c r="FT120" s="110"/>
      <c r="FU120" s="110"/>
      <c r="FV120" s="110"/>
      <c r="FW120" s="110"/>
      <c r="FX120" s="110"/>
      <c r="FY120" s="110"/>
      <c r="FZ120" s="110"/>
      <c r="GA120" s="110"/>
      <c r="GB120" s="110"/>
      <c r="GC120" s="110"/>
      <c r="GD120" s="110"/>
      <c r="GE120" s="110"/>
      <c r="GF120" s="110"/>
      <c r="GG120" s="110"/>
      <c r="GH120" s="110"/>
      <c r="GI120" s="110"/>
      <c r="GJ120" s="110"/>
      <c r="GK120" s="110"/>
      <c r="GL120" s="110"/>
      <c r="GM120" s="110"/>
      <c r="GN120" s="110"/>
      <c r="GO120" s="110"/>
      <c r="GP120" s="110"/>
      <c r="GQ120" s="110"/>
      <c r="GR120" s="110"/>
      <c r="GS120" s="110"/>
      <c r="GT120" s="110"/>
      <c r="GU120" s="110"/>
      <c r="GV120" s="110"/>
      <c r="GW120" s="110"/>
      <c r="GX120" s="110"/>
      <c r="GY120" s="110"/>
      <c r="GZ120" s="110"/>
      <c r="HA120" s="110"/>
      <c r="HB120" s="110"/>
      <c r="HC120" s="110"/>
      <c r="HD120" s="110"/>
      <c r="HE120" s="110"/>
      <c r="HF120" s="110"/>
      <c r="HG120" s="110"/>
      <c r="HH120" s="110"/>
      <c r="HI120" s="110"/>
      <c r="HJ120" s="110"/>
      <c r="HK120" s="110"/>
      <c r="HL120" s="110"/>
      <c r="HM120" s="110"/>
      <c r="HN120" s="110"/>
      <c r="HO120" s="110"/>
      <c r="HP120" s="110"/>
      <c r="HQ120" s="110"/>
      <c r="HR120" s="110"/>
      <c r="HS120" s="110"/>
      <c r="HT120" s="110"/>
      <c r="HU120" s="110"/>
      <c r="HV120" s="110"/>
      <c r="HW120" s="110"/>
      <c r="HX120" s="110"/>
      <c r="HY120" s="110"/>
      <c r="HZ120" s="110"/>
      <c r="IA120" s="110"/>
      <c r="IB120" s="110"/>
      <c r="IC120" s="110"/>
      <c r="ID120" s="110"/>
      <c r="IE120" s="110"/>
      <c r="IF120" s="110"/>
      <c r="IG120" s="110"/>
      <c r="IH120" s="110"/>
      <c r="II120" s="110"/>
      <c r="IJ120" s="110"/>
      <c r="IK120" s="110"/>
      <c r="IL120" s="110"/>
      <c r="IM120" s="110"/>
      <c r="IN120" s="110"/>
      <c r="IO120" s="110"/>
      <c r="IP120" s="110"/>
      <c r="IQ120" s="110"/>
      <c r="IR120" s="110"/>
      <c r="IS120" s="110"/>
      <c r="IT120" s="110"/>
      <c r="IU120" s="110"/>
      <c r="IV120" s="110"/>
      <c r="IW120" s="110"/>
    </row>
    <row r="121" spans="1:257" x14ac:dyDescent="0.3">
      <c r="A121" s="156"/>
      <c r="B121" s="156"/>
      <c r="C121" s="156"/>
      <c r="D121" s="156"/>
      <c r="E121" s="156"/>
      <c r="F121" s="156"/>
      <c r="G121" s="156"/>
      <c r="H121" s="156"/>
      <c r="I121" s="174"/>
      <c r="J121" s="156"/>
      <c r="K121" s="156"/>
      <c r="L121" s="156"/>
      <c r="M121" s="156"/>
      <c r="N121" s="156"/>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c r="BY121" s="110"/>
      <c r="BZ121" s="110"/>
      <c r="CA121" s="110"/>
      <c r="CB121" s="110"/>
      <c r="CC121" s="110"/>
      <c r="CD121" s="110"/>
      <c r="CE121" s="110"/>
      <c r="CF121" s="110"/>
      <c r="CG121" s="110"/>
      <c r="CH121" s="110"/>
      <c r="CI121" s="110"/>
      <c r="CJ121" s="110"/>
      <c r="CK121" s="110"/>
      <c r="CL121" s="110"/>
      <c r="CM121" s="110"/>
      <c r="CN121" s="110"/>
      <c r="CO121" s="110"/>
      <c r="CP121" s="110"/>
      <c r="CQ121" s="110"/>
      <c r="CR121" s="110"/>
      <c r="CS121" s="110"/>
      <c r="CT121" s="110"/>
      <c r="CU121" s="110"/>
      <c r="CV121" s="110"/>
      <c r="CW121" s="110"/>
      <c r="CX121" s="110"/>
      <c r="CY121" s="110"/>
      <c r="CZ121" s="110"/>
      <c r="DA121" s="110"/>
      <c r="DB121" s="110"/>
      <c r="DC121" s="110"/>
      <c r="DD121" s="110"/>
      <c r="DE121" s="110"/>
      <c r="DF121" s="110"/>
      <c r="DG121" s="110"/>
      <c r="DH121" s="110"/>
      <c r="DI121" s="110"/>
      <c r="DJ121" s="110"/>
      <c r="DK121" s="110"/>
      <c r="DL121" s="110"/>
      <c r="DM121" s="110"/>
      <c r="DN121" s="110"/>
      <c r="DO121" s="110"/>
      <c r="DP121" s="110"/>
      <c r="DQ121" s="110"/>
      <c r="DR121" s="110"/>
      <c r="DS121" s="110"/>
      <c r="DT121" s="110"/>
      <c r="DU121" s="110"/>
      <c r="DV121" s="110"/>
      <c r="DW121" s="110"/>
      <c r="DX121" s="110"/>
      <c r="DY121" s="110"/>
      <c r="DZ121" s="110"/>
      <c r="EA121" s="110"/>
      <c r="EB121" s="110"/>
      <c r="EC121" s="110"/>
      <c r="ED121" s="110"/>
      <c r="EE121" s="110"/>
      <c r="EF121" s="110"/>
      <c r="EG121" s="110"/>
      <c r="EH121" s="110"/>
      <c r="EI121" s="110"/>
      <c r="EJ121" s="110"/>
      <c r="EK121" s="110"/>
      <c r="EL121" s="110"/>
      <c r="EM121" s="110"/>
      <c r="EN121" s="110"/>
      <c r="EO121" s="110"/>
      <c r="EP121" s="110"/>
      <c r="EQ121" s="110"/>
      <c r="ER121" s="110"/>
      <c r="ES121" s="110"/>
      <c r="ET121" s="110"/>
      <c r="EU121" s="110"/>
      <c r="EV121" s="110"/>
      <c r="EW121" s="110"/>
      <c r="EX121" s="110"/>
      <c r="EY121" s="110"/>
      <c r="EZ121" s="110"/>
      <c r="FA121" s="110"/>
      <c r="FB121" s="110"/>
      <c r="FC121" s="110"/>
      <c r="FD121" s="110"/>
      <c r="FE121" s="110"/>
      <c r="FF121" s="110"/>
      <c r="FG121" s="110"/>
      <c r="FH121" s="110"/>
      <c r="FI121" s="110"/>
      <c r="FJ121" s="110"/>
      <c r="FK121" s="110"/>
      <c r="FL121" s="110"/>
      <c r="FM121" s="110"/>
      <c r="FN121" s="110"/>
      <c r="FO121" s="110"/>
      <c r="FP121" s="110"/>
      <c r="FQ121" s="110"/>
      <c r="FR121" s="110"/>
      <c r="FS121" s="110"/>
      <c r="FT121" s="110"/>
      <c r="FU121" s="110"/>
      <c r="FV121" s="110"/>
      <c r="FW121" s="110"/>
      <c r="FX121" s="110"/>
      <c r="FY121" s="110"/>
      <c r="FZ121" s="110"/>
      <c r="GA121" s="110"/>
      <c r="GB121" s="110"/>
      <c r="GC121" s="110"/>
      <c r="GD121" s="110"/>
      <c r="GE121" s="110"/>
      <c r="GF121" s="110"/>
      <c r="GG121" s="110"/>
      <c r="GH121" s="110"/>
      <c r="GI121" s="110"/>
      <c r="GJ121" s="110"/>
      <c r="GK121" s="110"/>
      <c r="GL121" s="110"/>
      <c r="GM121" s="110"/>
      <c r="GN121" s="110"/>
      <c r="GO121" s="110"/>
      <c r="GP121" s="110"/>
      <c r="GQ121" s="110"/>
      <c r="GR121" s="110"/>
      <c r="GS121" s="110"/>
      <c r="GT121" s="110"/>
      <c r="GU121" s="110"/>
      <c r="GV121" s="110"/>
      <c r="GW121" s="110"/>
      <c r="GX121" s="110"/>
      <c r="GY121" s="110"/>
      <c r="GZ121" s="110"/>
      <c r="HA121" s="110"/>
      <c r="HB121" s="110"/>
      <c r="HC121" s="110"/>
      <c r="HD121" s="110"/>
      <c r="HE121" s="110"/>
      <c r="HF121" s="110"/>
      <c r="HG121" s="110"/>
      <c r="HH121" s="110"/>
      <c r="HI121" s="110"/>
      <c r="HJ121" s="110"/>
      <c r="HK121" s="110"/>
      <c r="HL121" s="110"/>
      <c r="HM121" s="110"/>
      <c r="HN121" s="110"/>
      <c r="HO121" s="110"/>
      <c r="HP121" s="110"/>
      <c r="HQ121" s="110"/>
      <c r="HR121" s="110"/>
      <c r="HS121" s="110"/>
      <c r="HT121" s="110"/>
      <c r="HU121" s="110"/>
      <c r="HV121" s="110"/>
      <c r="HW121" s="110"/>
      <c r="HX121" s="110"/>
      <c r="HY121" s="110"/>
      <c r="HZ121" s="110"/>
      <c r="IA121" s="110"/>
      <c r="IB121" s="110"/>
      <c r="IC121" s="110"/>
      <c r="ID121" s="110"/>
      <c r="IE121" s="110"/>
      <c r="IF121" s="110"/>
      <c r="IG121" s="110"/>
      <c r="IH121" s="110"/>
      <c r="II121" s="110"/>
      <c r="IJ121" s="110"/>
      <c r="IK121" s="110"/>
      <c r="IL121" s="110"/>
      <c r="IM121" s="110"/>
      <c r="IN121" s="110"/>
      <c r="IO121" s="110"/>
      <c r="IP121" s="110"/>
      <c r="IQ121" s="110"/>
      <c r="IR121" s="110"/>
      <c r="IS121" s="110"/>
      <c r="IT121" s="110"/>
      <c r="IU121" s="110"/>
      <c r="IV121" s="110"/>
      <c r="IW121" s="110"/>
    </row>
    <row r="122" spans="1:257" x14ac:dyDescent="0.3">
      <c r="A122" s="156"/>
      <c r="B122" s="156"/>
      <c r="C122" s="156"/>
      <c r="D122" s="156"/>
      <c r="E122" s="156"/>
      <c r="F122" s="156"/>
      <c r="G122" s="156"/>
      <c r="H122" s="156"/>
      <c r="I122" s="174"/>
      <c r="J122" s="156"/>
      <c r="K122" s="156"/>
      <c r="L122" s="156"/>
      <c r="M122" s="156"/>
      <c r="N122" s="156"/>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c r="BY122" s="110"/>
      <c r="BZ122" s="110"/>
      <c r="CA122" s="110"/>
      <c r="CB122" s="110"/>
      <c r="CC122" s="110"/>
      <c r="CD122" s="110"/>
      <c r="CE122" s="110"/>
      <c r="CF122" s="110"/>
      <c r="CG122" s="110"/>
      <c r="CH122" s="110"/>
      <c r="CI122" s="110"/>
      <c r="CJ122" s="110"/>
      <c r="CK122" s="110"/>
      <c r="CL122" s="110"/>
      <c r="CM122" s="110"/>
      <c r="CN122" s="110"/>
      <c r="CO122" s="110"/>
      <c r="CP122" s="110"/>
      <c r="CQ122" s="110"/>
      <c r="CR122" s="110"/>
      <c r="CS122" s="110"/>
      <c r="CT122" s="110"/>
      <c r="CU122" s="110"/>
      <c r="CV122" s="110"/>
      <c r="CW122" s="110"/>
      <c r="CX122" s="110"/>
      <c r="CY122" s="110"/>
      <c r="CZ122" s="110"/>
      <c r="DA122" s="110"/>
      <c r="DB122" s="110"/>
      <c r="DC122" s="110"/>
      <c r="DD122" s="110"/>
      <c r="DE122" s="110"/>
      <c r="DF122" s="110"/>
      <c r="DG122" s="110"/>
      <c r="DH122" s="110"/>
      <c r="DI122" s="110"/>
      <c r="DJ122" s="110"/>
      <c r="DK122" s="110"/>
      <c r="DL122" s="110"/>
      <c r="DM122" s="110"/>
      <c r="DN122" s="110"/>
      <c r="DO122" s="110"/>
      <c r="DP122" s="110"/>
      <c r="DQ122" s="110"/>
      <c r="DR122" s="110"/>
      <c r="DS122" s="110"/>
      <c r="DT122" s="110"/>
      <c r="DU122" s="110"/>
      <c r="DV122" s="110"/>
      <c r="DW122" s="110"/>
      <c r="DX122" s="110"/>
      <c r="DY122" s="110"/>
      <c r="DZ122" s="110"/>
      <c r="EA122" s="110"/>
      <c r="EB122" s="110"/>
      <c r="EC122" s="110"/>
      <c r="ED122" s="110"/>
      <c r="EE122" s="110"/>
      <c r="EF122" s="110"/>
      <c r="EG122" s="110"/>
      <c r="EH122" s="110"/>
      <c r="EI122" s="110"/>
      <c r="EJ122" s="110"/>
      <c r="EK122" s="110"/>
      <c r="EL122" s="110"/>
      <c r="EM122" s="110"/>
      <c r="EN122" s="110"/>
      <c r="EO122" s="110"/>
      <c r="EP122" s="110"/>
      <c r="EQ122" s="110"/>
      <c r="ER122" s="110"/>
      <c r="ES122" s="110"/>
      <c r="ET122" s="110"/>
      <c r="EU122" s="110"/>
      <c r="EV122" s="110"/>
      <c r="EW122" s="110"/>
      <c r="EX122" s="110"/>
      <c r="EY122" s="110"/>
      <c r="EZ122" s="110"/>
      <c r="FA122" s="110"/>
      <c r="FB122" s="110"/>
      <c r="FC122" s="110"/>
      <c r="FD122" s="110"/>
      <c r="FE122" s="110"/>
      <c r="FF122" s="110"/>
      <c r="FG122" s="110"/>
      <c r="FH122" s="110"/>
      <c r="FI122" s="110"/>
      <c r="FJ122" s="110"/>
      <c r="FK122" s="110"/>
      <c r="FL122" s="110"/>
      <c r="FM122" s="110"/>
      <c r="FN122" s="110"/>
      <c r="FO122" s="110"/>
      <c r="FP122" s="110"/>
      <c r="FQ122" s="110"/>
      <c r="FR122" s="110"/>
      <c r="FS122" s="110"/>
      <c r="FT122" s="110"/>
      <c r="FU122" s="110"/>
      <c r="FV122" s="110"/>
      <c r="FW122" s="110"/>
      <c r="FX122" s="110"/>
      <c r="FY122" s="110"/>
      <c r="FZ122" s="110"/>
      <c r="GA122" s="110"/>
      <c r="GB122" s="110"/>
      <c r="GC122" s="110"/>
      <c r="GD122" s="110"/>
      <c r="GE122" s="110"/>
      <c r="GF122" s="110"/>
      <c r="GG122" s="110"/>
      <c r="GH122" s="110"/>
      <c r="GI122" s="110"/>
      <c r="GJ122" s="110"/>
      <c r="GK122" s="110"/>
      <c r="GL122" s="110"/>
      <c r="GM122" s="110"/>
      <c r="GN122" s="110"/>
      <c r="GO122" s="110"/>
      <c r="GP122" s="110"/>
      <c r="GQ122" s="110"/>
      <c r="GR122" s="110"/>
      <c r="GS122" s="110"/>
      <c r="GT122" s="110"/>
      <c r="GU122" s="110"/>
      <c r="GV122" s="110"/>
      <c r="GW122" s="110"/>
      <c r="GX122" s="110"/>
      <c r="GY122" s="110"/>
      <c r="GZ122" s="110"/>
      <c r="HA122" s="110"/>
      <c r="HB122" s="110"/>
      <c r="HC122" s="110"/>
      <c r="HD122" s="110"/>
      <c r="HE122" s="110"/>
      <c r="HF122" s="110"/>
      <c r="HG122" s="110"/>
      <c r="HH122" s="110"/>
      <c r="HI122" s="110"/>
      <c r="HJ122" s="110"/>
      <c r="HK122" s="110"/>
      <c r="HL122" s="110"/>
      <c r="HM122" s="110"/>
      <c r="HN122" s="110"/>
      <c r="HO122" s="110"/>
      <c r="HP122" s="110"/>
      <c r="HQ122" s="110"/>
      <c r="HR122" s="110"/>
      <c r="HS122" s="110"/>
      <c r="HT122" s="110"/>
      <c r="HU122" s="110"/>
      <c r="HV122" s="110"/>
      <c r="HW122" s="110"/>
      <c r="HX122" s="110"/>
      <c r="HY122" s="110"/>
      <c r="HZ122" s="110"/>
      <c r="IA122" s="110"/>
      <c r="IB122" s="110"/>
      <c r="IC122" s="110"/>
      <c r="ID122" s="110"/>
      <c r="IE122" s="110"/>
      <c r="IF122" s="110"/>
      <c r="IG122" s="110"/>
      <c r="IH122" s="110"/>
      <c r="II122" s="110"/>
      <c r="IJ122" s="110"/>
      <c r="IK122" s="110"/>
      <c r="IL122" s="110"/>
      <c r="IM122" s="110"/>
      <c r="IN122" s="110"/>
      <c r="IO122" s="110"/>
      <c r="IP122" s="110"/>
      <c r="IQ122" s="110"/>
      <c r="IR122" s="110"/>
      <c r="IS122" s="110"/>
      <c r="IT122" s="110"/>
      <c r="IU122" s="110"/>
      <c r="IV122" s="110"/>
      <c r="IW122" s="110"/>
    </row>
    <row r="123" spans="1:257" x14ac:dyDescent="0.3">
      <c r="A123" s="156"/>
      <c r="B123" s="156"/>
      <c r="C123" s="156"/>
      <c r="D123" s="156"/>
      <c r="E123" s="156"/>
      <c r="F123" s="156"/>
      <c r="G123" s="156"/>
      <c r="H123" s="156"/>
      <c r="I123" s="174"/>
      <c r="J123" s="156"/>
      <c r="K123" s="156"/>
      <c r="L123" s="156"/>
      <c r="M123" s="156"/>
      <c r="N123" s="156"/>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c r="BY123" s="110"/>
      <c r="BZ123" s="110"/>
      <c r="CA123" s="110"/>
      <c r="CB123" s="110"/>
      <c r="CC123" s="110"/>
      <c r="CD123" s="110"/>
      <c r="CE123" s="110"/>
      <c r="CF123" s="110"/>
      <c r="CG123" s="110"/>
      <c r="CH123" s="110"/>
      <c r="CI123" s="110"/>
      <c r="CJ123" s="110"/>
      <c r="CK123" s="110"/>
      <c r="CL123" s="110"/>
      <c r="CM123" s="110"/>
      <c r="CN123" s="110"/>
      <c r="CO123" s="110"/>
      <c r="CP123" s="110"/>
      <c r="CQ123" s="110"/>
      <c r="CR123" s="110"/>
      <c r="CS123" s="110"/>
      <c r="CT123" s="110"/>
      <c r="CU123" s="110"/>
      <c r="CV123" s="110"/>
      <c r="CW123" s="110"/>
      <c r="CX123" s="110"/>
      <c r="CY123" s="110"/>
      <c r="CZ123" s="110"/>
      <c r="DA123" s="110"/>
      <c r="DB123" s="110"/>
      <c r="DC123" s="110"/>
      <c r="DD123" s="110"/>
      <c r="DE123" s="110"/>
      <c r="DF123" s="110"/>
      <c r="DG123" s="110"/>
      <c r="DH123" s="110"/>
      <c r="DI123" s="110"/>
      <c r="DJ123" s="110"/>
      <c r="DK123" s="110"/>
      <c r="DL123" s="110"/>
      <c r="DM123" s="110"/>
      <c r="DN123" s="110"/>
      <c r="DO123" s="110"/>
      <c r="DP123" s="110"/>
      <c r="DQ123" s="110"/>
      <c r="DR123" s="110"/>
      <c r="DS123" s="110"/>
      <c r="DT123" s="110"/>
      <c r="DU123" s="110"/>
      <c r="DV123" s="110"/>
      <c r="DW123" s="110"/>
      <c r="DX123" s="110"/>
      <c r="DY123" s="110"/>
      <c r="DZ123" s="110"/>
      <c r="EA123" s="110"/>
      <c r="EB123" s="110"/>
      <c r="EC123" s="110"/>
      <c r="ED123" s="110"/>
      <c r="EE123" s="110"/>
      <c r="EF123" s="110"/>
      <c r="EG123" s="110"/>
      <c r="EH123" s="110"/>
      <c r="EI123" s="110"/>
      <c r="EJ123" s="110"/>
      <c r="EK123" s="110"/>
      <c r="EL123" s="110"/>
      <c r="EM123" s="110"/>
      <c r="EN123" s="110"/>
      <c r="EO123" s="110"/>
      <c r="EP123" s="110"/>
      <c r="EQ123" s="110"/>
      <c r="ER123" s="110"/>
      <c r="ES123" s="110"/>
      <c r="ET123" s="110"/>
      <c r="EU123" s="110"/>
      <c r="EV123" s="110"/>
      <c r="EW123" s="110"/>
      <c r="EX123" s="110"/>
      <c r="EY123" s="110"/>
      <c r="EZ123" s="110"/>
      <c r="FA123" s="110"/>
      <c r="FB123" s="110"/>
      <c r="FC123" s="110"/>
      <c r="FD123" s="110"/>
      <c r="FE123" s="110"/>
      <c r="FF123" s="110"/>
      <c r="FG123" s="110"/>
      <c r="FH123" s="110"/>
      <c r="FI123" s="110"/>
      <c r="FJ123" s="110"/>
      <c r="FK123" s="110"/>
      <c r="FL123" s="110"/>
      <c r="FM123" s="110"/>
      <c r="FN123" s="110"/>
      <c r="FO123" s="110"/>
      <c r="FP123" s="110"/>
      <c r="FQ123" s="110"/>
      <c r="FR123" s="110"/>
      <c r="FS123" s="110"/>
      <c r="FT123" s="110"/>
      <c r="FU123" s="110"/>
      <c r="FV123" s="110"/>
      <c r="FW123" s="110"/>
      <c r="FX123" s="110"/>
      <c r="FY123" s="110"/>
      <c r="FZ123" s="110"/>
      <c r="GA123" s="110"/>
      <c r="GB123" s="110"/>
      <c r="GC123" s="110"/>
      <c r="GD123" s="110"/>
      <c r="GE123" s="110"/>
      <c r="GF123" s="110"/>
      <c r="GG123" s="110"/>
      <c r="GH123" s="110"/>
      <c r="GI123" s="110"/>
      <c r="GJ123" s="110"/>
      <c r="GK123" s="110"/>
      <c r="GL123" s="110"/>
      <c r="GM123" s="110"/>
      <c r="GN123" s="110"/>
      <c r="GO123" s="110"/>
      <c r="GP123" s="110"/>
      <c r="GQ123" s="110"/>
      <c r="GR123" s="110"/>
      <c r="GS123" s="110"/>
      <c r="GT123" s="110"/>
      <c r="GU123" s="110"/>
      <c r="GV123" s="110"/>
      <c r="GW123" s="110"/>
      <c r="GX123" s="110"/>
      <c r="GY123" s="110"/>
      <c r="GZ123" s="110"/>
      <c r="HA123" s="110"/>
      <c r="HB123" s="110"/>
      <c r="HC123" s="110"/>
      <c r="HD123" s="110"/>
      <c r="HE123" s="110"/>
      <c r="HF123" s="110"/>
      <c r="HG123" s="110"/>
      <c r="HH123" s="110"/>
      <c r="HI123" s="110"/>
      <c r="HJ123" s="110"/>
      <c r="HK123" s="110"/>
      <c r="HL123" s="110"/>
      <c r="HM123" s="110"/>
      <c r="HN123" s="110"/>
      <c r="HO123" s="110"/>
      <c r="HP123" s="110"/>
      <c r="HQ123" s="110"/>
      <c r="HR123" s="110"/>
      <c r="HS123" s="110"/>
      <c r="HT123" s="110"/>
      <c r="HU123" s="110"/>
      <c r="HV123" s="110"/>
      <c r="HW123" s="110"/>
      <c r="HX123" s="110"/>
      <c r="HY123" s="110"/>
      <c r="HZ123" s="110"/>
      <c r="IA123" s="110"/>
      <c r="IB123" s="110"/>
      <c r="IC123" s="110"/>
      <c r="ID123" s="110"/>
      <c r="IE123" s="110"/>
      <c r="IF123" s="110"/>
      <c r="IG123" s="110"/>
      <c r="IH123" s="110"/>
      <c r="II123" s="110"/>
      <c r="IJ123" s="110"/>
      <c r="IK123" s="110"/>
      <c r="IL123" s="110"/>
      <c r="IM123" s="110"/>
      <c r="IN123" s="110"/>
      <c r="IO123" s="110"/>
      <c r="IP123" s="110"/>
      <c r="IQ123" s="110"/>
      <c r="IR123" s="110"/>
      <c r="IS123" s="110"/>
      <c r="IT123" s="110"/>
      <c r="IU123" s="110"/>
      <c r="IV123" s="110"/>
      <c r="IW123" s="110"/>
    </row>
    <row r="124" spans="1:257" x14ac:dyDescent="0.3">
      <c r="A124" s="156"/>
      <c r="B124" s="156"/>
      <c r="C124" s="156"/>
      <c r="D124" s="156"/>
      <c r="E124" s="156"/>
      <c r="F124" s="156"/>
      <c r="G124" s="156"/>
      <c r="H124" s="156"/>
      <c r="I124" s="174"/>
      <c r="J124" s="156"/>
      <c r="K124" s="156"/>
      <c r="L124" s="156"/>
      <c r="M124" s="156"/>
      <c r="N124" s="156"/>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c r="BY124" s="110"/>
      <c r="BZ124" s="110"/>
      <c r="CA124" s="110"/>
      <c r="CB124" s="110"/>
      <c r="CC124" s="110"/>
      <c r="CD124" s="110"/>
      <c r="CE124" s="110"/>
      <c r="CF124" s="110"/>
      <c r="CG124" s="110"/>
      <c r="CH124" s="110"/>
      <c r="CI124" s="110"/>
      <c r="CJ124" s="110"/>
      <c r="CK124" s="110"/>
      <c r="CL124" s="110"/>
      <c r="CM124" s="110"/>
      <c r="CN124" s="110"/>
      <c r="CO124" s="110"/>
      <c r="CP124" s="110"/>
      <c r="CQ124" s="110"/>
      <c r="CR124" s="110"/>
      <c r="CS124" s="110"/>
      <c r="CT124" s="110"/>
      <c r="CU124" s="110"/>
      <c r="CV124" s="110"/>
      <c r="CW124" s="110"/>
      <c r="CX124" s="110"/>
      <c r="CY124" s="110"/>
      <c r="CZ124" s="110"/>
      <c r="DA124" s="110"/>
      <c r="DB124" s="110"/>
      <c r="DC124" s="110"/>
      <c r="DD124" s="110"/>
      <c r="DE124" s="110"/>
      <c r="DF124" s="110"/>
      <c r="DG124" s="110"/>
      <c r="DH124" s="110"/>
      <c r="DI124" s="110"/>
      <c r="DJ124" s="110"/>
      <c r="DK124" s="110"/>
      <c r="DL124" s="110"/>
      <c r="DM124" s="110"/>
      <c r="DN124" s="110"/>
      <c r="DO124" s="110"/>
      <c r="DP124" s="110"/>
      <c r="DQ124" s="110"/>
      <c r="DR124" s="110"/>
      <c r="DS124" s="110"/>
      <c r="DT124" s="110"/>
      <c r="DU124" s="110"/>
      <c r="DV124" s="110"/>
      <c r="DW124" s="110"/>
      <c r="DX124" s="110"/>
      <c r="DY124" s="110"/>
      <c r="DZ124" s="110"/>
      <c r="EA124" s="110"/>
      <c r="EB124" s="110"/>
      <c r="EC124" s="110"/>
      <c r="ED124" s="110"/>
      <c r="EE124" s="110"/>
      <c r="EF124" s="110"/>
      <c r="EG124" s="110"/>
      <c r="EH124" s="110"/>
      <c r="EI124" s="110"/>
      <c r="EJ124" s="110"/>
      <c r="EK124" s="110"/>
      <c r="EL124" s="110"/>
      <c r="EM124" s="110"/>
      <c r="EN124" s="110"/>
      <c r="EO124" s="110"/>
      <c r="EP124" s="110"/>
      <c r="EQ124" s="110"/>
      <c r="ER124" s="110"/>
      <c r="ES124" s="110"/>
      <c r="ET124" s="110"/>
      <c r="EU124" s="110"/>
      <c r="EV124" s="110"/>
      <c r="EW124" s="110"/>
      <c r="EX124" s="110"/>
      <c r="EY124" s="110"/>
      <c r="EZ124" s="110"/>
      <c r="FA124" s="110"/>
      <c r="FB124" s="110"/>
      <c r="FC124" s="110"/>
      <c r="FD124" s="110"/>
      <c r="FE124" s="110"/>
      <c r="FF124" s="110"/>
      <c r="FG124" s="110"/>
      <c r="FH124" s="110"/>
      <c r="FI124" s="110"/>
      <c r="FJ124" s="110"/>
      <c r="FK124" s="110"/>
      <c r="FL124" s="110"/>
      <c r="FM124" s="110"/>
      <c r="FN124" s="110"/>
      <c r="FO124" s="110"/>
      <c r="FP124" s="110"/>
      <c r="FQ124" s="110"/>
      <c r="FR124" s="110"/>
      <c r="FS124" s="110"/>
      <c r="FT124" s="110"/>
      <c r="FU124" s="110"/>
      <c r="FV124" s="110"/>
      <c r="FW124" s="110"/>
      <c r="FX124" s="110"/>
      <c r="FY124" s="110"/>
      <c r="FZ124" s="110"/>
      <c r="GA124" s="110"/>
      <c r="GB124" s="110"/>
      <c r="GC124" s="110"/>
      <c r="GD124" s="110"/>
      <c r="GE124" s="110"/>
      <c r="GF124" s="110"/>
      <c r="GG124" s="110"/>
      <c r="GH124" s="110"/>
      <c r="GI124" s="110"/>
      <c r="GJ124" s="110"/>
      <c r="GK124" s="110"/>
      <c r="GL124" s="110"/>
      <c r="GM124" s="110"/>
      <c r="GN124" s="110"/>
      <c r="GO124" s="110"/>
      <c r="GP124" s="110"/>
      <c r="GQ124" s="110"/>
      <c r="GR124" s="110"/>
      <c r="GS124" s="110"/>
      <c r="GT124" s="110"/>
      <c r="GU124" s="110"/>
      <c r="GV124" s="110"/>
      <c r="GW124" s="110"/>
      <c r="GX124" s="110"/>
      <c r="GY124" s="110"/>
      <c r="GZ124" s="110"/>
      <c r="HA124" s="110"/>
      <c r="HB124" s="110"/>
      <c r="HC124" s="110"/>
      <c r="HD124" s="110"/>
      <c r="HE124" s="110"/>
      <c r="HF124" s="110"/>
      <c r="HG124" s="110"/>
      <c r="HH124" s="110"/>
      <c r="HI124" s="110"/>
      <c r="HJ124" s="110"/>
      <c r="HK124" s="110"/>
      <c r="HL124" s="110"/>
      <c r="HM124" s="110"/>
      <c r="HN124" s="110"/>
      <c r="HO124" s="110"/>
      <c r="HP124" s="110"/>
      <c r="HQ124" s="110"/>
      <c r="HR124" s="110"/>
      <c r="HS124" s="110"/>
      <c r="HT124" s="110"/>
      <c r="HU124" s="110"/>
      <c r="HV124" s="110"/>
      <c r="HW124" s="110"/>
      <c r="HX124" s="110"/>
      <c r="HY124" s="110"/>
      <c r="HZ124" s="110"/>
      <c r="IA124" s="110"/>
      <c r="IB124" s="110"/>
      <c r="IC124" s="110"/>
      <c r="ID124" s="110"/>
      <c r="IE124" s="110"/>
      <c r="IF124" s="110"/>
      <c r="IG124" s="110"/>
      <c r="IH124" s="110"/>
      <c r="II124" s="110"/>
      <c r="IJ124" s="110"/>
      <c r="IK124" s="110"/>
      <c r="IL124" s="110"/>
      <c r="IM124" s="110"/>
      <c r="IN124" s="110"/>
      <c r="IO124" s="110"/>
      <c r="IP124" s="110"/>
      <c r="IQ124" s="110"/>
      <c r="IR124" s="110"/>
      <c r="IS124" s="110"/>
      <c r="IT124" s="110"/>
      <c r="IU124" s="110"/>
      <c r="IV124" s="110"/>
      <c r="IW124" s="110"/>
    </row>
    <row r="125" spans="1:257" x14ac:dyDescent="0.3">
      <c r="A125" s="156"/>
      <c r="B125" s="156"/>
      <c r="C125" s="156"/>
      <c r="D125" s="156"/>
      <c r="E125" s="156"/>
      <c r="F125" s="156"/>
      <c r="G125" s="156"/>
      <c r="H125" s="156"/>
      <c r="I125" s="174"/>
      <c r="J125" s="156"/>
      <c r="K125" s="156"/>
      <c r="L125" s="156"/>
      <c r="M125" s="156"/>
      <c r="N125" s="156"/>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c r="BY125" s="110"/>
      <c r="BZ125" s="110"/>
      <c r="CA125" s="110"/>
      <c r="CB125" s="110"/>
      <c r="CC125" s="110"/>
      <c r="CD125" s="110"/>
      <c r="CE125" s="110"/>
      <c r="CF125" s="110"/>
      <c r="CG125" s="110"/>
      <c r="CH125" s="110"/>
      <c r="CI125" s="110"/>
      <c r="CJ125" s="110"/>
      <c r="CK125" s="110"/>
      <c r="CL125" s="110"/>
      <c r="CM125" s="110"/>
      <c r="CN125" s="110"/>
      <c r="CO125" s="110"/>
      <c r="CP125" s="110"/>
      <c r="CQ125" s="110"/>
      <c r="CR125" s="110"/>
      <c r="CS125" s="110"/>
      <c r="CT125" s="110"/>
      <c r="CU125" s="110"/>
      <c r="CV125" s="110"/>
      <c r="CW125" s="110"/>
      <c r="CX125" s="110"/>
      <c r="CY125" s="110"/>
      <c r="CZ125" s="110"/>
      <c r="DA125" s="110"/>
      <c r="DB125" s="110"/>
      <c r="DC125" s="110"/>
      <c r="DD125" s="110"/>
      <c r="DE125" s="110"/>
      <c r="DF125" s="110"/>
      <c r="DG125" s="110"/>
      <c r="DH125" s="110"/>
      <c r="DI125" s="110"/>
      <c r="DJ125" s="110"/>
      <c r="DK125" s="110"/>
      <c r="DL125" s="110"/>
      <c r="DM125" s="110"/>
      <c r="DN125" s="110"/>
      <c r="DO125" s="110"/>
      <c r="DP125" s="110"/>
      <c r="DQ125" s="110"/>
      <c r="DR125" s="110"/>
      <c r="DS125" s="110"/>
      <c r="DT125" s="110"/>
      <c r="DU125" s="110"/>
      <c r="DV125" s="110"/>
      <c r="DW125" s="110"/>
      <c r="DX125" s="110"/>
      <c r="DY125" s="110"/>
      <c r="DZ125" s="110"/>
      <c r="EA125" s="110"/>
      <c r="EB125" s="110"/>
      <c r="EC125" s="110"/>
      <c r="ED125" s="110"/>
      <c r="EE125" s="110"/>
      <c r="EF125" s="110"/>
      <c r="EG125" s="110"/>
      <c r="EH125" s="110"/>
      <c r="EI125" s="110"/>
      <c r="EJ125" s="110"/>
      <c r="EK125" s="110"/>
      <c r="EL125" s="110"/>
      <c r="EM125" s="110"/>
      <c r="EN125" s="110"/>
      <c r="EO125" s="110"/>
      <c r="EP125" s="110"/>
      <c r="EQ125" s="110"/>
      <c r="ER125" s="110"/>
      <c r="ES125" s="110"/>
      <c r="ET125" s="110"/>
      <c r="EU125" s="110"/>
      <c r="EV125" s="110"/>
      <c r="EW125" s="110"/>
      <c r="EX125" s="110"/>
      <c r="EY125" s="110"/>
      <c r="EZ125" s="110"/>
      <c r="FA125" s="110"/>
      <c r="FB125" s="110"/>
      <c r="FC125" s="110"/>
      <c r="FD125" s="110"/>
      <c r="FE125" s="110"/>
      <c r="FF125" s="110"/>
      <c r="FG125" s="110"/>
      <c r="FH125" s="110"/>
      <c r="FI125" s="110"/>
      <c r="FJ125" s="110"/>
      <c r="FK125" s="110"/>
      <c r="FL125" s="110"/>
      <c r="FM125" s="110"/>
      <c r="FN125" s="110"/>
      <c r="FO125" s="110"/>
      <c r="FP125" s="110"/>
      <c r="FQ125" s="110"/>
      <c r="FR125" s="110"/>
      <c r="FS125" s="110"/>
      <c r="FT125" s="110"/>
      <c r="FU125" s="110"/>
      <c r="FV125" s="110"/>
      <c r="FW125" s="110"/>
      <c r="FX125" s="110"/>
      <c r="FY125" s="110"/>
      <c r="FZ125" s="110"/>
      <c r="GA125" s="110"/>
      <c r="GB125" s="110"/>
      <c r="GC125" s="110"/>
      <c r="GD125" s="110"/>
      <c r="GE125" s="110"/>
      <c r="GF125" s="110"/>
      <c r="GG125" s="110"/>
      <c r="GH125" s="110"/>
      <c r="GI125" s="110"/>
      <c r="GJ125" s="110"/>
      <c r="GK125" s="110"/>
      <c r="GL125" s="110"/>
      <c r="GM125" s="110"/>
      <c r="GN125" s="110"/>
      <c r="GO125" s="110"/>
      <c r="GP125" s="110"/>
      <c r="GQ125" s="110"/>
      <c r="GR125" s="110"/>
      <c r="GS125" s="110"/>
      <c r="GT125" s="110"/>
      <c r="GU125" s="110"/>
      <c r="GV125" s="110"/>
      <c r="GW125" s="110"/>
      <c r="GX125" s="110"/>
      <c r="GY125" s="110"/>
      <c r="GZ125" s="110"/>
      <c r="HA125" s="110"/>
      <c r="HB125" s="110"/>
      <c r="HC125" s="110"/>
      <c r="HD125" s="110"/>
      <c r="HE125" s="110"/>
      <c r="HF125" s="110"/>
      <c r="HG125" s="110"/>
      <c r="HH125" s="110"/>
      <c r="HI125" s="110"/>
      <c r="HJ125" s="110"/>
      <c r="HK125" s="110"/>
      <c r="HL125" s="110"/>
      <c r="HM125" s="110"/>
      <c r="HN125" s="110"/>
      <c r="HO125" s="110"/>
      <c r="HP125" s="110"/>
      <c r="HQ125" s="110"/>
      <c r="HR125" s="110"/>
      <c r="HS125" s="110"/>
      <c r="HT125" s="110"/>
      <c r="HU125" s="110"/>
      <c r="HV125" s="110"/>
      <c r="HW125" s="110"/>
      <c r="HX125" s="110"/>
      <c r="HY125" s="110"/>
      <c r="HZ125" s="110"/>
      <c r="IA125" s="110"/>
      <c r="IB125" s="110"/>
      <c r="IC125" s="110"/>
      <c r="ID125" s="110"/>
      <c r="IE125" s="110"/>
      <c r="IF125" s="110"/>
      <c r="IG125" s="110"/>
      <c r="IH125" s="110"/>
      <c r="II125" s="110"/>
      <c r="IJ125" s="110"/>
      <c r="IK125" s="110"/>
      <c r="IL125" s="110"/>
      <c r="IM125" s="110"/>
      <c r="IN125" s="110"/>
      <c r="IO125" s="110"/>
      <c r="IP125" s="110"/>
      <c r="IQ125" s="110"/>
      <c r="IR125" s="110"/>
      <c r="IS125" s="110"/>
      <c r="IT125" s="110"/>
      <c r="IU125" s="110"/>
      <c r="IV125" s="110"/>
      <c r="IW125" s="110"/>
    </row>
    <row r="126" spans="1:257" x14ac:dyDescent="0.3">
      <c r="A126" s="156"/>
      <c r="B126" s="156"/>
      <c r="C126" s="156"/>
      <c r="D126" s="156"/>
      <c r="E126" s="156"/>
      <c r="F126" s="156"/>
      <c r="G126" s="156"/>
      <c r="H126" s="156"/>
      <c r="I126" s="174"/>
      <c r="J126" s="156"/>
      <c r="K126" s="156"/>
      <c r="L126" s="156"/>
      <c r="M126" s="156"/>
      <c r="N126" s="156"/>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c r="BY126" s="110"/>
      <c r="BZ126" s="110"/>
      <c r="CA126" s="110"/>
      <c r="CB126" s="110"/>
      <c r="CC126" s="110"/>
      <c r="CD126" s="110"/>
      <c r="CE126" s="110"/>
      <c r="CF126" s="110"/>
      <c r="CG126" s="110"/>
      <c r="CH126" s="110"/>
      <c r="CI126" s="110"/>
      <c r="CJ126" s="110"/>
      <c r="CK126" s="110"/>
      <c r="CL126" s="110"/>
      <c r="CM126" s="110"/>
      <c r="CN126" s="110"/>
      <c r="CO126" s="110"/>
      <c r="CP126" s="110"/>
      <c r="CQ126" s="110"/>
      <c r="CR126" s="110"/>
      <c r="CS126" s="110"/>
      <c r="CT126" s="110"/>
      <c r="CU126" s="110"/>
      <c r="CV126" s="110"/>
      <c r="CW126" s="110"/>
      <c r="CX126" s="110"/>
      <c r="CY126" s="110"/>
      <c r="CZ126" s="110"/>
      <c r="DA126" s="110"/>
      <c r="DB126" s="110"/>
      <c r="DC126" s="110"/>
      <c r="DD126" s="110"/>
      <c r="DE126" s="110"/>
      <c r="DF126" s="110"/>
      <c r="DG126" s="110"/>
      <c r="DH126" s="110"/>
      <c r="DI126" s="110"/>
      <c r="DJ126" s="110"/>
      <c r="DK126" s="110"/>
      <c r="DL126" s="110"/>
      <c r="DM126" s="110"/>
      <c r="DN126" s="110"/>
      <c r="DO126" s="110"/>
      <c r="DP126" s="110"/>
      <c r="DQ126" s="110"/>
      <c r="DR126" s="110"/>
      <c r="DS126" s="110"/>
      <c r="DT126" s="110"/>
      <c r="DU126" s="110"/>
      <c r="DV126" s="110"/>
      <c r="DW126" s="110"/>
      <c r="DX126" s="110"/>
      <c r="DY126" s="110"/>
      <c r="DZ126" s="110"/>
      <c r="EA126" s="110"/>
      <c r="EB126" s="110"/>
      <c r="EC126" s="110"/>
      <c r="ED126" s="110"/>
      <c r="EE126" s="110"/>
      <c r="EF126" s="110"/>
      <c r="EG126" s="110"/>
      <c r="EH126" s="110"/>
      <c r="EI126" s="110"/>
      <c r="EJ126" s="110"/>
      <c r="EK126" s="110"/>
      <c r="EL126" s="110"/>
      <c r="EM126" s="110"/>
      <c r="EN126" s="110"/>
      <c r="EO126" s="110"/>
      <c r="EP126" s="110"/>
      <c r="EQ126" s="110"/>
      <c r="ER126" s="110"/>
      <c r="ES126" s="110"/>
      <c r="ET126" s="110"/>
      <c r="EU126" s="110"/>
      <c r="EV126" s="110"/>
      <c r="EW126" s="110"/>
      <c r="EX126" s="110"/>
      <c r="EY126" s="110"/>
      <c r="EZ126" s="110"/>
      <c r="FA126" s="110"/>
      <c r="FB126" s="110"/>
      <c r="FC126" s="110"/>
      <c r="FD126" s="110"/>
      <c r="FE126" s="110"/>
      <c r="FF126" s="110"/>
      <c r="FG126" s="110"/>
      <c r="FH126" s="110"/>
      <c r="FI126" s="110"/>
      <c r="FJ126" s="110"/>
      <c r="FK126" s="110"/>
      <c r="FL126" s="110"/>
      <c r="FM126" s="110"/>
      <c r="FN126" s="110"/>
      <c r="FO126" s="110"/>
      <c r="FP126" s="110"/>
      <c r="FQ126" s="110"/>
      <c r="FR126" s="110"/>
      <c r="FS126" s="110"/>
      <c r="FT126" s="110"/>
      <c r="FU126" s="110"/>
      <c r="FV126" s="110"/>
      <c r="FW126" s="110"/>
      <c r="FX126" s="110"/>
      <c r="FY126" s="110"/>
      <c r="FZ126" s="110"/>
      <c r="GA126" s="110"/>
      <c r="GB126" s="110"/>
      <c r="GC126" s="110"/>
      <c r="GD126" s="110"/>
      <c r="GE126" s="110"/>
      <c r="GF126" s="110"/>
      <c r="GG126" s="110"/>
      <c r="GH126" s="110"/>
      <c r="GI126" s="110"/>
      <c r="GJ126" s="110"/>
      <c r="GK126" s="110"/>
      <c r="GL126" s="110"/>
      <c r="GM126" s="110"/>
      <c r="GN126" s="110"/>
      <c r="GO126" s="110"/>
      <c r="GP126" s="110"/>
      <c r="GQ126" s="110"/>
      <c r="GR126" s="110"/>
      <c r="GS126" s="110"/>
      <c r="GT126" s="110"/>
      <c r="GU126" s="110"/>
      <c r="GV126" s="110"/>
      <c r="GW126" s="110"/>
      <c r="GX126" s="110"/>
      <c r="GY126" s="110"/>
      <c r="GZ126" s="110"/>
      <c r="HA126" s="110"/>
      <c r="HB126" s="110"/>
      <c r="HC126" s="110"/>
      <c r="HD126" s="110"/>
      <c r="HE126" s="110"/>
      <c r="HF126" s="110"/>
      <c r="HG126" s="110"/>
      <c r="HH126" s="110"/>
      <c r="HI126" s="110"/>
      <c r="HJ126" s="110"/>
      <c r="HK126" s="110"/>
      <c r="HL126" s="110"/>
      <c r="HM126" s="110"/>
      <c r="HN126" s="110"/>
      <c r="HO126" s="110"/>
      <c r="HP126" s="110"/>
      <c r="HQ126" s="110"/>
      <c r="HR126" s="110"/>
      <c r="HS126" s="110"/>
      <c r="HT126" s="110"/>
      <c r="HU126" s="110"/>
      <c r="HV126" s="110"/>
      <c r="HW126" s="110"/>
      <c r="HX126" s="110"/>
      <c r="HY126" s="110"/>
      <c r="HZ126" s="110"/>
      <c r="IA126" s="110"/>
      <c r="IB126" s="110"/>
      <c r="IC126" s="110"/>
      <c r="ID126" s="110"/>
      <c r="IE126" s="110"/>
      <c r="IF126" s="110"/>
      <c r="IG126" s="110"/>
      <c r="IH126" s="110"/>
      <c r="II126" s="110"/>
      <c r="IJ126" s="110"/>
      <c r="IK126" s="110"/>
      <c r="IL126" s="110"/>
      <c r="IM126" s="110"/>
      <c r="IN126" s="110"/>
      <c r="IO126" s="110"/>
      <c r="IP126" s="110"/>
      <c r="IQ126" s="110"/>
      <c r="IR126" s="110"/>
      <c r="IS126" s="110"/>
      <c r="IT126" s="110"/>
      <c r="IU126" s="110"/>
      <c r="IV126" s="110"/>
      <c r="IW126" s="110"/>
    </row>
    <row r="127" spans="1:257" x14ac:dyDescent="0.3">
      <c r="A127" s="156"/>
      <c r="B127" s="156"/>
      <c r="C127" s="156"/>
      <c r="D127" s="156"/>
      <c r="E127" s="156"/>
      <c r="F127" s="156"/>
      <c r="G127" s="156"/>
      <c r="H127" s="156"/>
      <c r="I127" s="174"/>
      <c r="J127" s="156"/>
      <c r="K127" s="156"/>
      <c r="L127" s="156"/>
      <c r="M127" s="156"/>
      <c r="N127" s="156"/>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c r="BY127" s="110"/>
      <c r="BZ127" s="110"/>
      <c r="CA127" s="110"/>
      <c r="CB127" s="110"/>
      <c r="CC127" s="110"/>
      <c r="CD127" s="110"/>
      <c r="CE127" s="110"/>
      <c r="CF127" s="110"/>
      <c r="CG127" s="110"/>
      <c r="CH127" s="110"/>
      <c r="CI127" s="110"/>
      <c r="CJ127" s="110"/>
      <c r="CK127" s="110"/>
      <c r="CL127" s="110"/>
      <c r="CM127" s="110"/>
      <c r="CN127" s="110"/>
      <c r="CO127" s="110"/>
      <c r="CP127" s="110"/>
      <c r="CQ127" s="110"/>
      <c r="CR127" s="110"/>
      <c r="CS127" s="110"/>
      <c r="CT127" s="110"/>
      <c r="CU127" s="110"/>
      <c r="CV127" s="110"/>
      <c r="CW127" s="110"/>
      <c r="CX127" s="110"/>
      <c r="CY127" s="110"/>
      <c r="CZ127" s="110"/>
      <c r="DA127" s="110"/>
      <c r="DB127" s="110"/>
      <c r="DC127" s="110"/>
      <c r="DD127" s="110"/>
      <c r="DE127" s="110"/>
      <c r="DF127" s="110"/>
      <c r="DG127" s="110"/>
      <c r="DH127" s="110"/>
      <c r="DI127" s="110"/>
      <c r="DJ127" s="110"/>
      <c r="DK127" s="110"/>
      <c r="DL127" s="110"/>
      <c r="DM127" s="110"/>
      <c r="DN127" s="110"/>
      <c r="DO127" s="110"/>
      <c r="DP127" s="110"/>
      <c r="DQ127" s="110"/>
      <c r="DR127" s="110"/>
      <c r="DS127" s="110"/>
      <c r="DT127" s="110"/>
      <c r="DU127" s="110"/>
      <c r="DV127" s="110"/>
      <c r="DW127" s="110"/>
      <c r="DX127" s="110"/>
      <c r="DY127" s="110"/>
      <c r="DZ127" s="110"/>
      <c r="EA127" s="110"/>
      <c r="EB127" s="110"/>
      <c r="EC127" s="110"/>
      <c r="ED127" s="110"/>
      <c r="EE127" s="110"/>
      <c r="EF127" s="110"/>
      <c r="EG127" s="110"/>
      <c r="EH127" s="110"/>
      <c r="EI127" s="110"/>
      <c r="EJ127" s="110"/>
      <c r="EK127" s="110"/>
      <c r="EL127" s="110"/>
      <c r="EM127" s="110"/>
      <c r="EN127" s="110"/>
      <c r="EO127" s="110"/>
      <c r="EP127" s="110"/>
      <c r="EQ127" s="110"/>
      <c r="ER127" s="110"/>
      <c r="ES127" s="110"/>
      <c r="ET127" s="110"/>
      <c r="EU127" s="110"/>
      <c r="EV127" s="110"/>
      <c r="EW127" s="110"/>
      <c r="EX127" s="110"/>
      <c r="EY127" s="110"/>
      <c r="EZ127" s="110"/>
      <c r="FA127" s="110"/>
      <c r="FB127" s="110"/>
      <c r="FC127" s="110"/>
      <c r="FD127" s="110"/>
      <c r="FE127" s="110"/>
      <c r="FF127" s="110"/>
      <c r="FG127" s="110"/>
      <c r="FH127" s="110"/>
      <c r="FI127" s="110"/>
      <c r="FJ127" s="110"/>
      <c r="FK127" s="110"/>
      <c r="FL127" s="110"/>
      <c r="FM127" s="110"/>
      <c r="FN127" s="110"/>
      <c r="FO127" s="110"/>
      <c r="FP127" s="110"/>
      <c r="FQ127" s="110"/>
      <c r="FR127" s="110"/>
      <c r="FS127" s="110"/>
      <c r="FT127" s="110"/>
      <c r="FU127" s="110"/>
      <c r="FV127" s="110"/>
      <c r="FW127" s="110"/>
      <c r="FX127" s="110"/>
      <c r="FY127" s="110"/>
      <c r="FZ127" s="110"/>
      <c r="GA127" s="110"/>
      <c r="GB127" s="110"/>
      <c r="GC127" s="110"/>
      <c r="GD127" s="110"/>
      <c r="GE127" s="110"/>
      <c r="GF127" s="110"/>
      <c r="GG127" s="110"/>
      <c r="GH127" s="110"/>
      <c r="GI127" s="110"/>
      <c r="GJ127" s="110"/>
      <c r="GK127" s="110"/>
      <c r="GL127" s="110"/>
      <c r="GM127" s="110"/>
      <c r="GN127" s="110"/>
      <c r="GO127" s="110"/>
      <c r="GP127" s="110"/>
      <c r="GQ127" s="110"/>
      <c r="GR127" s="110"/>
      <c r="GS127" s="110"/>
      <c r="GT127" s="110"/>
      <c r="GU127" s="110"/>
      <c r="GV127" s="110"/>
      <c r="GW127" s="110"/>
      <c r="GX127" s="110"/>
      <c r="GY127" s="110"/>
      <c r="GZ127" s="110"/>
      <c r="HA127" s="110"/>
      <c r="HB127" s="110"/>
      <c r="HC127" s="110"/>
      <c r="HD127" s="110"/>
      <c r="HE127" s="110"/>
      <c r="HF127" s="110"/>
      <c r="HG127" s="110"/>
      <c r="HH127" s="110"/>
      <c r="HI127" s="110"/>
      <c r="HJ127" s="110"/>
      <c r="HK127" s="110"/>
      <c r="HL127" s="110"/>
      <c r="HM127" s="110"/>
      <c r="HN127" s="110"/>
      <c r="HO127" s="110"/>
      <c r="HP127" s="110"/>
      <c r="HQ127" s="110"/>
      <c r="HR127" s="110"/>
      <c r="HS127" s="110"/>
      <c r="HT127" s="110"/>
      <c r="HU127" s="110"/>
      <c r="HV127" s="110"/>
      <c r="HW127" s="110"/>
      <c r="HX127" s="110"/>
      <c r="HY127" s="110"/>
      <c r="HZ127" s="110"/>
      <c r="IA127" s="110"/>
      <c r="IB127" s="110"/>
      <c r="IC127" s="110"/>
      <c r="ID127" s="110"/>
      <c r="IE127" s="110"/>
      <c r="IF127" s="110"/>
      <c r="IG127" s="110"/>
      <c r="IH127" s="110"/>
      <c r="II127" s="110"/>
      <c r="IJ127" s="110"/>
      <c r="IK127" s="110"/>
      <c r="IL127" s="110"/>
      <c r="IM127" s="110"/>
      <c r="IN127" s="110"/>
      <c r="IO127" s="110"/>
      <c r="IP127" s="110"/>
      <c r="IQ127" s="110"/>
      <c r="IR127" s="110"/>
      <c r="IS127" s="110"/>
      <c r="IT127" s="110"/>
      <c r="IU127" s="110"/>
      <c r="IV127" s="110"/>
      <c r="IW127" s="110"/>
    </row>
    <row r="128" spans="1:257" x14ac:dyDescent="0.3">
      <c r="A128" s="156"/>
      <c r="B128" s="156"/>
      <c r="C128" s="156"/>
      <c r="D128" s="156"/>
      <c r="E128" s="156"/>
      <c r="F128" s="156"/>
      <c r="G128" s="156"/>
      <c r="H128" s="156"/>
      <c r="I128" s="174"/>
      <c r="J128" s="156"/>
      <c r="K128" s="156"/>
      <c r="L128" s="156"/>
      <c r="M128" s="156"/>
      <c r="N128" s="156"/>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c r="BY128" s="110"/>
      <c r="BZ128" s="110"/>
      <c r="CA128" s="110"/>
      <c r="CB128" s="110"/>
      <c r="CC128" s="110"/>
      <c r="CD128" s="110"/>
      <c r="CE128" s="110"/>
      <c r="CF128" s="110"/>
      <c r="CG128" s="110"/>
      <c r="CH128" s="110"/>
      <c r="CI128" s="110"/>
      <c r="CJ128" s="110"/>
      <c r="CK128" s="110"/>
      <c r="CL128" s="110"/>
      <c r="CM128" s="110"/>
      <c r="CN128" s="110"/>
      <c r="CO128" s="110"/>
      <c r="CP128" s="110"/>
      <c r="CQ128" s="110"/>
      <c r="CR128" s="110"/>
      <c r="CS128" s="110"/>
      <c r="CT128" s="110"/>
      <c r="CU128" s="110"/>
      <c r="CV128" s="110"/>
      <c r="CW128" s="110"/>
      <c r="CX128" s="110"/>
      <c r="CY128" s="110"/>
      <c r="CZ128" s="110"/>
      <c r="DA128" s="110"/>
      <c r="DB128" s="110"/>
      <c r="DC128" s="110"/>
      <c r="DD128" s="110"/>
      <c r="DE128" s="110"/>
      <c r="DF128" s="110"/>
      <c r="DG128" s="110"/>
      <c r="DH128" s="110"/>
      <c r="DI128" s="110"/>
      <c r="DJ128" s="110"/>
      <c r="DK128" s="110"/>
      <c r="DL128" s="110"/>
      <c r="DM128" s="110"/>
      <c r="DN128" s="110"/>
      <c r="DO128" s="110"/>
      <c r="DP128" s="110"/>
      <c r="DQ128" s="110"/>
      <c r="DR128" s="110"/>
      <c r="DS128" s="110"/>
      <c r="DT128" s="110"/>
      <c r="DU128" s="110"/>
      <c r="DV128" s="110"/>
      <c r="DW128" s="110"/>
      <c r="DX128" s="110"/>
      <c r="DY128" s="110"/>
      <c r="DZ128" s="110"/>
      <c r="EA128" s="110"/>
      <c r="EB128" s="110"/>
      <c r="EC128" s="110"/>
      <c r="ED128" s="110"/>
      <c r="EE128" s="110"/>
      <c r="EF128" s="110"/>
      <c r="EG128" s="110"/>
      <c r="EH128" s="110"/>
      <c r="EI128" s="110"/>
      <c r="EJ128" s="110"/>
      <c r="EK128" s="110"/>
      <c r="EL128" s="110"/>
      <c r="EM128" s="110"/>
      <c r="EN128" s="110"/>
      <c r="EO128" s="110"/>
      <c r="EP128" s="110"/>
      <c r="EQ128" s="110"/>
      <c r="ER128" s="110"/>
      <c r="ES128" s="110"/>
      <c r="ET128" s="110"/>
      <c r="EU128" s="110"/>
      <c r="EV128" s="110"/>
      <c r="EW128" s="110"/>
      <c r="EX128" s="110"/>
      <c r="EY128" s="110"/>
      <c r="EZ128" s="110"/>
      <c r="FA128" s="110"/>
      <c r="FB128" s="110"/>
      <c r="FC128" s="110"/>
      <c r="FD128" s="110"/>
      <c r="FE128" s="110"/>
      <c r="FF128" s="110"/>
      <c r="FG128" s="110"/>
      <c r="FH128" s="110"/>
      <c r="FI128" s="110"/>
      <c r="FJ128" s="110"/>
      <c r="FK128" s="110"/>
      <c r="FL128" s="110"/>
      <c r="FM128" s="110"/>
      <c r="FN128" s="110"/>
      <c r="FO128" s="110"/>
      <c r="FP128" s="110"/>
      <c r="FQ128" s="110"/>
      <c r="FR128" s="110"/>
      <c r="FS128" s="110"/>
      <c r="FT128" s="110"/>
      <c r="FU128" s="110"/>
      <c r="FV128" s="110"/>
      <c r="FW128" s="110"/>
      <c r="FX128" s="110"/>
      <c r="FY128" s="110"/>
      <c r="FZ128" s="110"/>
      <c r="GA128" s="110"/>
      <c r="GB128" s="110"/>
      <c r="GC128" s="110"/>
      <c r="GD128" s="110"/>
      <c r="GE128" s="110"/>
      <c r="GF128" s="110"/>
      <c r="GG128" s="110"/>
      <c r="GH128" s="110"/>
      <c r="GI128" s="110"/>
      <c r="GJ128" s="110"/>
      <c r="GK128" s="110"/>
      <c r="GL128" s="110"/>
      <c r="GM128" s="110"/>
      <c r="GN128" s="110"/>
      <c r="GO128" s="110"/>
      <c r="GP128" s="110"/>
      <c r="GQ128" s="110"/>
      <c r="GR128" s="110"/>
      <c r="GS128" s="110"/>
      <c r="GT128" s="110"/>
      <c r="GU128" s="110"/>
      <c r="GV128" s="110"/>
      <c r="GW128" s="110"/>
      <c r="GX128" s="110"/>
      <c r="GY128" s="110"/>
      <c r="GZ128" s="110"/>
      <c r="HA128" s="110"/>
      <c r="HB128" s="110"/>
      <c r="HC128" s="110"/>
      <c r="HD128" s="110"/>
      <c r="HE128" s="110"/>
      <c r="HF128" s="110"/>
      <c r="HG128" s="110"/>
      <c r="HH128" s="110"/>
      <c r="HI128" s="110"/>
      <c r="HJ128" s="110"/>
      <c r="HK128" s="110"/>
      <c r="HL128" s="110"/>
      <c r="HM128" s="110"/>
      <c r="HN128" s="110"/>
      <c r="HO128" s="110"/>
      <c r="HP128" s="110"/>
      <c r="HQ128" s="110"/>
      <c r="HR128" s="110"/>
      <c r="HS128" s="110"/>
      <c r="HT128" s="110"/>
      <c r="HU128" s="110"/>
      <c r="HV128" s="110"/>
      <c r="HW128" s="110"/>
      <c r="HX128" s="110"/>
      <c r="HY128" s="110"/>
      <c r="HZ128" s="110"/>
      <c r="IA128" s="110"/>
      <c r="IB128" s="110"/>
      <c r="IC128" s="110"/>
      <c r="ID128" s="110"/>
      <c r="IE128" s="110"/>
      <c r="IF128" s="110"/>
      <c r="IG128" s="110"/>
      <c r="IH128" s="110"/>
      <c r="II128" s="110"/>
      <c r="IJ128" s="110"/>
      <c r="IK128" s="110"/>
      <c r="IL128" s="110"/>
      <c r="IM128" s="110"/>
      <c r="IN128" s="110"/>
      <c r="IO128" s="110"/>
      <c r="IP128" s="110"/>
      <c r="IQ128" s="110"/>
      <c r="IR128" s="110"/>
      <c r="IS128" s="110"/>
      <c r="IT128" s="110"/>
      <c r="IU128" s="110"/>
      <c r="IV128" s="110"/>
      <c r="IW128" s="110"/>
    </row>
    <row r="129" spans="1:257" x14ac:dyDescent="0.3">
      <c r="A129" s="156"/>
      <c r="B129" s="156"/>
      <c r="C129" s="156"/>
      <c r="D129" s="156"/>
      <c r="E129" s="156"/>
      <c r="F129" s="156"/>
      <c r="G129" s="156"/>
      <c r="H129" s="156"/>
      <c r="I129" s="174"/>
      <c r="J129" s="156"/>
      <c r="K129" s="156"/>
      <c r="L129" s="156"/>
      <c r="M129" s="156"/>
      <c r="N129" s="156"/>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c r="BY129" s="110"/>
      <c r="BZ129" s="110"/>
      <c r="CA129" s="110"/>
      <c r="CB129" s="110"/>
      <c r="CC129" s="110"/>
      <c r="CD129" s="110"/>
      <c r="CE129" s="110"/>
      <c r="CF129" s="110"/>
      <c r="CG129" s="110"/>
      <c r="CH129" s="110"/>
      <c r="CI129" s="110"/>
      <c r="CJ129" s="110"/>
      <c r="CK129" s="110"/>
      <c r="CL129" s="110"/>
      <c r="CM129" s="110"/>
      <c r="CN129" s="110"/>
      <c r="CO129" s="110"/>
      <c r="CP129" s="110"/>
      <c r="CQ129" s="110"/>
      <c r="CR129" s="110"/>
      <c r="CS129" s="110"/>
      <c r="CT129" s="110"/>
      <c r="CU129" s="110"/>
      <c r="CV129" s="110"/>
      <c r="CW129" s="110"/>
      <c r="CX129" s="110"/>
      <c r="CY129" s="110"/>
      <c r="CZ129" s="110"/>
      <c r="DA129" s="110"/>
      <c r="DB129" s="110"/>
      <c r="DC129" s="110"/>
      <c r="DD129" s="110"/>
      <c r="DE129" s="110"/>
      <c r="DF129" s="110"/>
      <c r="DG129" s="110"/>
      <c r="DH129" s="110"/>
      <c r="DI129" s="110"/>
      <c r="DJ129" s="110"/>
      <c r="DK129" s="110"/>
      <c r="DL129" s="110"/>
      <c r="DM129" s="110"/>
      <c r="DN129" s="110"/>
      <c r="DO129" s="110"/>
      <c r="DP129" s="110"/>
      <c r="DQ129" s="110"/>
      <c r="DR129" s="110"/>
      <c r="DS129" s="110"/>
      <c r="DT129" s="110"/>
      <c r="DU129" s="110"/>
      <c r="DV129" s="110"/>
      <c r="DW129" s="110"/>
      <c r="DX129" s="110"/>
      <c r="DY129" s="110"/>
      <c r="DZ129" s="110"/>
      <c r="EA129" s="110"/>
      <c r="EB129" s="110"/>
      <c r="EC129" s="110"/>
      <c r="ED129" s="110"/>
      <c r="EE129" s="110"/>
      <c r="EF129" s="110"/>
      <c r="EG129" s="110"/>
      <c r="EH129" s="110"/>
      <c r="EI129" s="110"/>
      <c r="EJ129" s="110"/>
      <c r="EK129" s="110"/>
      <c r="EL129" s="110"/>
      <c r="EM129" s="110"/>
      <c r="EN129" s="110"/>
      <c r="EO129" s="110"/>
      <c r="EP129" s="110"/>
      <c r="EQ129" s="110"/>
      <c r="ER129" s="110"/>
      <c r="ES129" s="110"/>
      <c r="ET129" s="110"/>
      <c r="EU129" s="110"/>
      <c r="EV129" s="110"/>
      <c r="EW129" s="110"/>
      <c r="EX129" s="110"/>
      <c r="EY129" s="110"/>
      <c r="EZ129" s="110"/>
      <c r="FA129" s="110"/>
      <c r="FB129" s="110"/>
      <c r="FC129" s="110"/>
      <c r="FD129" s="110"/>
      <c r="FE129" s="110"/>
      <c r="FF129" s="110"/>
      <c r="FG129" s="110"/>
      <c r="FH129" s="110"/>
      <c r="FI129" s="110"/>
      <c r="FJ129" s="110"/>
      <c r="FK129" s="110"/>
      <c r="FL129" s="110"/>
      <c r="FM129" s="110"/>
      <c r="FN129" s="110"/>
      <c r="FO129" s="110"/>
      <c r="FP129" s="110"/>
      <c r="FQ129" s="110"/>
      <c r="FR129" s="110"/>
      <c r="FS129" s="110"/>
      <c r="FT129" s="110"/>
      <c r="FU129" s="110"/>
      <c r="FV129" s="110"/>
      <c r="FW129" s="110"/>
      <c r="FX129" s="110"/>
      <c r="FY129" s="110"/>
      <c r="FZ129" s="110"/>
      <c r="GA129" s="110"/>
      <c r="GB129" s="110"/>
      <c r="GC129" s="110"/>
      <c r="GD129" s="110"/>
      <c r="GE129" s="110"/>
      <c r="GF129" s="110"/>
      <c r="GG129" s="110"/>
      <c r="GH129" s="110"/>
      <c r="GI129" s="110"/>
      <c r="GJ129" s="110"/>
      <c r="GK129" s="110"/>
      <c r="GL129" s="110"/>
      <c r="GM129" s="110"/>
      <c r="GN129" s="110"/>
      <c r="GO129" s="110"/>
      <c r="GP129" s="110"/>
      <c r="GQ129" s="110"/>
      <c r="GR129" s="110"/>
      <c r="GS129" s="110"/>
      <c r="GT129" s="110"/>
      <c r="GU129" s="110"/>
      <c r="GV129" s="110"/>
      <c r="GW129" s="110"/>
      <c r="GX129" s="110"/>
      <c r="GY129" s="110"/>
      <c r="GZ129" s="110"/>
      <c r="HA129" s="110"/>
      <c r="HB129" s="110"/>
      <c r="HC129" s="110"/>
      <c r="HD129" s="110"/>
      <c r="HE129" s="110"/>
      <c r="HF129" s="110"/>
      <c r="HG129" s="110"/>
      <c r="HH129" s="110"/>
      <c r="HI129" s="110"/>
      <c r="HJ129" s="110"/>
      <c r="HK129" s="110"/>
      <c r="HL129" s="110"/>
      <c r="HM129" s="110"/>
      <c r="HN129" s="110"/>
      <c r="HO129" s="110"/>
      <c r="HP129" s="110"/>
      <c r="HQ129" s="110"/>
      <c r="HR129" s="110"/>
      <c r="HS129" s="110"/>
      <c r="HT129" s="110"/>
      <c r="HU129" s="110"/>
      <c r="HV129" s="110"/>
      <c r="HW129" s="110"/>
      <c r="HX129" s="110"/>
      <c r="HY129" s="110"/>
      <c r="HZ129" s="110"/>
      <c r="IA129" s="110"/>
      <c r="IB129" s="110"/>
      <c r="IC129" s="110"/>
      <c r="ID129" s="110"/>
      <c r="IE129" s="110"/>
      <c r="IF129" s="110"/>
      <c r="IG129" s="110"/>
      <c r="IH129" s="110"/>
      <c r="II129" s="110"/>
      <c r="IJ129" s="110"/>
      <c r="IK129" s="110"/>
      <c r="IL129" s="110"/>
      <c r="IM129" s="110"/>
      <c r="IN129" s="110"/>
      <c r="IO129" s="110"/>
      <c r="IP129" s="110"/>
      <c r="IQ129" s="110"/>
      <c r="IR129" s="110"/>
      <c r="IS129" s="110"/>
      <c r="IT129" s="110"/>
      <c r="IU129" s="110"/>
      <c r="IV129" s="110"/>
      <c r="IW129" s="110"/>
    </row>
    <row r="130" spans="1:257" x14ac:dyDescent="0.3">
      <c r="A130" s="156"/>
      <c r="B130" s="156"/>
      <c r="C130" s="156"/>
      <c r="D130" s="156"/>
      <c r="E130" s="156"/>
      <c r="F130" s="156"/>
      <c r="G130" s="156"/>
      <c r="H130" s="156"/>
      <c r="I130" s="174"/>
      <c r="J130" s="156"/>
      <c r="K130" s="156"/>
      <c r="L130" s="156"/>
      <c r="M130" s="156"/>
      <c r="N130" s="156"/>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c r="BY130" s="110"/>
      <c r="BZ130" s="110"/>
      <c r="CA130" s="110"/>
      <c r="CB130" s="110"/>
      <c r="CC130" s="110"/>
      <c r="CD130" s="110"/>
      <c r="CE130" s="110"/>
      <c r="CF130" s="110"/>
      <c r="CG130" s="110"/>
      <c r="CH130" s="110"/>
      <c r="CI130" s="110"/>
      <c r="CJ130" s="110"/>
      <c r="CK130" s="110"/>
      <c r="CL130" s="110"/>
      <c r="CM130" s="110"/>
      <c r="CN130" s="110"/>
      <c r="CO130" s="110"/>
      <c r="CP130" s="110"/>
      <c r="CQ130" s="110"/>
      <c r="CR130" s="110"/>
      <c r="CS130" s="110"/>
      <c r="CT130" s="110"/>
      <c r="CU130" s="110"/>
      <c r="CV130" s="110"/>
      <c r="CW130" s="110"/>
      <c r="CX130" s="110"/>
      <c r="CY130" s="110"/>
      <c r="CZ130" s="110"/>
      <c r="DA130" s="110"/>
      <c r="DB130" s="110"/>
      <c r="DC130" s="110"/>
      <c r="DD130" s="110"/>
      <c r="DE130" s="110"/>
      <c r="DF130" s="110"/>
      <c r="DG130" s="110"/>
      <c r="DH130" s="110"/>
      <c r="DI130" s="110"/>
      <c r="DJ130" s="110"/>
      <c r="DK130" s="110"/>
      <c r="DL130" s="110"/>
      <c r="DM130" s="110"/>
      <c r="DN130" s="110"/>
      <c r="DO130" s="110"/>
      <c r="DP130" s="110"/>
      <c r="DQ130" s="110"/>
      <c r="DR130" s="110"/>
      <c r="DS130" s="110"/>
      <c r="DT130" s="110"/>
      <c r="DU130" s="110"/>
      <c r="DV130" s="110"/>
      <c r="DW130" s="110"/>
      <c r="DX130" s="110"/>
      <c r="DY130" s="110"/>
      <c r="DZ130" s="110"/>
      <c r="EA130" s="110"/>
      <c r="EB130" s="110"/>
      <c r="EC130" s="110"/>
      <c r="ED130" s="110"/>
      <c r="EE130" s="110"/>
      <c r="EF130" s="110"/>
      <c r="EG130" s="110"/>
      <c r="EH130" s="110"/>
      <c r="EI130" s="110"/>
      <c r="EJ130" s="110"/>
      <c r="EK130" s="110"/>
      <c r="EL130" s="110"/>
      <c r="EM130" s="110"/>
      <c r="EN130" s="110"/>
      <c r="EO130" s="110"/>
      <c r="EP130" s="110"/>
      <c r="EQ130" s="110"/>
      <c r="ER130" s="110"/>
      <c r="ES130" s="110"/>
      <c r="ET130" s="110"/>
      <c r="EU130" s="110"/>
      <c r="EV130" s="110"/>
      <c r="EW130" s="110"/>
      <c r="EX130" s="110"/>
      <c r="EY130" s="110"/>
      <c r="EZ130" s="110"/>
      <c r="FA130" s="110"/>
      <c r="FB130" s="110"/>
      <c r="FC130" s="110"/>
      <c r="FD130" s="110"/>
      <c r="FE130" s="110"/>
      <c r="FF130" s="110"/>
      <c r="FG130" s="110"/>
      <c r="FH130" s="110"/>
      <c r="FI130" s="110"/>
      <c r="FJ130" s="110"/>
      <c r="FK130" s="110"/>
      <c r="FL130" s="110"/>
      <c r="FM130" s="110"/>
      <c r="FN130" s="110"/>
      <c r="FO130" s="110"/>
      <c r="FP130" s="110"/>
      <c r="FQ130" s="110"/>
      <c r="FR130" s="110"/>
      <c r="FS130" s="110"/>
      <c r="FT130" s="110"/>
      <c r="FU130" s="110"/>
      <c r="FV130" s="110"/>
      <c r="FW130" s="110"/>
      <c r="FX130" s="110"/>
      <c r="FY130" s="110"/>
      <c r="FZ130" s="110"/>
      <c r="GA130" s="110"/>
      <c r="GB130" s="110"/>
      <c r="GC130" s="110"/>
      <c r="GD130" s="110"/>
      <c r="GE130" s="110"/>
      <c r="GF130" s="110"/>
      <c r="GG130" s="110"/>
      <c r="GH130" s="110"/>
      <c r="GI130" s="110"/>
      <c r="GJ130" s="110"/>
      <c r="GK130" s="110"/>
      <c r="GL130" s="110"/>
      <c r="GM130" s="110"/>
      <c r="GN130" s="110"/>
      <c r="GO130" s="110"/>
      <c r="GP130" s="110"/>
      <c r="GQ130" s="110"/>
      <c r="GR130" s="110"/>
      <c r="GS130" s="110"/>
      <c r="GT130" s="110"/>
      <c r="GU130" s="110"/>
      <c r="GV130" s="110"/>
      <c r="GW130" s="110"/>
      <c r="GX130" s="110"/>
      <c r="GY130" s="110"/>
      <c r="GZ130" s="110"/>
      <c r="HA130" s="110"/>
      <c r="HB130" s="110"/>
      <c r="HC130" s="110"/>
      <c r="HD130" s="110"/>
      <c r="HE130" s="110"/>
      <c r="HF130" s="110"/>
      <c r="HG130" s="110"/>
      <c r="HH130" s="110"/>
      <c r="HI130" s="110"/>
      <c r="HJ130" s="110"/>
      <c r="HK130" s="110"/>
      <c r="HL130" s="110"/>
      <c r="HM130" s="110"/>
      <c r="HN130" s="110"/>
      <c r="HO130" s="110"/>
      <c r="HP130" s="110"/>
      <c r="HQ130" s="110"/>
      <c r="HR130" s="110"/>
      <c r="HS130" s="110"/>
      <c r="HT130" s="110"/>
      <c r="HU130" s="110"/>
      <c r="HV130" s="110"/>
      <c r="HW130" s="110"/>
      <c r="HX130" s="110"/>
      <c r="HY130" s="110"/>
      <c r="HZ130" s="110"/>
      <c r="IA130" s="110"/>
      <c r="IB130" s="110"/>
      <c r="IC130" s="110"/>
      <c r="ID130" s="110"/>
      <c r="IE130" s="110"/>
      <c r="IF130" s="110"/>
      <c r="IG130" s="110"/>
      <c r="IH130" s="110"/>
      <c r="II130" s="110"/>
      <c r="IJ130" s="110"/>
      <c r="IK130" s="110"/>
      <c r="IL130" s="110"/>
      <c r="IM130" s="110"/>
      <c r="IN130" s="110"/>
      <c r="IO130" s="110"/>
      <c r="IP130" s="110"/>
      <c r="IQ130" s="110"/>
      <c r="IR130" s="110"/>
      <c r="IS130" s="110"/>
      <c r="IT130" s="110"/>
      <c r="IU130" s="110"/>
      <c r="IV130" s="110"/>
      <c r="IW130" s="110"/>
    </row>
    <row r="131" spans="1:257" x14ac:dyDescent="0.3">
      <c r="A131" s="156"/>
      <c r="B131" s="156"/>
      <c r="C131" s="156"/>
      <c r="D131" s="156"/>
      <c r="E131" s="156"/>
      <c r="F131" s="156"/>
      <c r="G131" s="156"/>
      <c r="H131" s="156"/>
      <c r="I131" s="174"/>
      <c r="J131" s="156"/>
      <c r="K131" s="156"/>
      <c r="L131" s="156"/>
      <c r="M131" s="156"/>
      <c r="N131" s="156"/>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c r="BY131" s="110"/>
      <c r="BZ131" s="110"/>
      <c r="CA131" s="110"/>
      <c r="CB131" s="110"/>
      <c r="CC131" s="110"/>
      <c r="CD131" s="110"/>
      <c r="CE131" s="110"/>
      <c r="CF131" s="110"/>
      <c r="CG131" s="110"/>
      <c r="CH131" s="110"/>
      <c r="CI131" s="110"/>
      <c r="CJ131" s="110"/>
      <c r="CK131" s="110"/>
      <c r="CL131" s="110"/>
      <c r="CM131" s="110"/>
      <c r="CN131" s="110"/>
      <c r="CO131" s="110"/>
      <c r="CP131" s="110"/>
      <c r="CQ131" s="110"/>
      <c r="CR131" s="110"/>
      <c r="CS131" s="110"/>
      <c r="CT131" s="110"/>
      <c r="CU131" s="110"/>
      <c r="CV131" s="110"/>
      <c r="CW131" s="110"/>
      <c r="CX131" s="110"/>
      <c r="CY131" s="110"/>
      <c r="CZ131" s="110"/>
      <c r="DA131" s="110"/>
      <c r="DB131" s="110"/>
      <c r="DC131" s="110"/>
      <c r="DD131" s="110"/>
      <c r="DE131" s="110"/>
      <c r="DF131" s="110"/>
      <c r="DG131" s="110"/>
      <c r="DH131" s="110"/>
      <c r="DI131" s="110"/>
      <c r="DJ131" s="110"/>
      <c r="DK131" s="110"/>
      <c r="DL131" s="110"/>
      <c r="DM131" s="110"/>
      <c r="DN131" s="110"/>
      <c r="DO131" s="110"/>
      <c r="DP131" s="110"/>
      <c r="DQ131" s="110"/>
      <c r="DR131" s="110"/>
      <c r="DS131" s="110"/>
      <c r="DT131" s="110"/>
      <c r="DU131" s="110"/>
      <c r="DV131" s="110"/>
      <c r="DW131" s="110"/>
      <c r="DX131" s="110"/>
      <c r="DY131" s="110"/>
      <c r="DZ131" s="110"/>
      <c r="EA131" s="110"/>
      <c r="EB131" s="110"/>
      <c r="EC131" s="110"/>
      <c r="ED131" s="110"/>
      <c r="EE131" s="110"/>
      <c r="EF131" s="110"/>
      <c r="EG131" s="110"/>
      <c r="EH131" s="110"/>
      <c r="EI131" s="110"/>
      <c r="EJ131" s="110"/>
      <c r="EK131" s="110"/>
      <c r="EL131" s="110"/>
      <c r="EM131" s="110"/>
      <c r="EN131" s="110"/>
      <c r="EO131" s="110"/>
      <c r="EP131" s="110"/>
      <c r="EQ131" s="110"/>
      <c r="ER131" s="110"/>
      <c r="ES131" s="110"/>
      <c r="ET131" s="110"/>
      <c r="EU131" s="110"/>
      <c r="EV131" s="110"/>
      <c r="EW131" s="110"/>
      <c r="EX131" s="110"/>
      <c r="EY131" s="110"/>
      <c r="EZ131" s="110"/>
      <c r="FA131" s="110"/>
      <c r="FB131" s="110"/>
      <c r="FC131" s="110"/>
      <c r="FD131" s="110"/>
      <c r="FE131" s="110"/>
      <c r="FF131" s="110"/>
      <c r="FG131" s="110"/>
      <c r="FH131" s="110"/>
      <c r="FI131" s="110"/>
      <c r="FJ131" s="110"/>
      <c r="FK131" s="110"/>
      <c r="FL131" s="110"/>
      <c r="FM131" s="110"/>
      <c r="FN131" s="110"/>
      <c r="FO131" s="110"/>
      <c r="FP131" s="110"/>
      <c r="FQ131" s="110"/>
      <c r="FR131" s="110"/>
      <c r="FS131" s="110"/>
      <c r="FT131" s="110"/>
      <c r="FU131" s="110"/>
      <c r="FV131" s="110"/>
      <c r="FW131" s="110"/>
      <c r="FX131" s="110"/>
      <c r="FY131" s="110"/>
      <c r="FZ131" s="110"/>
      <c r="GA131" s="110"/>
      <c r="GB131" s="110"/>
      <c r="GC131" s="110"/>
      <c r="GD131" s="110"/>
      <c r="GE131" s="110"/>
      <c r="GF131" s="110"/>
      <c r="GG131" s="110"/>
      <c r="GH131" s="110"/>
      <c r="GI131" s="110"/>
      <c r="GJ131" s="110"/>
      <c r="GK131" s="110"/>
      <c r="GL131" s="110"/>
      <c r="GM131" s="110"/>
      <c r="GN131" s="110"/>
      <c r="GO131" s="110"/>
      <c r="GP131" s="110"/>
      <c r="GQ131" s="110"/>
      <c r="GR131" s="110"/>
      <c r="GS131" s="110"/>
      <c r="GT131" s="110"/>
      <c r="GU131" s="110"/>
      <c r="GV131" s="110"/>
      <c r="GW131" s="110"/>
      <c r="GX131" s="110"/>
      <c r="GY131" s="110"/>
      <c r="GZ131" s="110"/>
      <c r="HA131" s="110"/>
      <c r="HB131" s="110"/>
      <c r="HC131" s="110"/>
      <c r="HD131" s="110"/>
      <c r="HE131" s="110"/>
      <c r="HF131" s="110"/>
      <c r="HG131" s="110"/>
      <c r="HH131" s="110"/>
      <c r="HI131" s="110"/>
      <c r="HJ131" s="110"/>
      <c r="HK131" s="110"/>
      <c r="HL131" s="110"/>
      <c r="HM131" s="110"/>
      <c r="HN131" s="110"/>
      <c r="HO131" s="110"/>
      <c r="HP131" s="110"/>
      <c r="HQ131" s="110"/>
      <c r="HR131" s="110"/>
      <c r="HS131" s="110"/>
      <c r="HT131" s="110"/>
      <c r="HU131" s="110"/>
      <c r="HV131" s="110"/>
      <c r="HW131" s="110"/>
      <c r="HX131" s="110"/>
      <c r="HY131" s="110"/>
      <c r="HZ131" s="110"/>
      <c r="IA131" s="110"/>
      <c r="IB131" s="110"/>
      <c r="IC131" s="110"/>
      <c r="ID131" s="110"/>
      <c r="IE131" s="110"/>
      <c r="IF131" s="110"/>
      <c r="IG131" s="110"/>
      <c r="IH131" s="110"/>
      <c r="II131" s="110"/>
      <c r="IJ131" s="110"/>
      <c r="IK131" s="110"/>
      <c r="IL131" s="110"/>
      <c r="IM131" s="110"/>
      <c r="IN131" s="110"/>
      <c r="IO131" s="110"/>
      <c r="IP131" s="110"/>
      <c r="IQ131" s="110"/>
      <c r="IR131" s="110"/>
      <c r="IS131" s="110"/>
      <c r="IT131" s="110"/>
      <c r="IU131" s="110"/>
      <c r="IV131" s="110"/>
      <c r="IW131" s="110"/>
    </row>
    <row r="132" spans="1:257" x14ac:dyDescent="0.3">
      <c r="A132" s="156"/>
      <c r="B132" s="156"/>
      <c r="C132" s="156"/>
      <c r="D132" s="156"/>
      <c r="E132" s="156"/>
      <c r="F132" s="156"/>
      <c r="G132" s="156"/>
      <c r="H132" s="156"/>
      <c r="I132" s="174"/>
      <c r="J132" s="156"/>
      <c r="K132" s="156"/>
      <c r="L132" s="156"/>
      <c r="M132" s="156"/>
      <c r="N132" s="156"/>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c r="BY132" s="110"/>
      <c r="BZ132" s="110"/>
      <c r="CA132" s="110"/>
      <c r="CB132" s="110"/>
      <c r="CC132" s="110"/>
      <c r="CD132" s="110"/>
      <c r="CE132" s="110"/>
      <c r="CF132" s="110"/>
      <c r="CG132" s="110"/>
      <c r="CH132" s="110"/>
      <c r="CI132" s="110"/>
      <c r="CJ132" s="110"/>
      <c r="CK132" s="110"/>
      <c r="CL132" s="110"/>
      <c r="CM132" s="110"/>
      <c r="CN132" s="110"/>
      <c r="CO132" s="110"/>
      <c r="CP132" s="110"/>
      <c r="CQ132" s="110"/>
      <c r="CR132" s="110"/>
      <c r="CS132" s="110"/>
      <c r="CT132" s="110"/>
      <c r="CU132" s="110"/>
      <c r="CV132" s="110"/>
      <c r="CW132" s="110"/>
      <c r="CX132" s="110"/>
      <c r="CY132" s="110"/>
      <c r="CZ132" s="110"/>
      <c r="DA132" s="110"/>
      <c r="DB132" s="110"/>
      <c r="DC132" s="110"/>
      <c r="DD132" s="110"/>
      <c r="DE132" s="110"/>
      <c r="DF132" s="110"/>
      <c r="DG132" s="110"/>
      <c r="DH132" s="110"/>
      <c r="DI132" s="110"/>
      <c r="DJ132" s="110"/>
      <c r="DK132" s="110"/>
      <c r="DL132" s="110"/>
      <c r="DM132" s="110"/>
      <c r="DN132" s="110"/>
      <c r="DO132" s="110"/>
      <c r="DP132" s="110"/>
      <c r="DQ132" s="110"/>
      <c r="DR132" s="110"/>
      <c r="DS132" s="110"/>
      <c r="DT132" s="110"/>
      <c r="DU132" s="110"/>
      <c r="DV132" s="110"/>
      <c r="DW132" s="110"/>
      <c r="DX132" s="110"/>
      <c r="DY132" s="110"/>
      <c r="DZ132" s="110"/>
      <c r="EA132" s="110"/>
      <c r="EB132" s="110"/>
      <c r="EC132" s="110"/>
      <c r="ED132" s="110"/>
      <c r="EE132" s="110"/>
      <c r="EF132" s="110"/>
      <c r="EG132" s="110"/>
      <c r="EH132" s="110"/>
      <c r="EI132" s="110"/>
      <c r="EJ132" s="110"/>
      <c r="EK132" s="110"/>
      <c r="EL132" s="110"/>
      <c r="EM132" s="110"/>
      <c r="EN132" s="110"/>
      <c r="EO132" s="110"/>
      <c r="EP132" s="110"/>
      <c r="EQ132" s="110"/>
      <c r="ER132" s="110"/>
      <c r="ES132" s="110"/>
      <c r="ET132" s="110"/>
      <c r="EU132" s="110"/>
      <c r="EV132" s="110"/>
      <c r="EW132" s="110"/>
      <c r="EX132" s="110"/>
      <c r="EY132" s="110"/>
      <c r="EZ132" s="110"/>
      <c r="FA132" s="110"/>
      <c r="FB132" s="110"/>
      <c r="FC132" s="110"/>
      <c r="FD132" s="110"/>
      <c r="FE132" s="110"/>
      <c r="FF132" s="110"/>
      <c r="FG132" s="110"/>
      <c r="FH132" s="110"/>
      <c r="FI132" s="110"/>
      <c r="FJ132" s="110"/>
      <c r="FK132" s="110"/>
      <c r="FL132" s="110"/>
      <c r="FM132" s="110"/>
      <c r="FN132" s="110"/>
      <c r="FO132" s="110"/>
      <c r="FP132" s="110"/>
      <c r="FQ132" s="110"/>
      <c r="FR132" s="110"/>
      <c r="FS132" s="110"/>
      <c r="FT132" s="110"/>
      <c r="FU132" s="110"/>
      <c r="FV132" s="110"/>
      <c r="FW132" s="110"/>
      <c r="FX132" s="110"/>
      <c r="FY132" s="110"/>
      <c r="FZ132" s="110"/>
      <c r="GA132" s="110"/>
      <c r="GB132" s="110"/>
      <c r="GC132" s="110"/>
      <c r="GD132" s="110"/>
      <c r="GE132" s="110"/>
      <c r="GF132" s="110"/>
      <c r="GG132" s="110"/>
      <c r="GH132" s="110"/>
      <c r="GI132" s="110"/>
      <c r="GJ132" s="110"/>
      <c r="GK132" s="110"/>
      <c r="GL132" s="110"/>
      <c r="GM132" s="110"/>
      <c r="GN132" s="110"/>
      <c r="GO132" s="110"/>
      <c r="GP132" s="110"/>
      <c r="GQ132" s="110"/>
      <c r="GR132" s="110"/>
      <c r="GS132" s="110"/>
      <c r="GT132" s="110"/>
      <c r="GU132" s="110"/>
      <c r="GV132" s="110"/>
      <c r="GW132" s="110"/>
      <c r="GX132" s="110"/>
      <c r="GY132" s="110"/>
      <c r="GZ132" s="110"/>
      <c r="HA132" s="110"/>
      <c r="HB132" s="110"/>
      <c r="HC132" s="110"/>
      <c r="HD132" s="110"/>
      <c r="HE132" s="110"/>
      <c r="HF132" s="110"/>
      <c r="HG132" s="110"/>
      <c r="HH132" s="110"/>
      <c r="HI132" s="110"/>
      <c r="HJ132" s="110"/>
      <c r="HK132" s="110"/>
      <c r="HL132" s="110"/>
      <c r="HM132" s="110"/>
      <c r="HN132" s="110"/>
      <c r="HO132" s="110"/>
      <c r="HP132" s="110"/>
      <c r="HQ132" s="110"/>
      <c r="HR132" s="110"/>
      <c r="HS132" s="110"/>
      <c r="HT132" s="110"/>
      <c r="HU132" s="110"/>
      <c r="HV132" s="110"/>
      <c r="HW132" s="110"/>
      <c r="HX132" s="110"/>
      <c r="HY132" s="110"/>
      <c r="HZ132" s="110"/>
      <c r="IA132" s="110"/>
      <c r="IB132" s="110"/>
      <c r="IC132" s="110"/>
      <c r="ID132" s="110"/>
      <c r="IE132" s="110"/>
      <c r="IF132" s="110"/>
      <c r="IG132" s="110"/>
      <c r="IH132" s="110"/>
      <c r="II132" s="110"/>
      <c r="IJ132" s="110"/>
      <c r="IK132" s="110"/>
      <c r="IL132" s="110"/>
      <c r="IM132" s="110"/>
      <c r="IN132" s="110"/>
      <c r="IO132" s="110"/>
      <c r="IP132" s="110"/>
      <c r="IQ132" s="110"/>
      <c r="IR132" s="110"/>
      <c r="IS132" s="110"/>
      <c r="IT132" s="110"/>
      <c r="IU132" s="110"/>
      <c r="IV132" s="110"/>
      <c r="IW132" s="110"/>
    </row>
    <row r="133" spans="1:257" x14ac:dyDescent="0.3">
      <c r="A133" s="156"/>
      <c r="B133" s="156"/>
      <c r="C133" s="156"/>
      <c r="D133" s="156"/>
      <c r="E133" s="156"/>
      <c r="F133" s="156"/>
      <c r="G133" s="156"/>
      <c r="H133" s="156"/>
      <c r="I133" s="174"/>
      <c r="J133" s="156"/>
      <c r="K133" s="156"/>
      <c r="L133" s="156"/>
      <c r="M133" s="156"/>
      <c r="N133" s="156"/>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c r="BY133" s="110"/>
      <c r="BZ133" s="110"/>
      <c r="CA133" s="110"/>
      <c r="CB133" s="110"/>
      <c r="CC133" s="110"/>
      <c r="CD133" s="110"/>
      <c r="CE133" s="110"/>
      <c r="CF133" s="110"/>
      <c r="CG133" s="110"/>
      <c r="CH133" s="110"/>
      <c r="CI133" s="110"/>
      <c r="CJ133" s="110"/>
      <c r="CK133" s="110"/>
      <c r="CL133" s="110"/>
      <c r="CM133" s="110"/>
      <c r="CN133" s="110"/>
      <c r="CO133" s="110"/>
      <c r="CP133" s="110"/>
      <c r="CQ133" s="110"/>
      <c r="CR133" s="110"/>
      <c r="CS133" s="110"/>
      <c r="CT133" s="110"/>
      <c r="CU133" s="110"/>
      <c r="CV133" s="110"/>
      <c r="CW133" s="110"/>
      <c r="CX133" s="110"/>
      <c r="CY133" s="110"/>
      <c r="CZ133" s="110"/>
      <c r="DA133" s="110"/>
      <c r="DB133" s="110"/>
      <c r="DC133" s="110"/>
      <c r="DD133" s="110"/>
      <c r="DE133" s="110"/>
      <c r="DF133" s="110"/>
      <c r="DG133" s="110"/>
      <c r="DH133" s="110"/>
      <c r="DI133" s="110"/>
      <c r="DJ133" s="110"/>
      <c r="DK133" s="110"/>
      <c r="DL133" s="110"/>
      <c r="DM133" s="110"/>
      <c r="DN133" s="110"/>
      <c r="DO133" s="110"/>
      <c r="DP133" s="110"/>
      <c r="DQ133" s="110"/>
      <c r="DR133" s="110"/>
      <c r="DS133" s="110"/>
      <c r="DT133" s="110"/>
      <c r="DU133" s="110"/>
      <c r="DV133" s="110"/>
      <c r="DW133" s="110"/>
      <c r="DX133" s="110"/>
      <c r="DY133" s="110"/>
      <c r="DZ133" s="110"/>
      <c r="EA133" s="110"/>
      <c r="EB133" s="110"/>
      <c r="EC133" s="110"/>
      <c r="ED133" s="110"/>
      <c r="EE133" s="110"/>
      <c r="EF133" s="110"/>
      <c r="EG133" s="110"/>
      <c r="EH133" s="110"/>
      <c r="EI133" s="110"/>
      <c r="EJ133" s="110"/>
      <c r="EK133" s="110"/>
      <c r="EL133" s="110"/>
      <c r="EM133" s="110"/>
      <c r="EN133" s="110"/>
      <c r="EO133" s="110"/>
      <c r="EP133" s="110"/>
      <c r="EQ133" s="110"/>
      <c r="ER133" s="110"/>
      <c r="ES133" s="110"/>
      <c r="ET133" s="110"/>
      <c r="EU133" s="110"/>
      <c r="EV133" s="110"/>
      <c r="EW133" s="110"/>
      <c r="EX133" s="110"/>
      <c r="EY133" s="110"/>
      <c r="EZ133" s="110"/>
      <c r="FA133" s="110"/>
      <c r="FB133" s="110"/>
      <c r="FC133" s="110"/>
      <c r="FD133" s="110"/>
      <c r="FE133" s="110"/>
      <c r="FF133" s="110"/>
      <c r="FG133" s="110"/>
      <c r="FH133" s="110"/>
      <c r="FI133" s="110"/>
      <c r="FJ133" s="110"/>
      <c r="FK133" s="110"/>
      <c r="FL133" s="110"/>
      <c r="FM133" s="110"/>
      <c r="FN133" s="110"/>
      <c r="FO133" s="110"/>
      <c r="FP133" s="110"/>
      <c r="FQ133" s="110"/>
      <c r="FR133" s="110"/>
      <c r="FS133" s="110"/>
      <c r="FT133" s="110"/>
      <c r="FU133" s="110"/>
      <c r="FV133" s="110"/>
      <c r="FW133" s="110"/>
      <c r="FX133" s="110"/>
      <c r="FY133" s="110"/>
      <c r="FZ133" s="110"/>
      <c r="GA133" s="110"/>
      <c r="GB133" s="110"/>
      <c r="GC133" s="110"/>
      <c r="GD133" s="110"/>
      <c r="GE133" s="110"/>
      <c r="GF133" s="110"/>
      <c r="GG133" s="110"/>
      <c r="GH133" s="110"/>
      <c r="GI133" s="110"/>
      <c r="GJ133" s="110"/>
      <c r="GK133" s="110"/>
      <c r="GL133" s="110"/>
      <c r="GM133" s="110"/>
      <c r="GN133" s="110"/>
      <c r="GO133" s="110"/>
      <c r="GP133" s="110"/>
      <c r="GQ133" s="110"/>
      <c r="GR133" s="110"/>
      <c r="GS133" s="110"/>
      <c r="GT133" s="110"/>
      <c r="GU133" s="110"/>
      <c r="GV133" s="110"/>
      <c r="GW133" s="110"/>
      <c r="GX133" s="110"/>
      <c r="GY133" s="110"/>
      <c r="GZ133" s="110"/>
      <c r="HA133" s="110"/>
      <c r="HB133" s="110"/>
      <c r="HC133" s="110"/>
      <c r="HD133" s="110"/>
      <c r="HE133" s="110"/>
      <c r="HF133" s="110"/>
      <c r="HG133" s="110"/>
      <c r="HH133" s="110"/>
      <c r="HI133" s="110"/>
      <c r="HJ133" s="110"/>
      <c r="HK133" s="110"/>
      <c r="HL133" s="110"/>
      <c r="HM133" s="110"/>
      <c r="HN133" s="110"/>
      <c r="HO133" s="110"/>
      <c r="HP133" s="110"/>
      <c r="HQ133" s="110"/>
      <c r="HR133" s="110"/>
      <c r="HS133" s="110"/>
      <c r="HT133" s="110"/>
      <c r="HU133" s="110"/>
      <c r="HV133" s="110"/>
      <c r="HW133" s="110"/>
      <c r="HX133" s="110"/>
      <c r="HY133" s="110"/>
      <c r="HZ133" s="110"/>
      <c r="IA133" s="110"/>
      <c r="IB133" s="110"/>
      <c r="IC133" s="110"/>
      <c r="ID133" s="110"/>
      <c r="IE133" s="110"/>
      <c r="IF133" s="110"/>
      <c r="IG133" s="110"/>
      <c r="IH133" s="110"/>
      <c r="II133" s="110"/>
      <c r="IJ133" s="110"/>
      <c r="IK133" s="110"/>
      <c r="IL133" s="110"/>
      <c r="IM133" s="110"/>
      <c r="IN133" s="110"/>
      <c r="IO133" s="110"/>
      <c r="IP133" s="110"/>
      <c r="IQ133" s="110"/>
      <c r="IR133" s="110"/>
      <c r="IS133" s="110"/>
      <c r="IT133" s="110"/>
      <c r="IU133" s="110"/>
      <c r="IV133" s="110"/>
      <c r="IW133" s="110"/>
    </row>
  </sheetData>
  <sortState xmlns:xlrd2="http://schemas.microsoft.com/office/spreadsheetml/2017/richdata2" ref="I6:L45">
    <sortCondition descending="1" ref="L6:L45"/>
  </sortState>
  <mergeCells count="1">
    <mergeCell ref="B1:M1"/>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tabColor theme="5" tint="0.79998168889431442"/>
  </sheetPr>
  <dimension ref="A1:T34"/>
  <sheetViews>
    <sheetView zoomScale="55" zoomScaleNormal="55" workbookViewId="0">
      <selection activeCell="Q18" sqref="Q18"/>
    </sheetView>
  </sheetViews>
  <sheetFormatPr defaultColWidth="8.77734375" defaultRowHeight="14.4" x14ac:dyDescent="0.3"/>
  <cols>
    <col min="2" max="2" width="10.77734375" bestFit="1" customWidth="1"/>
    <col min="3" max="3" width="17.109375" bestFit="1" customWidth="1"/>
  </cols>
  <sheetData>
    <row r="1" spans="1:20" ht="15" thickBot="1" x14ac:dyDescent="0.35">
      <c r="A1" s="171"/>
      <c r="B1" s="232"/>
      <c r="C1" s="233"/>
      <c r="D1" s="233"/>
      <c r="E1" s="233"/>
      <c r="F1" s="233"/>
      <c r="G1" s="233"/>
      <c r="H1" s="233"/>
      <c r="I1" s="233"/>
      <c r="J1" s="233"/>
      <c r="K1" s="233"/>
      <c r="L1" s="233"/>
      <c r="M1" s="233"/>
      <c r="N1" s="233"/>
      <c r="O1" s="233"/>
      <c r="P1" s="233"/>
      <c r="Q1" s="233"/>
      <c r="R1" s="233"/>
      <c r="S1" s="233"/>
      <c r="T1" s="234"/>
    </row>
    <row r="2" spans="1:20" ht="15" thickBot="1" x14ac:dyDescent="0.35">
      <c r="A2" s="171"/>
      <c r="B2" s="171"/>
      <c r="C2" s="171"/>
      <c r="D2" s="171"/>
      <c r="E2" s="171"/>
      <c r="F2" s="171"/>
      <c r="G2" s="171"/>
      <c r="H2" s="171"/>
      <c r="I2" s="171"/>
      <c r="J2" s="171"/>
      <c r="K2" s="171"/>
      <c r="L2" s="171"/>
      <c r="M2" s="171"/>
      <c r="N2" s="171"/>
      <c r="O2" s="171"/>
      <c r="P2" s="171"/>
      <c r="Q2" s="171"/>
      <c r="R2" s="171"/>
      <c r="S2" s="171"/>
      <c r="T2" s="171"/>
    </row>
    <row r="3" spans="1:20" ht="15" thickBot="1" x14ac:dyDescent="0.35">
      <c r="A3" s="171"/>
      <c r="B3" s="175" t="s">
        <v>232</v>
      </c>
      <c r="C3" s="175" t="s">
        <v>272</v>
      </c>
      <c r="D3" s="171"/>
      <c r="E3" s="171"/>
      <c r="F3" s="171"/>
      <c r="G3" s="171"/>
      <c r="H3" s="171"/>
      <c r="I3" s="171"/>
      <c r="J3" s="171"/>
      <c r="K3" s="171"/>
      <c r="L3" s="171"/>
      <c r="M3" s="171"/>
      <c r="N3" s="171"/>
      <c r="O3" s="171"/>
      <c r="P3" s="171"/>
      <c r="Q3" s="171"/>
      <c r="R3" s="171"/>
      <c r="S3" s="171"/>
      <c r="T3" s="171"/>
    </row>
    <row r="4" spans="1:20" ht="15" thickBot="1" x14ac:dyDescent="0.35">
      <c r="A4" s="171"/>
      <c r="B4" s="176">
        <f>'Parameter Values'!Z56</f>
        <v>19250</v>
      </c>
      <c r="C4" s="116">
        <f>'Parameter Values'!AB56</f>
        <v>33666.213421910827</v>
      </c>
      <c r="D4" s="171"/>
      <c r="E4" s="171"/>
      <c r="F4" s="171"/>
      <c r="G4" s="171"/>
      <c r="H4" s="171"/>
      <c r="I4" s="171"/>
      <c r="J4" s="171"/>
      <c r="K4" s="171"/>
      <c r="L4" s="171"/>
      <c r="M4" s="171"/>
      <c r="N4" s="171"/>
      <c r="O4" s="171"/>
      <c r="P4" s="171"/>
      <c r="Q4" s="171"/>
      <c r="R4" s="171"/>
      <c r="S4" s="171"/>
      <c r="T4" s="171"/>
    </row>
    <row r="5" spans="1:20" ht="15" thickBot="1" x14ac:dyDescent="0.35">
      <c r="A5" s="171"/>
      <c r="B5" s="176">
        <f>'Parameter Values'!Z57</f>
        <v>20533.333333333332</v>
      </c>
      <c r="C5" s="116">
        <f>'Parameter Values'!AB57</f>
        <v>33832.360449876673</v>
      </c>
      <c r="D5" s="171"/>
      <c r="E5" s="171"/>
      <c r="F5" s="171"/>
      <c r="G5" s="171"/>
      <c r="H5" s="171"/>
      <c r="I5" s="171"/>
      <c r="J5" s="171"/>
      <c r="K5" s="171"/>
      <c r="L5" s="171"/>
      <c r="M5" s="171"/>
      <c r="N5" s="171"/>
      <c r="O5" s="171"/>
      <c r="P5" s="171"/>
      <c r="Q5" s="171"/>
      <c r="R5" s="171"/>
      <c r="S5" s="171"/>
      <c r="T5" s="171"/>
    </row>
    <row r="6" spans="1:20" ht="15" thickBot="1" x14ac:dyDescent="0.35">
      <c r="A6" s="171"/>
      <c r="B6" s="176">
        <f>'Parameter Values'!Z58</f>
        <v>21816.666666666664</v>
      </c>
      <c r="C6" s="116">
        <f>'Parameter Values'!AB58</f>
        <v>33998.507477842526</v>
      </c>
      <c r="D6" s="171"/>
      <c r="E6" s="171"/>
      <c r="F6" s="171"/>
      <c r="G6" s="171"/>
      <c r="H6" s="171"/>
      <c r="I6" s="171"/>
      <c r="J6" s="171"/>
      <c r="K6" s="171"/>
      <c r="L6" s="171"/>
      <c r="M6" s="171"/>
      <c r="N6" s="171"/>
      <c r="O6" s="171"/>
      <c r="P6" s="171"/>
      <c r="Q6" s="171"/>
      <c r="R6" s="171"/>
      <c r="S6" s="171"/>
      <c r="T6" s="171"/>
    </row>
    <row r="7" spans="1:20" ht="15" thickBot="1" x14ac:dyDescent="0.35">
      <c r="A7" s="171"/>
      <c r="B7" s="176">
        <f>'Parameter Values'!Z59</f>
        <v>23099.999999999996</v>
      </c>
      <c r="C7" s="116">
        <f>'Parameter Values'!AB59</f>
        <v>34164.654505808372</v>
      </c>
      <c r="D7" s="171"/>
      <c r="E7" s="171"/>
      <c r="F7" s="171"/>
      <c r="G7" s="171"/>
      <c r="H7" s="171"/>
      <c r="I7" s="171"/>
      <c r="J7" s="171"/>
      <c r="K7" s="171"/>
      <c r="L7" s="171"/>
      <c r="M7" s="171"/>
      <c r="N7" s="171"/>
      <c r="O7" s="171"/>
      <c r="P7" s="171"/>
      <c r="Q7" s="171"/>
      <c r="R7" s="171"/>
      <c r="S7" s="171"/>
      <c r="T7" s="171"/>
    </row>
    <row r="8" spans="1:20" ht="15" thickBot="1" x14ac:dyDescent="0.35">
      <c r="A8" s="171"/>
      <c r="B8" s="176">
        <f>'Parameter Values'!Z60</f>
        <v>24383.333333333328</v>
      </c>
      <c r="C8" s="116">
        <f>'Parameter Values'!AB60</f>
        <v>34330.801533774225</v>
      </c>
      <c r="D8" s="171"/>
      <c r="E8" s="171"/>
      <c r="F8" s="171"/>
      <c r="G8" s="171"/>
      <c r="H8" s="171"/>
      <c r="I8" s="171"/>
      <c r="J8" s="171"/>
      <c r="K8" s="171"/>
      <c r="L8" s="171"/>
      <c r="M8" s="171"/>
      <c r="N8" s="171"/>
      <c r="O8" s="171"/>
      <c r="P8" s="171"/>
      <c r="Q8" s="171"/>
      <c r="R8" s="171"/>
      <c r="S8" s="171"/>
      <c r="T8" s="171"/>
    </row>
    <row r="9" spans="1:20" ht="15" thickBot="1" x14ac:dyDescent="0.35">
      <c r="A9" s="171"/>
      <c r="B9" s="176">
        <f>'Parameter Values'!Z61</f>
        <v>25666.666666666661</v>
      </c>
      <c r="C9" s="116">
        <f>'Parameter Values'!AB61</f>
        <v>34496.948561740071</v>
      </c>
      <c r="D9" s="171"/>
      <c r="E9" s="171"/>
      <c r="F9" s="171"/>
      <c r="G9" s="171"/>
      <c r="H9" s="171"/>
      <c r="I9" s="171"/>
      <c r="J9" s="171"/>
      <c r="K9" s="171"/>
      <c r="L9" s="171"/>
      <c r="M9" s="171"/>
      <c r="N9" s="171"/>
      <c r="O9" s="171"/>
      <c r="P9" s="171"/>
      <c r="Q9" s="171"/>
      <c r="R9" s="171"/>
      <c r="S9" s="171"/>
      <c r="T9" s="171"/>
    </row>
    <row r="10" spans="1:20" ht="15" thickBot="1" x14ac:dyDescent="0.35">
      <c r="A10" s="171"/>
      <c r="B10" s="176">
        <f>'Parameter Values'!Z62</f>
        <v>26949.999999999993</v>
      </c>
      <c r="C10" s="116">
        <f>'Parameter Values'!AB62</f>
        <v>34663.095589705925</v>
      </c>
      <c r="D10" s="171"/>
      <c r="E10" s="171"/>
      <c r="F10" s="171"/>
      <c r="G10" s="171"/>
      <c r="H10" s="171"/>
      <c r="I10" s="171"/>
      <c r="J10" s="171"/>
      <c r="K10" s="171"/>
      <c r="L10" s="171"/>
      <c r="M10" s="171"/>
      <c r="N10" s="171"/>
      <c r="O10" s="171"/>
      <c r="P10" s="171"/>
      <c r="Q10" s="171"/>
      <c r="R10" s="171"/>
      <c r="S10" s="171"/>
      <c r="T10" s="171"/>
    </row>
    <row r="11" spans="1:20" ht="15" thickBot="1" x14ac:dyDescent="0.35">
      <c r="A11" s="171"/>
      <c r="B11" s="176">
        <f>'Parameter Values'!Z63</f>
        <v>28233.333333333325</v>
      </c>
      <c r="C11" s="116">
        <f>'Parameter Values'!AB63</f>
        <v>34829.242617671771</v>
      </c>
      <c r="D11" s="171"/>
      <c r="E11" s="171"/>
      <c r="F11" s="171"/>
      <c r="G11" s="171"/>
      <c r="H11" s="171"/>
      <c r="I11" s="171"/>
      <c r="J11" s="171"/>
      <c r="K11" s="171"/>
      <c r="L11" s="171"/>
      <c r="M11" s="171"/>
      <c r="N11" s="171"/>
      <c r="O11" s="171"/>
      <c r="P11" s="171"/>
      <c r="Q11" s="171"/>
      <c r="R11" s="171"/>
      <c r="S11" s="171"/>
      <c r="T11" s="171"/>
    </row>
    <row r="12" spans="1:20" ht="15" thickBot="1" x14ac:dyDescent="0.35">
      <c r="A12" s="171"/>
      <c r="B12" s="176">
        <f>'Parameter Values'!Z64</f>
        <v>29516.666666666657</v>
      </c>
      <c r="C12" s="116">
        <f>'Parameter Values'!AB64</f>
        <v>34995.389645637624</v>
      </c>
      <c r="D12" s="171"/>
      <c r="E12" s="171"/>
      <c r="F12" s="171"/>
      <c r="G12" s="171"/>
      <c r="H12" s="171"/>
      <c r="I12" s="171"/>
      <c r="J12" s="171"/>
      <c r="K12" s="171"/>
      <c r="L12" s="171"/>
      <c r="M12" s="171"/>
      <c r="N12" s="171"/>
      <c r="O12" s="171"/>
      <c r="P12" s="171"/>
      <c r="Q12" s="171"/>
      <c r="R12" s="171"/>
      <c r="S12" s="171"/>
      <c r="T12" s="171"/>
    </row>
    <row r="13" spans="1:20" ht="15" thickBot="1" x14ac:dyDescent="0.35">
      <c r="A13" s="171"/>
      <c r="B13" s="176">
        <f>'Parameter Values'!Z65</f>
        <v>30799.999999999989</v>
      </c>
      <c r="C13" s="116">
        <f>'Parameter Values'!AB65</f>
        <v>35161.53667360347</v>
      </c>
      <c r="D13" s="171"/>
      <c r="E13" s="171"/>
      <c r="F13" s="171"/>
      <c r="G13" s="171"/>
      <c r="H13" s="171"/>
      <c r="I13" s="171"/>
      <c r="J13" s="171"/>
      <c r="K13" s="171"/>
      <c r="L13" s="171"/>
      <c r="M13" s="171"/>
      <c r="N13" s="171"/>
      <c r="O13" s="171"/>
      <c r="P13" s="171"/>
      <c r="Q13" s="171"/>
      <c r="R13" s="171"/>
      <c r="S13" s="171"/>
      <c r="T13" s="171"/>
    </row>
    <row r="14" spans="1:20" ht="15" thickBot="1" x14ac:dyDescent="0.35">
      <c r="A14" s="171"/>
      <c r="B14" s="176">
        <f>'Parameter Values'!Z66</f>
        <v>32083.333333333321</v>
      </c>
      <c r="C14" s="116">
        <f>'Parameter Values'!AB66</f>
        <v>35327.683701569316</v>
      </c>
      <c r="D14" s="171"/>
      <c r="E14" s="171"/>
      <c r="F14" s="171"/>
      <c r="G14" s="171"/>
      <c r="H14" s="171"/>
      <c r="I14" s="171"/>
      <c r="J14" s="171"/>
      <c r="K14" s="171"/>
      <c r="L14" s="171"/>
      <c r="M14" s="171"/>
      <c r="N14" s="171"/>
      <c r="O14" s="171"/>
      <c r="P14" s="171"/>
      <c r="Q14" s="171"/>
      <c r="R14" s="171"/>
      <c r="S14" s="171"/>
      <c r="T14" s="171"/>
    </row>
    <row r="15" spans="1:20" ht="15" thickBot="1" x14ac:dyDescent="0.35">
      <c r="A15" s="171"/>
      <c r="B15" s="176">
        <f>'Parameter Values'!Z67</f>
        <v>33366.666666666657</v>
      </c>
      <c r="C15" s="116">
        <f>'Parameter Values'!AB67</f>
        <v>35493.83072953517</v>
      </c>
      <c r="D15" s="171"/>
      <c r="E15" s="171"/>
      <c r="F15" s="171"/>
      <c r="G15" s="171"/>
      <c r="H15" s="171"/>
      <c r="I15" s="171"/>
      <c r="J15" s="171"/>
      <c r="K15" s="171"/>
      <c r="L15" s="171"/>
      <c r="M15" s="171"/>
      <c r="N15" s="171"/>
      <c r="O15" s="171"/>
      <c r="P15" s="171"/>
      <c r="Q15" s="171"/>
      <c r="R15" s="171"/>
      <c r="S15" s="171"/>
      <c r="T15" s="171"/>
    </row>
    <row r="16" spans="1:20" ht="15" thickBot="1" x14ac:dyDescent="0.35">
      <c r="A16" s="171"/>
      <c r="B16" s="176">
        <f>'Parameter Values'!Z68</f>
        <v>34649.999999999993</v>
      </c>
      <c r="C16" s="116">
        <f>'Parameter Values'!AB68</f>
        <v>35659.977757501016</v>
      </c>
      <c r="D16" s="171"/>
      <c r="E16" s="171"/>
      <c r="F16" s="171"/>
      <c r="G16" s="171"/>
      <c r="H16" s="171"/>
      <c r="I16" s="171"/>
      <c r="J16" s="171"/>
      <c r="K16" s="171"/>
      <c r="L16" s="171"/>
      <c r="M16" s="171"/>
      <c r="N16" s="171"/>
      <c r="O16" s="171"/>
      <c r="P16" s="171"/>
      <c r="Q16" s="171"/>
      <c r="R16" s="171"/>
      <c r="S16" s="171"/>
      <c r="T16" s="171"/>
    </row>
    <row r="17" spans="1:20" ht="15" thickBot="1" x14ac:dyDescent="0.35">
      <c r="A17" s="171"/>
      <c r="B17" s="176">
        <f>'Parameter Values'!Z69</f>
        <v>35933.333333333328</v>
      </c>
      <c r="C17" s="116">
        <f>'Parameter Values'!AB69</f>
        <v>35826.124785466869</v>
      </c>
      <c r="D17" s="171"/>
      <c r="E17" s="171"/>
      <c r="F17" s="171"/>
      <c r="G17" s="171"/>
      <c r="H17" s="171"/>
      <c r="I17" s="171"/>
      <c r="J17" s="171"/>
      <c r="K17" s="171"/>
      <c r="L17" s="171"/>
      <c r="M17" s="171"/>
      <c r="N17" s="171"/>
      <c r="O17" s="171"/>
      <c r="P17" s="171"/>
      <c r="Q17" s="171"/>
      <c r="R17" s="171"/>
      <c r="S17" s="171"/>
      <c r="T17" s="171"/>
    </row>
    <row r="18" spans="1:20" ht="15" thickBot="1" x14ac:dyDescent="0.35">
      <c r="A18" s="171"/>
      <c r="B18" s="176">
        <f>'Parameter Values'!Z70</f>
        <v>37216.666666666664</v>
      </c>
      <c r="C18" s="116">
        <f>'Parameter Values'!AB70</f>
        <v>35992.271813432715</v>
      </c>
      <c r="D18" s="171"/>
      <c r="E18" s="171"/>
      <c r="F18" s="171"/>
      <c r="G18" s="171"/>
      <c r="H18" s="171"/>
      <c r="I18" s="171"/>
      <c r="J18" s="171"/>
      <c r="K18" s="171"/>
      <c r="L18" s="171"/>
      <c r="M18" s="171"/>
      <c r="N18" s="171"/>
      <c r="O18" s="171"/>
      <c r="P18" s="171"/>
      <c r="Q18" s="171"/>
      <c r="R18" s="171"/>
      <c r="S18" s="171"/>
      <c r="T18" s="171"/>
    </row>
    <row r="19" spans="1:20" ht="15" thickBot="1" x14ac:dyDescent="0.35">
      <c r="A19" s="171"/>
      <c r="B19" s="176">
        <f>'Parameter Values'!Z71</f>
        <v>38500</v>
      </c>
      <c r="C19" s="116">
        <f>'Parameter Values'!AB71</f>
        <v>36158.418841398568</v>
      </c>
      <c r="D19" s="171"/>
      <c r="E19" s="171"/>
      <c r="F19" s="171"/>
      <c r="G19" s="171"/>
      <c r="H19" s="171"/>
      <c r="I19" s="171"/>
      <c r="J19" s="171"/>
      <c r="K19" s="171"/>
      <c r="L19" s="171"/>
      <c r="M19" s="171"/>
      <c r="N19" s="171"/>
      <c r="O19" s="171"/>
      <c r="P19" s="171"/>
      <c r="Q19" s="171"/>
      <c r="R19" s="171"/>
      <c r="S19" s="171"/>
      <c r="T19" s="171"/>
    </row>
    <row r="20" spans="1:20" ht="15" thickBot="1" x14ac:dyDescent="0.35">
      <c r="A20" s="171"/>
      <c r="B20" s="176">
        <f>'Parameter Values'!Z72</f>
        <v>39783.333333333336</v>
      </c>
      <c r="C20" s="116">
        <f>'Parameter Values'!AB72</f>
        <v>36324.565869364415</v>
      </c>
      <c r="D20" s="171"/>
      <c r="E20" s="171"/>
      <c r="F20" s="171"/>
      <c r="G20" s="171"/>
      <c r="H20" s="171"/>
      <c r="I20" s="171"/>
      <c r="J20" s="171"/>
      <c r="K20" s="171"/>
      <c r="L20" s="171"/>
      <c r="M20" s="171"/>
      <c r="N20" s="171"/>
      <c r="O20" s="171"/>
      <c r="P20" s="171"/>
      <c r="Q20" s="171"/>
      <c r="R20" s="171"/>
      <c r="S20" s="171"/>
      <c r="T20" s="171"/>
    </row>
    <row r="21" spans="1:20" ht="15" thickBot="1" x14ac:dyDescent="0.35">
      <c r="A21" s="171"/>
      <c r="B21" s="176">
        <f>'Parameter Values'!Z73</f>
        <v>41066.666666666672</v>
      </c>
      <c r="C21" s="116">
        <f>'Parameter Values'!AB73</f>
        <v>36490.712897330268</v>
      </c>
      <c r="D21" s="171"/>
      <c r="E21" s="171"/>
      <c r="F21" s="171"/>
      <c r="G21" s="171"/>
      <c r="H21" s="171"/>
      <c r="I21" s="171"/>
      <c r="J21" s="171"/>
      <c r="K21" s="171"/>
      <c r="L21" s="171"/>
      <c r="M21" s="171"/>
      <c r="N21" s="171"/>
      <c r="O21" s="171"/>
      <c r="P21" s="171"/>
      <c r="Q21" s="171"/>
      <c r="R21" s="171"/>
      <c r="S21" s="171"/>
      <c r="T21" s="171"/>
    </row>
    <row r="22" spans="1:20" ht="15" thickBot="1" x14ac:dyDescent="0.35">
      <c r="A22" s="171"/>
      <c r="B22" s="176">
        <f>'Parameter Values'!Z74</f>
        <v>42350.000000000007</v>
      </c>
      <c r="C22" s="116">
        <f>'Parameter Values'!AB74</f>
        <v>36656.859925296114</v>
      </c>
      <c r="D22" s="171"/>
      <c r="E22" s="171"/>
      <c r="F22" s="171"/>
      <c r="G22" s="171"/>
      <c r="H22" s="171"/>
      <c r="I22" s="171"/>
      <c r="J22" s="171"/>
      <c r="K22" s="171"/>
      <c r="L22" s="171"/>
      <c r="M22" s="171"/>
      <c r="N22" s="171"/>
      <c r="O22" s="171"/>
      <c r="P22" s="171"/>
      <c r="Q22" s="171"/>
      <c r="R22" s="171"/>
      <c r="S22" s="171"/>
      <c r="T22" s="171"/>
    </row>
    <row r="23" spans="1:20" ht="15" thickBot="1" x14ac:dyDescent="0.35">
      <c r="A23" s="171"/>
      <c r="B23" s="176">
        <f>'Parameter Values'!Z75</f>
        <v>43633.333333333343</v>
      </c>
      <c r="C23" s="116">
        <f>'Parameter Values'!AB75</f>
        <v>36823.006953261967</v>
      </c>
      <c r="D23" s="171"/>
      <c r="E23" s="171"/>
      <c r="F23" s="171"/>
      <c r="G23" s="171"/>
      <c r="H23" s="171"/>
      <c r="I23" s="171"/>
      <c r="J23" s="171"/>
      <c r="K23" s="171"/>
      <c r="L23" s="171"/>
      <c r="M23" s="171"/>
      <c r="N23" s="171"/>
      <c r="O23" s="171"/>
      <c r="P23" s="171"/>
      <c r="Q23" s="171"/>
      <c r="R23" s="171"/>
      <c r="S23" s="171"/>
      <c r="T23" s="171"/>
    </row>
    <row r="24" spans="1:20" ht="15" thickBot="1" x14ac:dyDescent="0.35">
      <c r="A24" s="171"/>
      <c r="B24" s="176">
        <f>'Parameter Values'!Z76</f>
        <v>44916.666666666679</v>
      </c>
      <c r="C24" s="116">
        <f>'Parameter Values'!AB76</f>
        <v>36989.153981227821</v>
      </c>
      <c r="D24" s="171"/>
      <c r="E24" s="171"/>
      <c r="F24" s="171"/>
      <c r="G24" s="171"/>
      <c r="H24" s="171"/>
      <c r="I24" s="171"/>
      <c r="J24" s="171"/>
      <c r="K24" s="171"/>
      <c r="L24" s="171"/>
      <c r="M24" s="171"/>
      <c r="N24" s="171"/>
      <c r="O24" s="171"/>
      <c r="P24" s="171"/>
      <c r="Q24" s="171"/>
      <c r="R24" s="171"/>
      <c r="S24" s="171"/>
      <c r="T24" s="171"/>
    </row>
    <row r="25" spans="1:20" ht="15" thickBot="1" x14ac:dyDescent="0.35">
      <c r="A25" s="171"/>
      <c r="B25" s="176">
        <f>'Parameter Values'!Z77</f>
        <v>46200.000000000015</v>
      </c>
      <c r="C25" s="116">
        <f>'Parameter Values'!AB77</f>
        <v>37155.301009193667</v>
      </c>
      <c r="D25" s="171"/>
      <c r="E25" s="171"/>
      <c r="F25" s="171"/>
      <c r="G25" s="171"/>
      <c r="H25" s="171"/>
      <c r="I25" s="171"/>
      <c r="J25" s="171"/>
      <c r="K25" s="171"/>
      <c r="L25" s="171"/>
      <c r="M25" s="171"/>
      <c r="N25" s="171"/>
      <c r="O25" s="171"/>
      <c r="P25" s="171"/>
      <c r="Q25" s="171"/>
      <c r="R25" s="171"/>
      <c r="S25" s="171"/>
      <c r="T25" s="171"/>
    </row>
    <row r="26" spans="1:20" ht="15" thickBot="1" x14ac:dyDescent="0.35">
      <c r="A26" s="171"/>
      <c r="B26" s="176">
        <f>'Parameter Values'!Z78</f>
        <v>47483.33333333335</v>
      </c>
      <c r="C26" s="116">
        <f>'Parameter Values'!AB78</f>
        <v>37321.448037159513</v>
      </c>
      <c r="D26" s="171"/>
      <c r="E26" s="171"/>
      <c r="F26" s="171"/>
      <c r="G26" s="171"/>
      <c r="H26" s="171"/>
      <c r="I26" s="171"/>
      <c r="J26" s="171"/>
      <c r="K26" s="171"/>
      <c r="L26" s="171"/>
      <c r="M26" s="171"/>
      <c r="N26" s="171"/>
      <c r="O26" s="171"/>
      <c r="P26" s="171"/>
      <c r="Q26" s="171"/>
      <c r="R26" s="171"/>
      <c r="S26" s="171"/>
      <c r="T26" s="171"/>
    </row>
    <row r="27" spans="1:20" ht="15" thickBot="1" x14ac:dyDescent="0.35">
      <c r="A27" s="171"/>
      <c r="B27" s="176">
        <f>'Parameter Values'!Z79</f>
        <v>48766.666666666686</v>
      </c>
      <c r="C27" s="116">
        <f>'Parameter Values'!AB79</f>
        <v>37487.595065125366</v>
      </c>
      <c r="D27" s="171"/>
      <c r="E27" s="171"/>
      <c r="F27" s="171"/>
      <c r="G27" s="171"/>
      <c r="H27" s="171"/>
      <c r="I27" s="171"/>
      <c r="J27" s="171"/>
      <c r="K27" s="171"/>
      <c r="L27" s="171"/>
      <c r="M27" s="171"/>
      <c r="N27" s="171"/>
      <c r="O27" s="171"/>
      <c r="P27" s="171"/>
      <c r="Q27" s="171"/>
      <c r="R27" s="171"/>
      <c r="S27" s="171"/>
      <c r="T27" s="171"/>
    </row>
    <row r="28" spans="1:20" ht="15" thickBot="1" x14ac:dyDescent="0.35">
      <c r="A28" s="171"/>
      <c r="B28" s="176">
        <f>'Parameter Values'!Z80</f>
        <v>50050.000000000022</v>
      </c>
      <c r="C28" s="116">
        <f>'Parameter Values'!AB80</f>
        <v>37653.742093091219</v>
      </c>
      <c r="D28" s="171"/>
      <c r="E28" s="171"/>
      <c r="F28" s="171"/>
      <c r="G28" s="171"/>
      <c r="H28" s="171"/>
      <c r="I28" s="171"/>
      <c r="J28" s="171"/>
      <c r="K28" s="171"/>
      <c r="L28" s="171"/>
      <c r="M28" s="171"/>
      <c r="N28" s="171"/>
      <c r="O28" s="171"/>
      <c r="P28" s="171"/>
      <c r="Q28" s="171"/>
      <c r="R28" s="171"/>
      <c r="S28" s="171"/>
      <c r="T28" s="171"/>
    </row>
    <row r="29" spans="1:20" ht="15" thickBot="1" x14ac:dyDescent="0.35">
      <c r="A29" s="171"/>
      <c r="B29" s="176">
        <f>'Parameter Values'!Z81</f>
        <v>51333.333333333358</v>
      </c>
      <c r="C29" s="116">
        <f>'Parameter Values'!AB81</f>
        <v>37819.889121057065</v>
      </c>
      <c r="D29" s="171"/>
      <c r="E29" s="171"/>
      <c r="F29" s="171"/>
      <c r="G29" s="171"/>
      <c r="H29" s="171"/>
      <c r="I29" s="171"/>
      <c r="J29" s="171"/>
      <c r="K29" s="171"/>
      <c r="L29" s="171"/>
      <c r="M29" s="171"/>
      <c r="N29" s="171"/>
      <c r="O29" s="171"/>
      <c r="P29" s="171"/>
      <c r="Q29" s="171"/>
      <c r="R29" s="171"/>
      <c r="S29" s="171"/>
      <c r="T29" s="171"/>
    </row>
    <row r="30" spans="1:20" ht="15" thickBot="1" x14ac:dyDescent="0.35">
      <c r="A30" s="171"/>
      <c r="B30" s="176">
        <f>'Parameter Values'!Z82</f>
        <v>52616.666666666693</v>
      </c>
      <c r="C30" s="116">
        <f>'Parameter Values'!AB82</f>
        <v>37986.036149022912</v>
      </c>
      <c r="D30" s="171"/>
      <c r="E30" s="171"/>
      <c r="F30" s="171"/>
      <c r="G30" s="171"/>
      <c r="H30" s="171"/>
      <c r="I30" s="171"/>
      <c r="J30" s="171"/>
      <c r="K30" s="171"/>
      <c r="L30" s="171"/>
      <c r="M30" s="171"/>
      <c r="N30" s="171"/>
      <c r="O30" s="171"/>
      <c r="P30" s="171"/>
      <c r="Q30" s="171"/>
      <c r="R30" s="171"/>
      <c r="S30" s="171"/>
      <c r="T30" s="171"/>
    </row>
    <row r="31" spans="1:20" ht="15" thickBot="1" x14ac:dyDescent="0.35">
      <c r="A31" s="171"/>
      <c r="B31" s="176">
        <f>'Parameter Values'!Z83</f>
        <v>53900.000000000029</v>
      </c>
      <c r="C31" s="116">
        <f>'Parameter Values'!AB83</f>
        <v>38152.183176988765</v>
      </c>
      <c r="D31" s="171"/>
      <c r="E31" s="171"/>
      <c r="F31" s="171"/>
      <c r="G31" s="171"/>
      <c r="H31" s="171"/>
      <c r="I31" s="171"/>
      <c r="J31" s="171"/>
      <c r="K31" s="171"/>
      <c r="L31" s="171"/>
      <c r="M31" s="171"/>
      <c r="N31" s="171"/>
      <c r="O31" s="171"/>
      <c r="P31" s="171"/>
      <c r="Q31" s="171"/>
      <c r="R31" s="171"/>
      <c r="S31" s="171"/>
      <c r="T31" s="171"/>
    </row>
    <row r="32" spans="1:20" ht="15" thickBot="1" x14ac:dyDescent="0.35">
      <c r="A32" s="171"/>
      <c r="B32" s="176">
        <f>'Parameter Values'!Z84</f>
        <v>55183.333333333365</v>
      </c>
      <c r="C32" s="116">
        <f>'Parameter Values'!AB84</f>
        <v>38318.330204954618</v>
      </c>
      <c r="D32" s="171"/>
      <c r="E32" s="171"/>
      <c r="F32" s="171"/>
      <c r="G32" s="171"/>
      <c r="H32" s="171"/>
      <c r="I32" s="171"/>
      <c r="J32" s="171"/>
      <c r="K32" s="171"/>
      <c r="L32" s="171"/>
      <c r="M32" s="171"/>
      <c r="N32" s="171"/>
      <c r="O32" s="171"/>
      <c r="P32" s="171"/>
      <c r="Q32" s="171"/>
      <c r="R32" s="171"/>
      <c r="S32" s="171"/>
      <c r="T32" s="171"/>
    </row>
    <row r="33" spans="1:20" ht="15" thickBot="1" x14ac:dyDescent="0.35">
      <c r="A33" s="171"/>
      <c r="B33" s="176">
        <f>'Parameter Values'!Z85</f>
        <v>56466.666666666701</v>
      </c>
      <c r="C33" s="116">
        <f>'Parameter Values'!AB85</f>
        <v>38484.477232920464</v>
      </c>
      <c r="D33" s="171"/>
      <c r="E33" s="171"/>
      <c r="F33" s="171"/>
      <c r="G33" s="171"/>
      <c r="H33" s="171"/>
      <c r="I33" s="171"/>
      <c r="J33" s="171"/>
      <c r="K33" s="171"/>
      <c r="L33" s="171"/>
      <c r="M33" s="171"/>
      <c r="N33" s="171"/>
      <c r="O33" s="171"/>
      <c r="P33" s="171"/>
      <c r="Q33" s="171"/>
      <c r="R33" s="171"/>
      <c r="S33" s="171"/>
      <c r="T33" s="171"/>
    </row>
    <row r="34" spans="1:20" x14ac:dyDescent="0.3">
      <c r="A34" s="171"/>
      <c r="B34" s="176">
        <f>'Parameter Values'!Z86</f>
        <v>57750.000000000036</v>
      </c>
      <c r="C34" s="116">
        <f>'Parameter Values'!AB86</f>
        <v>38650.62426088631</v>
      </c>
      <c r="D34" s="171"/>
      <c r="E34" s="171"/>
      <c r="F34" s="171"/>
      <c r="G34" s="171"/>
      <c r="H34" s="171"/>
      <c r="I34" s="171"/>
      <c r="J34" s="171"/>
      <c r="K34" s="171"/>
      <c r="L34" s="171"/>
      <c r="M34" s="171"/>
      <c r="N34" s="171"/>
      <c r="O34" s="171"/>
      <c r="P34" s="171"/>
      <c r="Q34" s="171"/>
      <c r="R34" s="171"/>
      <c r="S34" s="171"/>
      <c r="T34" s="171"/>
    </row>
  </sheetData>
  <mergeCells count="1">
    <mergeCell ref="B1:T1"/>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5">
    <tabColor theme="5" tint="0.79998168889431442"/>
  </sheetPr>
  <dimension ref="A1:IW133"/>
  <sheetViews>
    <sheetView zoomScale="55" zoomScaleNormal="55" workbookViewId="0">
      <selection activeCell="R88" sqref="R88"/>
    </sheetView>
  </sheetViews>
  <sheetFormatPr defaultColWidth="8.77734375" defaultRowHeight="14.4" x14ac:dyDescent="0.3"/>
  <cols>
    <col min="2" max="2" width="15.77734375" bestFit="1" customWidth="1"/>
    <col min="3" max="3" width="13.44140625" bestFit="1" customWidth="1"/>
    <col min="4" max="4" width="9" bestFit="1" customWidth="1"/>
    <col min="5" max="5" width="15.77734375" bestFit="1" customWidth="1"/>
    <col min="9" max="9" width="12" customWidth="1"/>
    <col min="10" max="10" width="10.5546875" bestFit="1" customWidth="1"/>
    <col min="11" max="11" width="9" bestFit="1" customWidth="1"/>
    <col min="12" max="12" width="15.77734375" bestFit="1" customWidth="1"/>
  </cols>
  <sheetData>
    <row r="1" spans="1:257" ht="15" thickBot="1" x14ac:dyDescent="0.35">
      <c r="A1" s="156"/>
      <c r="B1" s="243" t="s">
        <v>778</v>
      </c>
      <c r="C1" s="244"/>
      <c r="D1" s="244"/>
      <c r="E1" s="244"/>
      <c r="F1" s="244"/>
      <c r="G1" s="244"/>
      <c r="H1" s="244"/>
      <c r="I1" s="244"/>
      <c r="J1" s="244"/>
      <c r="K1" s="244"/>
      <c r="L1" s="244"/>
      <c r="M1" s="245"/>
      <c r="N1" s="156"/>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0"/>
      <c r="DL1" s="110"/>
      <c r="DM1" s="110"/>
      <c r="DN1" s="110"/>
      <c r="DO1" s="110"/>
      <c r="DP1" s="110"/>
      <c r="DQ1" s="110"/>
      <c r="DR1" s="110"/>
      <c r="DS1" s="110"/>
      <c r="DT1" s="110"/>
      <c r="DU1" s="110"/>
      <c r="DV1" s="110"/>
      <c r="DW1" s="110"/>
      <c r="DX1" s="110"/>
      <c r="DY1" s="110"/>
      <c r="DZ1" s="110"/>
      <c r="EA1" s="110"/>
      <c r="EB1" s="110"/>
      <c r="EC1" s="110"/>
      <c r="ED1" s="110"/>
      <c r="EE1" s="110"/>
      <c r="EF1" s="110"/>
      <c r="EG1" s="110"/>
      <c r="EH1" s="110"/>
      <c r="EI1" s="110"/>
      <c r="EJ1" s="110"/>
      <c r="EK1" s="110"/>
      <c r="EL1" s="110"/>
      <c r="EM1" s="110"/>
      <c r="EN1" s="110"/>
      <c r="EO1" s="110"/>
      <c r="EP1" s="110"/>
      <c r="EQ1" s="110"/>
      <c r="ER1" s="110"/>
      <c r="ES1" s="110"/>
      <c r="ET1" s="110"/>
      <c r="EU1" s="110"/>
      <c r="EV1" s="110"/>
      <c r="EW1" s="110"/>
      <c r="EX1" s="110"/>
      <c r="EY1" s="110"/>
      <c r="EZ1" s="110"/>
      <c r="FA1" s="110"/>
      <c r="FB1" s="110"/>
      <c r="FC1" s="110"/>
      <c r="FD1" s="110"/>
      <c r="FE1" s="110"/>
      <c r="FF1" s="110"/>
      <c r="FG1" s="110"/>
      <c r="FH1" s="110"/>
      <c r="FI1" s="110"/>
      <c r="FJ1" s="110"/>
      <c r="FK1" s="110"/>
      <c r="FL1" s="110"/>
      <c r="FM1" s="110"/>
      <c r="FN1" s="110"/>
      <c r="FO1" s="110"/>
      <c r="FP1" s="110"/>
      <c r="FQ1" s="110"/>
      <c r="FR1" s="110"/>
      <c r="FS1" s="110"/>
      <c r="FT1" s="110"/>
      <c r="FU1" s="110"/>
      <c r="FV1" s="110"/>
      <c r="FW1" s="110"/>
      <c r="FX1" s="110"/>
      <c r="FY1" s="110"/>
      <c r="FZ1" s="110"/>
      <c r="GA1" s="110"/>
      <c r="GB1" s="110"/>
      <c r="GC1" s="110"/>
      <c r="GD1" s="110"/>
      <c r="GE1" s="110"/>
      <c r="GF1" s="110"/>
      <c r="GG1" s="110"/>
      <c r="GH1" s="110"/>
      <c r="GI1" s="110"/>
      <c r="GJ1" s="110"/>
      <c r="GK1" s="110"/>
      <c r="GL1" s="110"/>
      <c r="GM1" s="110"/>
      <c r="GN1" s="110"/>
      <c r="GO1" s="110"/>
      <c r="GP1" s="110"/>
      <c r="GQ1" s="110"/>
      <c r="GR1" s="110"/>
      <c r="GS1" s="110"/>
      <c r="GT1" s="110"/>
      <c r="GU1" s="110"/>
      <c r="GV1" s="110"/>
      <c r="GW1" s="110"/>
      <c r="GX1" s="110"/>
      <c r="GY1" s="110"/>
      <c r="GZ1" s="110"/>
      <c r="HA1" s="110"/>
      <c r="HB1" s="110"/>
      <c r="HC1" s="110"/>
      <c r="HD1" s="110"/>
      <c r="HE1" s="110"/>
      <c r="HF1" s="110"/>
      <c r="HG1" s="110"/>
      <c r="HH1" s="110"/>
      <c r="HI1" s="110"/>
      <c r="HJ1" s="110"/>
      <c r="HK1" s="110"/>
      <c r="HL1" s="110"/>
      <c r="HM1" s="110"/>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row>
    <row r="2" spans="1:257" ht="15" thickBot="1" x14ac:dyDescent="0.35">
      <c r="A2" s="156"/>
      <c r="B2" s="157"/>
      <c r="C2" s="158"/>
      <c r="D2" s="158"/>
      <c r="E2" s="158"/>
      <c r="F2" s="156"/>
      <c r="G2" s="156"/>
      <c r="H2" s="156"/>
      <c r="I2" s="156"/>
      <c r="J2" s="156"/>
      <c r="K2" s="156"/>
      <c r="L2" s="156"/>
      <c r="M2" s="156"/>
      <c r="N2" s="156"/>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c r="CY2" s="110"/>
      <c r="CZ2" s="110"/>
      <c r="DA2" s="110"/>
      <c r="DB2" s="110"/>
      <c r="DC2" s="110"/>
      <c r="DD2" s="110"/>
      <c r="DE2" s="110"/>
      <c r="DF2" s="110"/>
      <c r="DG2" s="110"/>
      <c r="DH2" s="110"/>
      <c r="DI2" s="110"/>
      <c r="DJ2" s="110"/>
      <c r="DK2" s="110"/>
      <c r="DL2" s="110"/>
      <c r="DM2" s="110"/>
      <c r="DN2" s="110"/>
      <c r="DO2" s="110"/>
      <c r="DP2" s="110"/>
      <c r="DQ2" s="110"/>
      <c r="DR2" s="110"/>
      <c r="DS2" s="110"/>
      <c r="DT2" s="110"/>
      <c r="DU2" s="110"/>
      <c r="DV2" s="110"/>
      <c r="DW2" s="110"/>
      <c r="DX2" s="110"/>
      <c r="DY2" s="110"/>
      <c r="DZ2" s="110"/>
      <c r="EA2" s="110"/>
      <c r="EB2" s="110"/>
      <c r="EC2" s="110"/>
      <c r="ED2" s="110"/>
      <c r="EE2" s="110"/>
      <c r="EF2" s="110"/>
      <c r="EG2" s="110"/>
      <c r="EH2" s="110"/>
      <c r="EI2" s="110"/>
      <c r="EJ2" s="110"/>
      <c r="EK2" s="110"/>
      <c r="EL2" s="110"/>
      <c r="EM2" s="110"/>
      <c r="EN2" s="110"/>
      <c r="EO2" s="110"/>
      <c r="EP2" s="110"/>
      <c r="EQ2" s="110"/>
      <c r="ER2" s="110"/>
      <c r="ES2" s="110"/>
      <c r="ET2" s="110"/>
      <c r="EU2" s="110"/>
      <c r="EV2" s="110"/>
      <c r="EW2" s="110"/>
      <c r="EX2" s="110"/>
      <c r="EY2" s="110"/>
      <c r="EZ2" s="110"/>
      <c r="FA2" s="110"/>
      <c r="FB2" s="110"/>
      <c r="FC2" s="110"/>
      <c r="FD2" s="110"/>
      <c r="FE2" s="110"/>
      <c r="FF2" s="110"/>
      <c r="FG2" s="110"/>
      <c r="FH2" s="110"/>
      <c r="FI2" s="110"/>
      <c r="FJ2" s="110"/>
      <c r="FK2" s="110"/>
      <c r="FL2" s="110"/>
      <c r="FM2" s="110"/>
      <c r="FN2" s="110"/>
      <c r="FO2" s="110"/>
      <c r="FP2" s="110"/>
      <c r="FQ2" s="110"/>
      <c r="FR2" s="110"/>
      <c r="FS2" s="110"/>
      <c r="FT2" s="110"/>
      <c r="FU2" s="110"/>
      <c r="FV2" s="110"/>
      <c r="FW2" s="110"/>
      <c r="FX2" s="110"/>
      <c r="FY2" s="110"/>
      <c r="FZ2" s="110"/>
      <c r="GA2" s="110"/>
      <c r="GB2" s="110"/>
      <c r="GC2" s="110"/>
      <c r="GD2" s="110"/>
      <c r="GE2" s="110"/>
      <c r="GF2" s="110"/>
      <c r="GG2" s="110"/>
      <c r="GH2" s="110"/>
      <c r="GI2" s="110"/>
      <c r="GJ2" s="110"/>
      <c r="GK2" s="110"/>
      <c r="GL2" s="110"/>
      <c r="GM2" s="110"/>
      <c r="GN2" s="110"/>
      <c r="GO2" s="110"/>
      <c r="GP2" s="110"/>
      <c r="GQ2" s="110"/>
      <c r="GR2" s="110"/>
      <c r="GS2" s="110"/>
      <c r="GT2" s="110"/>
      <c r="GU2" s="110"/>
      <c r="GV2" s="110"/>
      <c r="GW2" s="110"/>
      <c r="GX2" s="110"/>
      <c r="GY2" s="110"/>
      <c r="GZ2" s="110"/>
      <c r="HA2" s="110"/>
      <c r="HB2" s="110"/>
      <c r="HC2" s="110"/>
      <c r="HD2" s="110"/>
      <c r="HE2" s="110"/>
      <c r="HF2" s="110"/>
      <c r="HG2" s="110"/>
      <c r="HH2" s="110"/>
      <c r="HI2" s="110"/>
      <c r="HJ2" s="110"/>
      <c r="HK2" s="110"/>
      <c r="HL2" s="110"/>
      <c r="HM2" s="110"/>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row>
    <row r="3" spans="1:257" ht="16.8" thickBot="1" x14ac:dyDescent="0.4">
      <c r="A3" s="156"/>
      <c r="B3" s="159" t="s">
        <v>786</v>
      </c>
      <c r="C3" s="160">
        <f>'Parameter Values'!C6</f>
        <v>36158.418841398568</v>
      </c>
      <c r="D3" s="158"/>
      <c r="E3" s="158"/>
      <c r="F3" s="156"/>
      <c r="G3" s="156"/>
      <c r="H3" s="156"/>
      <c r="I3" s="161" t="s">
        <v>785</v>
      </c>
      <c r="J3" s="156"/>
      <c r="K3" s="156"/>
      <c r="L3" s="156"/>
      <c r="M3" s="156"/>
      <c r="N3" s="156"/>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c r="CY3" s="110"/>
      <c r="CZ3" s="110"/>
      <c r="DA3" s="110"/>
      <c r="DB3" s="110"/>
      <c r="DC3" s="110"/>
      <c r="DD3" s="110"/>
      <c r="DE3" s="110"/>
      <c r="DF3" s="110"/>
      <c r="DG3" s="110"/>
      <c r="DH3" s="110"/>
      <c r="DI3" s="110"/>
      <c r="DJ3" s="110"/>
      <c r="DK3" s="110"/>
      <c r="DL3" s="110"/>
      <c r="DM3" s="110"/>
      <c r="DN3" s="110"/>
      <c r="DO3" s="110"/>
      <c r="DP3" s="110"/>
      <c r="DQ3" s="110"/>
      <c r="DR3" s="110"/>
      <c r="DS3" s="110"/>
      <c r="DT3" s="110"/>
      <c r="DU3" s="110"/>
      <c r="DV3" s="110"/>
      <c r="DW3" s="110"/>
      <c r="DX3" s="110"/>
      <c r="DY3" s="110"/>
      <c r="DZ3" s="110"/>
      <c r="EA3" s="110"/>
      <c r="EB3" s="110"/>
      <c r="EC3" s="110"/>
      <c r="ED3" s="110"/>
      <c r="EE3" s="110"/>
      <c r="EF3" s="110"/>
      <c r="EG3" s="110"/>
      <c r="EH3" s="110"/>
      <c r="EI3" s="110"/>
      <c r="EJ3" s="110"/>
      <c r="EK3" s="110"/>
      <c r="EL3" s="110"/>
      <c r="EM3" s="110"/>
      <c r="EN3" s="110"/>
      <c r="EO3" s="110"/>
      <c r="EP3" s="110"/>
      <c r="EQ3" s="110"/>
      <c r="ER3" s="110"/>
      <c r="ES3" s="110"/>
      <c r="ET3" s="110"/>
      <c r="EU3" s="110"/>
      <c r="EV3" s="110"/>
      <c r="EW3" s="110"/>
      <c r="EX3" s="110"/>
      <c r="EY3" s="110"/>
      <c r="EZ3" s="110"/>
      <c r="FA3" s="110"/>
      <c r="FB3" s="110"/>
      <c r="FC3" s="110"/>
      <c r="FD3" s="110"/>
      <c r="FE3" s="110"/>
      <c r="FF3" s="110"/>
      <c r="FG3" s="110"/>
      <c r="FH3" s="110"/>
      <c r="FI3" s="110"/>
      <c r="FJ3" s="110"/>
      <c r="FK3" s="110"/>
      <c r="FL3" s="110"/>
      <c r="FM3" s="110"/>
      <c r="FN3" s="110"/>
      <c r="FO3" s="110"/>
      <c r="FP3" s="110"/>
      <c r="FQ3" s="110"/>
      <c r="FR3" s="110"/>
      <c r="FS3" s="110"/>
      <c r="FT3" s="110"/>
      <c r="FU3" s="110"/>
      <c r="FV3" s="110"/>
      <c r="FW3" s="110"/>
      <c r="FX3" s="110"/>
      <c r="FY3" s="110"/>
      <c r="FZ3" s="110"/>
      <c r="GA3" s="110"/>
      <c r="GB3" s="110"/>
      <c r="GC3" s="110"/>
      <c r="GD3" s="110"/>
      <c r="GE3" s="110"/>
      <c r="GF3" s="110"/>
      <c r="GG3" s="110"/>
      <c r="GH3" s="110"/>
      <c r="GI3" s="110"/>
      <c r="GJ3" s="110"/>
      <c r="GK3" s="110"/>
      <c r="GL3" s="110"/>
      <c r="GM3" s="110"/>
      <c r="GN3" s="110"/>
      <c r="GO3" s="110"/>
      <c r="GP3" s="110"/>
      <c r="GQ3" s="110"/>
      <c r="GR3" s="110"/>
      <c r="GS3" s="110"/>
      <c r="GT3" s="110"/>
      <c r="GU3" s="110"/>
      <c r="GV3" s="110"/>
      <c r="GW3" s="110"/>
      <c r="GX3" s="110"/>
      <c r="GY3" s="110"/>
      <c r="GZ3" s="110"/>
      <c r="HA3" s="110"/>
      <c r="HB3" s="110"/>
      <c r="HC3" s="110"/>
      <c r="HD3" s="110"/>
      <c r="HE3" s="110"/>
      <c r="HF3" s="110"/>
      <c r="HG3" s="110"/>
      <c r="HH3" s="110"/>
      <c r="HI3" s="110"/>
      <c r="HJ3" s="110"/>
      <c r="HK3" s="110"/>
      <c r="HL3" s="110"/>
      <c r="HM3" s="110"/>
      <c r="HN3" s="110"/>
      <c r="HO3" s="110"/>
      <c r="HP3" s="110"/>
      <c r="HQ3" s="110"/>
      <c r="HR3" s="110"/>
      <c r="HS3" s="110"/>
      <c r="HT3" s="110"/>
      <c r="HU3" s="110"/>
      <c r="HV3" s="110"/>
      <c r="HW3" s="110"/>
      <c r="HX3" s="110"/>
      <c r="HY3" s="110"/>
      <c r="HZ3" s="110"/>
      <c r="IA3" s="110"/>
      <c r="IB3" s="110"/>
      <c r="IC3" s="110"/>
      <c r="ID3" s="110"/>
      <c r="IE3" s="110"/>
      <c r="IF3" s="110"/>
      <c r="IG3" s="110"/>
      <c r="IH3" s="110"/>
      <c r="II3" s="110"/>
      <c r="IJ3" s="110"/>
      <c r="IK3" s="110"/>
      <c r="IL3" s="110"/>
      <c r="IM3" s="110"/>
      <c r="IN3" s="110"/>
      <c r="IO3" s="110"/>
      <c r="IP3" s="110"/>
      <c r="IQ3" s="110"/>
      <c r="IR3" s="110"/>
      <c r="IS3" s="110"/>
      <c r="IT3" s="110"/>
      <c r="IU3" s="110"/>
      <c r="IV3" s="110"/>
      <c r="IW3" s="110"/>
    </row>
    <row r="4" spans="1:257" ht="16.2" x14ac:dyDescent="0.35">
      <c r="A4" s="162"/>
      <c r="B4" s="163"/>
      <c r="C4" s="163"/>
      <c r="D4" s="163"/>
      <c r="E4" s="163"/>
      <c r="F4" s="163"/>
      <c r="G4" s="163"/>
      <c r="H4" s="163"/>
      <c r="I4" s="163"/>
      <c r="J4" s="163"/>
      <c r="K4" s="163"/>
      <c r="L4" s="163"/>
      <c r="M4" s="163"/>
      <c r="N4" s="162"/>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c r="CY4" s="110"/>
      <c r="CZ4" s="110"/>
      <c r="DA4" s="110"/>
      <c r="DB4" s="110"/>
      <c r="DC4" s="110"/>
      <c r="DD4" s="110"/>
      <c r="DE4" s="110"/>
      <c r="DF4" s="110"/>
      <c r="DG4" s="110"/>
      <c r="DH4" s="110"/>
      <c r="DI4" s="110"/>
      <c r="DJ4" s="110"/>
      <c r="DK4" s="110"/>
      <c r="DL4" s="110"/>
      <c r="DM4" s="110"/>
      <c r="DN4" s="110"/>
      <c r="DO4" s="110"/>
      <c r="DP4" s="110"/>
      <c r="DQ4" s="110"/>
      <c r="DR4" s="110"/>
      <c r="DS4" s="110"/>
      <c r="DT4" s="110"/>
      <c r="DU4" s="110"/>
      <c r="DV4" s="110"/>
      <c r="DW4" s="110"/>
      <c r="DX4" s="110"/>
      <c r="DY4" s="110"/>
      <c r="DZ4" s="110"/>
      <c r="EA4" s="110"/>
      <c r="EB4" s="110"/>
      <c r="EC4" s="110"/>
      <c r="ED4" s="110"/>
      <c r="EE4" s="110"/>
      <c r="EF4" s="110"/>
      <c r="EG4" s="110"/>
      <c r="EH4" s="110"/>
      <c r="EI4" s="110"/>
      <c r="EJ4" s="110"/>
      <c r="EK4" s="110"/>
      <c r="EL4" s="110"/>
      <c r="EM4" s="110"/>
      <c r="EN4" s="110"/>
      <c r="EO4" s="110"/>
      <c r="EP4" s="110"/>
      <c r="EQ4" s="110"/>
      <c r="ER4" s="110"/>
      <c r="ES4" s="110"/>
      <c r="ET4" s="110"/>
      <c r="EU4" s="110"/>
      <c r="EV4" s="110"/>
      <c r="EW4" s="110"/>
      <c r="EX4" s="110"/>
      <c r="EY4" s="110"/>
      <c r="EZ4" s="110"/>
      <c r="FA4" s="110"/>
      <c r="FB4" s="110"/>
      <c r="FC4" s="110"/>
      <c r="FD4" s="110"/>
      <c r="FE4" s="110"/>
      <c r="FF4" s="110"/>
      <c r="FG4" s="110"/>
      <c r="FH4" s="110"/>
      <c r="FI4" s="110"/>
      <c r="FJ4" s="110"/>
      <c r="FK4" s="110"/>
      <c r="FL4" s="110"/>
      <c r="FM4" s="110"/>
      <c r="FN4" s="110"/>
      <c r="FO4" s="110"/>
      <c r="FP4" s="110"/>
      <c r="FQ4" s="110"/>
      <c r="FR4" s="110"/>
      <c r="FS4" s="110"/>
      <c r="FT4" s="110"/>
      <c r="FU4" s="110"/>
      <c r="FV4" s="110"/>
      <c r="FW4" s="110"/>
      <c r="FX4" s="110"/>
      <c r="FY4" s="110"/>
      <c r="FZ4" s="110"/>
      <c r="GA4" s="110"/>
      <c r="GB4" s="110"/>
      <c r="GC4" s="110"/>
      <c r="GD4" s="110"/>
      <c r="GE4" s="110"/>
      <c r="GF4" s="110"/>
      <c r="GG4" s="110"/>
      <c r="GH4" s="110"/>
      <c r="GI4" s="110"/>
      <c r="GJ4" s="110"/>
      <c r="GK4" s="110"/>
      <c r="GL4" s="110"/>
      <c r="GM4" s="110"/>
      <c r="GN4" s="110"/>
      <c r="GO4" s="110"/>
      <c r="GP4" s="110"/>
      <c r="GQ4" s="110"/>
      <c r="GR4" s="110"/>
      <c r="GS4" s="110"/>
      <c r="GT4" s="110"/>
      <c r="GU4" s="110"/>
      <c r="GV4" s="110"/>
      <c r="GW4" s="110"/>
      <c r="GX4" s="110"/>
      <c r="GY4" s="110"/>
      <c r="GZ4" s="110"/>
      <c r="HA4" s="110"/>
      <c r="HB4" s="110"/>
      <c r="HC4" s="110"/>
      <c r="HD4" s="110"/>
      <c r="HE4" s="110"/>
      <c r="HF4" s="110"/>
      <c r="HG4" s="110"/>
      <c r="HH4" s="110"/>
      <c r="HI4" s="110"/>
      <c r="HJ4" s="110"/>
      <c r="HK4" s="110"/>
      <c r="HL4" s="110"/>
      <c r="HM4" s="110"/>
      <c r="HN4" s="110"/>
      <c r="HO4" s="110"/>
      <c r="HP4" s="110"/>
      <c r="HQ4" s="110"/>
      <c r="HR4" s="110"/>
      <c r="HS4" s="110"/>
      <c r="HT4" s="110"/>
      <c r="HU4" s="110"/>
      <c r="HV4" s="110"/>
      <c r="HW4" s="110"/>
      <c r="HX4" s="110"/>
      <c r="HY4" s="110"/>
      <c r="HZ4" s="110"/>
      <c r="IA4" s="110"/>
      <c r="IB4" s="110"/>
      <c r="IC4" s="110"/>
      <c r="ID4" s="110"/>
      <c r="IE4" s="110"/>
      <c r="IF4" s="110"/>
      <c r="IG4" s="110"/>
      <c r="IH4" s="110"/>
      <c r="II4" s="110"/>
      <c r="IJ4" s="110"/>
      <c r="IK4" s="110"/>
      <c r="IL4" s="110"/>
      <c r="IM4" s="110"/>
      <c r="IN4" s="110"/>
      <c r="IO4" s="110"/>
      <c r="IP4" s="110"/>
      <c r="IQ4" s="110"/>
      <c r="IR4" s="110"/>
      <c r="IS4" s="110"/>
      <c r="IT4" s="110"/>
      <c r="IU4" s="110"/>
      <c r="IV4" s="110"/>
      <c r="IW4" s="110"/>
    </row>
    <row r="5" spans="1:257" ht="15" thickBot="1" x14ac:dyDescent="0.35">
      <c r="A5" s="156"/>
      <c r="B5" s="164" t="s">
        <v>779</v>
      </c>
      <c r="C5" s="165" t="s">
        <v>780</v>
      </c>
      <c r="D5" s="166" t="s">
        <v>781</v>
      </c>
      <c r="E5" s="167" t="s">
        <v>782</v>
      </c>
      <c r="F5" s="156"/>
      <c r="G5" s="156"/>
      <c r="H5" s="156"/>
      <c r="I5" s="164" t="s">
        <v>779</v>
      </c>
      <c r="J5" s="165" t="s">
        <v>780</v>
      </c>
      <c r="K5" s="166" t="s">
        <v>781</v>
      </c>
      <c r="L5" s="167" t="s">
        <v>782</v>
      </c>
      <c r="M5" s="156"/>
      <c r="N5" s="156"/>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c r="BY5" s="110"/>
      <c r="BZ5" s="110"/>
      <c r="CA5" s="110"/>
      <c r="CB5" s="110"/>
      <c r="CC5" s="110"/>
      <c r="CD5" s="110"/>
      <c r="CE5" s="110"/>
      <c r="CF5" s="110"/>
      <c r="CG5" s="110"/>
      <c r="CH5" s="110"/>
      <c r="CI5" s="110"/>
      <c r="CJ5" s="110"/>
      <c r="CK5" s="110"/>
      <c r="CL5" s="110"/>
      <c r="CM5" s="110"/>
      <c r="CN5" s="110"/>
      <c r="CO5" s="110"/>
      <c r="CP5" s="110"/>
      <c r="CQ5" s="110"/>
      <c r="CR5" s="110"/>
      <c r="CS5" s="110"/>
      <c r="CT5" s="110"/>
      <c r="CU5" s="110"/>
      <c r="CV5" s="110"/>
      <c r="CW5" s="110"/>
      <c r="CX5" s="110"/>
      <c r="CY5" s="110"/>
      <c r="CZ5" s="110"/>
      <c r="DA5" s="110"/>
      <c r="DB5" s="110"/>
      <c r="DC5" s="110"/>
      <c r="DD5" s="110"/>
      <c r="DE5" s="110"/>
      <c r="DF5" s="110"/>
      <c r="DG5" s="110"/>
      <c r="DH5" s="110"/>
      <c r="DI5" s="110"/>
      <c r="DJ5" s="110"/>
      <c r="DK5" s="110"/>
      <c r="DL5" s="110"/>
      <c r="DM5" s="110"/>
      <c r="DN5" s="110"/>
      <c r="DO5" s="110"/>
      <c r="DP5" s="110"/>
      <c r="DQ5" s="110"/>
      <c r="DR5" s="110"/>
      <c r="DS5" s="110"/>
      <c r="DT5" s="110"/>
      <c r="DU5" s="110"/>
      <c r="DV5" s="110"/>
      <c r="DW5" s="110"/>
      <c r="DX5" s="110"/>
      <c r="DY5" s="110"/>
      <c r="DZ5" s="110"/>
      <c r="EA5" s="110"/>
      <c r="EB5" s="110"/>
      <c r="EC5" s="110"/>
      <c r="ED5" s="110"/>
      <c r="EE5" s="110"/>
      <c r="EF5" s="110"/>
      <c r="EG5" s="110"/>
      <c r="EH5" s="110"/>
      <c r="EI5" s="110"/>
      <c r="EJ5" s="110"/>
      <c r="EK5" s="110"/>
      <c r="EL5" s="110"/>
      <c r="EM5" s="110"/>
      <c r="EN5" s="110"/>
      <c r="EO5" s="110"/>
      <c r="EP5" s="110"/>
      <c r="EQ5" s="110"/>
      <c r="ER5" s="110"/>
      <c r="ES5" s="110"/>
      <c r="ET5" s="110"/>
      <c r="EU5" s="110"/>
      <c r="EV5" s="110"/>
      <c r="EW5" s="110"/>
      <c r="EX5" s="110"/>
      <c r="EY5" s="110"/>
      <c r="EZ5" s="110"/>
      <c r="FA5" s="110"/>
      <c r="FB5" s="110"/>
      <c r="FC5" s="110"/>
      <c r="FD5" s="110"/>
      <c r="FE5" s="110"/>
      <c r="FF5" s="110"/>
      <c r="FG5" s="110"/>
      <c r="FH5" s="110"/>
      <c r="FI5" s="110"/>
      <c r="FJ5" s="110"/>
      <c r="FK5" s="110"/>
      <c r="FL5" s="110"/>
      <c r="FM5" s="110"/>
      <c r="FN5" s="110"/>
      <c r="FO5" s="110"/>
      <c r="FP5" s="110"/>
      <c r="FQ5" s="110"/>
      <c r="FR5" s="110"/>
      <c r="FS5" s="110"/>
      <c r="FT5" s="110"/>
      <c r="FU5" s="110"/>
      <c r="FV5" s="110"/>
      <c r="FW5" s="110"/>
      <c r="FX5" s="110"/>
      <c r="FY5" s="110"/>
      <c r="FZ5" s="110"/>
      <c r="GA5" s="110"/>
      <c r="GB5" s="110"/>
      <c r="GC5" s="110"/>
      <c r="GD5" s="110"/>
      <c r="GE5" s="110"/>
      <c r="GF5" s="110"/>
      <c r="GG5" s="110"/>
      <c r="GH5" s="110"/>
      <c r="GI5" s="110"/>
      <c r="GJ5" s="110"/>
      <c r="GK5" s="110"/>
      <c r="GL5" s="110"/>
      <c r="GM5" s="110"/>
      <c r="GN5" s="110"/>
      <c r="GO5" s="110"/>
      <c r="GP5" s="110"/>
      <c r="GQ5" s="110"/>
      <c r="GR5" s="110"/>
      <c r="GS5" s="110"/>
      <c r="GT5" s="110"/>
      <c r="GU5" s="110"/>
      <c r="GV5" s="110"/>
      <c r="GW5" s="110"/>
      <c r="GX5" s="110"/>
      <c r="GY5" s="110"/>
      <c r="GZ5" s="110"/>
      <c r="HA5" s="110"/>
      <c r="HB5" s="110"/>
      <c r="HC5" s="110"/>
      <c r="HD5" s="110"/>
      <c r="HE5" s="110"/>
      <c r="HF5" s="110"/>
      <c r="HG5" s="110"/>
      <c r="HH5" s="110"/>
      <c r="HI5" s="110"/>
      <c r="HJ5" s="110"/>
      <c r="HK5" s="110"/>
      <c r="HL5" s="110"/>
      <c r="HM5" s="110"/>
      <c r="HN5" s="110"/>
      <c r="HO5" s="110"/>
      <c r="HP5" s="110"/>
      <c r="HQ5" s="110"/>
      <c r="HR5" s="110"/>
      <c r="HS5" s="110"/>
      <c r="HT5" s="110"/>
      <c r="HU5" s="110"/>
      <c r="HV5" s="110"/>
      <c r="HW5" s="110"/>
      <c r="HX5" s="110"/>
      <c r="HY5" s="110"/>
      <c r="HZ5" s="110"/>
      <c r="IA5" s="110"/>
      <c r="IB5" s="110"/>
      <c r="IC5" s="110"/>
      <c r="ID5" s="110"/>
      <c r="IE5" s="110"/>
      <c r="IF5" s="110"/>
      <c r="IG5" s="110"/>
      <c r="IH5" s="110"/>
      <c r="II5" s="110"/>
      <c r="IJ5" s="110"/>
      <c r="IK5" s="110"/>
      <c r="IL5" s="110"/>
      <c r="IM5" s="110"/>
      <c r="IN5" s="110"/>
      <c r="IO5" s="110"/>
      <c r="IP5" s="110"/>
      <c r="IQ5" s="110"/>
      <c r="IR5" s="110"/>
      <c r="IS5" s="110"/>
      <c r="IT5" s="110"/>
      <c r="IU5" s="110"/>
      <c r="IV5" s="110"/>
      <c r="IW5" s="110"/>
    </row>
    <row r="6" spans="1:257" ht="15" thickBot="1" x14ac:dyDescent="0.35">
      <c r="A6" s="156"/>
      <c r="B6" s="115" t="str">
        <f>'Parameter Values'!B160</f>
        <v>c_grant</v>
      </c>
      <c r="C6" s="168">
        <f>'Parameter Values'!G160</f>
        <v>37308.418841398539</v>
      </c>
      <c r="D6" s="169">
        <f>'Parameter Values'!H160</f>
        <v>35008.418841398496</v>
      </c>
      <c r="E6" s="170">
        <f>ABS(D6-C6)</f>
        <v>2300.0000000000437</v>
      </c>
      <c r="F6" s="156"/>
      <c r="G6" s="156"/>
      <c r="H6" s="156"/>
      <c r="I6" s="171" t="s">
        <v>752</v>
      </c>
      <c r="J6" s="168">
        <v>16995.816652566558</v>
      </c>
      <c r="K6" s="173">
        <v>46424.876998493404</v>
      </c>
      <c r="L6" s="170">
        <v>29429.060345926846</v>
      </c>
      <c r="M6" s="156"/>
      <c r="N6" s="156"/>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110"/>
      <c r="CV6" s="110"/>
      <c r="CW6" s="110"/>
      <c r="CX6" s="110"/>
      <c r="CY6" s="110"/>
      <c r="CZ6" s="110"/>
      <c r="DA6" s="110"/>
      <c r="DB6" s="110"/>
      <c r="DC6" s="110"/>
      <c r="DD6" s="110"/>
      <c r="DE6" s="110"/>
      <c r="DF6" s="110"/>
      <c r="DG6" s="110"/>
      <c r="DH6" s="110"/>
      <c r="DI6" s="110"/>
      <c r="DJ6" s="110"/>
      <c r="DK6" s="110"/>
      <c r="DL6" s="110"/>
      <c r="DM6" s="110"/>
      <c r="DN6" s="110"/>
      <c r="DO6" s="110"/>
      <c r="DP6" s="110"/>
      <c r="DQ6" s="110"/>
      <c r="DR6" s="110"/>
      <c r="DS6" s="110"/>
      <c r="DT6" s="110"/>
      <c r="DU6" s="110"/>
      <c r="DV6" s="110"/>
      <c r="DW6" s="110"/>
      <c r="DX6" s="110"/>
      <c r="DY6" s="110"/>
      <c r="DZ6" s="110"/>
      <c r="EA6" s="110"/>
      <c r="EB6" s="110"/>
      <c r="EC6" s="110"/>
      <c r="ED6" s="110"/>
      <c r="EE6" s="110"/>
      <c r="EF6" s="110"/>
      <c r="EG6" s="110"/>
      <c r="EH6" s="110"/>
      <c r="EI6" s="110"/>
      <c r="EJ6" s="110"/>
      <c r="EK6" s="110"/>
      <c r="EL6" s="110"/>
      <c r="EM6" s="110"/>
      <c r="EN6" s="110"/>
      <c r="EO6" s="110"/>
      <c r="EP6" s="110"/>
      <c r="EQ6" s="110"/>
      <c r="ER6" s="110"/>
      <c r="ES6" s="110"/>
      <c r="ET6" s="110"/>
      <c r="EU6" s="110"/>
      <c r="EV6" s="110"/>
      <c r="EW6" s="110"/>
      <c r="EX6" s="110"/>
      <c r="EY6" s="110"/>
      <c r="EZ6" s="110"/>
      <c r="FA6" s="110"/>
      <c r="FB6" s="110"/>
      <c r="FC6" s="110"/>
      <c r="FD6" s="110"/>
      <c r="FE6" s="110"/>
      <c r="FF6" s="110"/>
      <c r="FG6" s="110"/>
      <c r="FH6" s="110"/>
      <c r="FI6" s="110"/>
      <c r="FJ6" s="110"/>
      <c r="FK6" s="110"/>
      <c r="FL6" s="110"/>
      <c r="FM6" s="110"/>
      <c r="FN6" s="110"/>
      <c r="FO6" s="110"/>
      <c r="FP6" s="110"/>
      <c r="FQ6" s="110"/>
      <c r="FR6" s="110"/>
      <c r="FS6" s="110"/>
      <c r="FT6" s="110"/>
      <c r="FU6" s="110"/>
      <c r="FV6" s="110"/>
      <c r="FW6" s="110"/>
      <c r="FX6" s="110"/>
      <c r="FY6" s="110"/>
      <c r="FZ6" s="110"/>
      <c r="GA6" s="110"/>
      <c r="GB6" s="110"/>
      <c r="GC6" s="110"/>
      <c r="GD6" s="110"/>
      <c r="GE6" s="110"/>
      <c r="GF6" s="110"/>
      <c r="GG6" s="110"/>
      <c r="GH6" s="110"/>
      <c r="GI6" s="110"/>
      <c r="GJ6" s="110"/>
      <c r="GK6" s="110"/>
      <c r="GL6" s="110"/>
      <c r="GM6" s="110"/>
      <c r="GN6" s="110"/>
      <c r="GO6" s="110"/>
      <c r="GP6" s="110"/>
      <c r="GQ6" s="110"/>
      <c r="GR6" s="110"/>
      <c r="GS6" s="110"/>
      <c r="GT6" s="110"/>
      <c r="GU6" s="110"/>
      <c r="GV6" s="110"/>
      <c r="GW6" s="110"/>
      <c r="GX6" s="110"/>
      <c r="GY6" s="110"/>
      <c r="GZ6" s="110"/>
      <c r="HA6" s="110"/>
      <c r="HB6" s="110"/>
      <c r="HC6" s="110"/>
      <c r="HD6" s="110"/>
      <c r="HE6" s="110"/>
      <c r="HF6" s="110"/>
      <c r="HG6" s="110"/>
      <c r="HH6" s="110"/>
      <c r="HI6" s="110"/>
      <c r="HJ6" s="110"/>
      <c r="HK6" s="110"/>
      <c r="HL6" s="110"/>
      <c r="HM6" s="110"/>
      <c r="HN6" s="110"/>
      <c r="HO6" s="110"/>
      <c r="HP6" s="110"/>
      <c r="HQ6" s="110"/>
      <c r="HR6" s="110"/>
      <c r="HS6" s="110"/>
      <c r="HT6" s="110"/>
      <c r="HU6" s="110"/>
      <c r="HV6" s="110"/>
      <c r="HW6" s="110"/>
      <c r="HX6" s="110"/>
      <c r="HY6" s="110"/>
      <c r="HZ6" s="110"/>
      <c r="IA6" s="110"/>
      <c r="IB6" s="110"/>
      <c r="IC6" s="110"/>
      <c r="ID6" s="110"/>
      <c r="IE6" s="110"/>
      <c r="IF6" s="110"/>
      <c r="IG6" s="110"/>
      <c r="IH6" s="110"/>
      <c r="II6" s="110"/>
      <c r="IJ6" s="110"/>
      <c r="IK6" s="110"/>
      <c r="IL6" s="110"/>
      <c r="IM6" s="110"/>
      <c r="IN6" s="110"/>
      <c r="IO6" s="110"/>
      <c r="IP6" s="110"/>
      <c r="IQ6" s="110"/>
      <c r="IR6" s="110"/>
      <c r="IS6" s="110"/>
      <c r="IT6" s="110"/>
      <c r="IU6" s="110"/>
      <c r="IV6" s="110"/>
      <c r="IW6" s="110"/>
    </row>
    <row r="7" spans="1:257" ht="15" thickBot="1" x14ac:dyDescent="0.35">
      <c r="A7" s="156"/>
      <c r="B7" s="115" t="str">
        <f>'Parameter Values'!B161</f>
        <v xml:space="preserve">e_ANC </v>
      </c>
      <c r="C7" s="168">
        <f>'Parameter Values'!G161</f>
        <v>34947.044438266355</v>
      </c>
      <c r="D7" s="169">
        <f>'Parameter Values'!H161</f>
        <v>37369.793244530723</v>
      </c>
      <c r="E7" s="170">
        <f t="shared" ref="E7:E45" si="0">ABS(D7-C7)</f>
        <v>2422.7488062643679</v>
      </c>
      <c r="F7" s="156"/>
      <c r="G7" s="156"/>
      <c r="H7" s="156"/>
      <c r="I7" s="171" t="s">
        <v>281</v>
      </c>
      <c r="J7" s="168">
        <v>11849.105662499926</v>
      </c>
      <c r="K7" s="173">
        <v>35824.341027711096</v>
      </c>
      <c r="L7" s="170">
        <v>23975.235365211171</v>
      </c>
      <c r="M7" s="156"/>
      <c r="N7" s="156"/>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c r="DU7" s="110"/>
      <c r="DV7" s="110"/>
      <c r="DW7" s="110"/>
      <c r="DX7" s="110"/>
      <c r="DY7" s="110"/>
      <c r="DZ7" s="110"/>
      <c r="EA7" s="110"/>
      <c r="EB7" s="110"/>
      <c r="EC7" s="110"/>
      <c r="ED7" s="110"/>
      <c r="EE7" s="110"/>
      <c r="EF7" s="110"/>
      <c r="EG7" s="110"/>
      <c r="EH7" s="110"/>
      <c r="EI7" s="110"/>
      <c r="EJ7" s="110"/>
      <c r="EK7" s="110"/>
      <c r="EL7" s="110"/>
      <c r="EM7" s="110"/>
      <c r="EN7" s="110"/>
      <c r="EO7" s="110"/>
      <c r="EP7" s="110"/>
      <c r="EQ7" s="110"/>
      <c r="ER7" s="110"/>
      <c r="ES7" s="110"/>
      <c r="ET7" s="110"/>
      <c r="EU7" s="110"/>
      <c r="EV7" s="110"/>
      <c r="EW7" s="110"/>
      <c r="EX7" s="110"/>
      <c r="EY7" s="110"/>
      <c r="EZ7" s="110"/>
      <c r="FA7" s="110"/>
      <c r="FB7" s="110"/>
      <c r="FC7" s="110"/>
      <c r="FD7" s="110"/>
      <c r="FE7" s="110"/>
      <c r="FF7" s="110"/>
      <c r="FG7" s="110"/>
      <c r="FH7" s="110"/>
      <c r="FI7" s="110"/>
      <c r="FJ7" s="110"/>
      <c r="FK7" s="110"/>
      <c r="FL7" s="110"/>
      <c r="FM7" s="110"/>
      <c r="FN7" s="110"/>
      <c r="FO7" s="110"/>
      <c r="FP7" s="110"/>
      <c r="FQ7" s="110"/>
      <c r="FR7" s="110"/>
      <c r="FS7" s="110"/>
      <c r="FT7" s="110"/>
      <c r="FU7" s="110"/>
      <c r="FV7" s="110"/>
      <c r="FW7" s="110"/>
      <c r="FX7" s="110"/>
      <c r="FY7" s="110"/>
      <c r="FZ7" s="110"/>
      <c r="GA7" s="110"/>
      <c r="GB7" s="110"/>
      <c r="GC7" s="110"/>
      <c r="GD7" s="110"/>
      <c r="GE7" s="110"/>
      <c r="GF7" s="110"/>
      <c r="GG7" s="110"/>
      <c r="GH7" s="110"/>
      <c r="GI7" s="110"/>
      <c r="GJ7" s="110"/>
      <c r="GK7" s="110"/>
      <c r="GL7" s="110"/>
      <c r="GM7" s="110"/>
      <c r="GN7" s="110"/>
      <c r="GO7" s="110"/>
      <c r="GP7" s="110"/>
      <c r="GQ7" s="110"/>
      <c r="GR7" s="110"/>
      <c r="GS7" s="110"/>
      <c r="GT7" s="110"/>
      <c r="GU7" s="110"/>
      <c r="GV7" s="110"/>
      <c r="GW7" s="110"/>
      <c r="GX7" s="110"/>
      <c r="GY7" s="110"/>
      <c r="GZ7" s="110"/>
      <c r="HA7" s="110"/>
      <c r="HB7" s="110"/>
      <c r="HC7" s="110"/>
      <c r="HD7" s="110"/>
      <c r="HE7" s="110"/>
      <c r="HF7" s="110"/>
      <c r="HG7" s="110"/>
      <c r="HH7" s="110"/>
      <c r="HI7" s="110"/>
      <c r="HJ7" s="110"/>
      <c r="HK7" s="110"/>
      <c r="HL7" s="110"/>
      <c r="HM7" s="110"/>
      <c r="HN7" s="110"/>
      <c r="HO7" s="110"/>
      <c r="HP7" s="110"/>
      <c r="HQ7" s="110"/>
      <c r="HR7" s="110"/>
      <c r="HS7" s="110"/>
      <c r="HT7" s="110"/>
      <c r="HU7" s="110"/>
      <c r="HV7" s="110"/>
      <c r="HW7" s="110"/>
      <c r="HX7" s="110"/>
      <c r="HY7" s="110"/>
      <c r="HZ7" s="110"/>
      <c r="IA7" s="110"/>
      <c r="IB7" s="110"/>
      <c r="IC7" s="110"/>
      <c r="ID7" s="110"/>
      <c r="IE7" s="110"/>
      <c r="IF7" s="110"/>
      <c r="IG7" s="110"/>
      <c r="IH7" s="110"/>
      <c r="II7" s="110"/>
      <c r="IJ7" s="110"/>
      <c r="IK7" s="110"/>
      <c r="IL7" s="110"/>
      <c r="IM7" s="110"/>
      <c r="IN7" s="110"/>
      <c r="IO7" s="110"/>
      <c r="IP7" s="110"/>
      <c r="IQ7" s="110"/>
      <c r="IR7" s="110"/>
      <c r="IS7" s="110"/>
      <c r="IT7" s="110"/>
      <c r="IU7" s="110"/>
      <c r="IV7" s="110"/>
      <c r="IW7" s="110"/>
    </row>
    <row r="8" spans="1:257" ht="15" thickBot="1" x14ac:dyDescent="0.35">
      <c r="A8" s="156"/>
      <c r="B8" s="115" t="str">
        <f>'Parameter Values'!B162</f>
        <v>e_preterm</v>
      </c>
      <c r="C8" s="168">
        <f>'Parameter Values'!G162</f>
        <v>37436.485734884453</v>
      </c>
      <c r="D8" s="169">
        <f>'Parameter Values'!H162</f>
        <v>34789.061455520845</v>
      </c>
      <c r="E8" s="170">
        <f t="shared" si="0"/>
        <v>2647.4242793636076</v>
      </c>
      <c r="F8" s="156"/>
      <c r="G8" s="156"/>
      <c r="H8" s="156"/>
      <c r="I8" s="171" t="s">
        <v>315</v>
      </c>
      <c r="J8" s="168">
        <v>40291.468877909021</v>
      </c>
      <c r="K8" s="173">
        <v>21116.373284915186</v>
      </c>
      <c r="L8" s="170">
        <v>19175.095592993835</v>
      </c>
      <c r="M8" s="156"/>
      <c r="N8" s="156"/>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c r="BY8" s="110"/>
      <c r="BZ8" s="110"/>
      <c r="CA8" s="110"/>
      <c r="CB8" s="110"/>
      <c r="CC8" s="110"/>
      <c r="CD8" s="110"/>
      <c r="CE8" s="110"/>
      <c r="CF8" s="110"/>
      <c r="CG8" s="110"/>
      <c r="CH8" s="110"/>
      <c r="CI8" s="110"/>
      <c r="CJ8" s="110"/>
      <c r="CK8" s="110"/>
      <c r="CL8" s="110"/>
      <c r="CM8" s="110"/>
      <c r="CN8" s="110"/>
      <c r="CO8" s="110"/>
      <c r="CP8" s="110"/>
      <c r="CQ8" s="110"/>
      <c r="CR8" s="110"/>
      <c r="CS8" s="110"/>
      <c r="CT8" s="110"/>
      <c r="CU8" s="110"/>
      <c r="CV8" s="110"/>
      <c r="CW8" s="110"/>
      <c r="CX8" s="110"/>
      <c r="CY8" s="110"/>
      <c r="CZ8" s="110"/>
      <c r="DA8" s="110"/>
      <c r="DB8" s="110"/>
      <c r="DC8" s="110"/>
      <c r="DD8" s="110"/>
      <c r="DE8" s="110"/>
      <c r="DF8" s="110"/>
      <c r="DG8" s="110"/>
      <c r="DH8" s="110"/>
      <c r="DI8" s="110"/>
      <c r="DJ8" s="110"/>
      <c r="DK8" s="110"/>
      <c r="DL8" s="110"/>
      <c r="DM8" s="110"/>
      <c r="DN8" s="110"/>
      <c r="DO8" s="110"/>
      <c r="DP8" s="110"/>
      <c r="DQ8" s="110"/>
      <c r="DR8" s="110"/>
      <c r="DS8" s="110"/>
      <c r="DT8" s="110"/>
      <c r="DU8" s="110"/>
      <c r="DV8" s="110"/>
      <c r="DW8" s="110"/>
      <c r="DX8" s="110"/>
      <c r="DY8" s="110"/>
      <c r="DZ8" s="110"/>
      <c r="EA8" s="110"/>
      <c r="EB8" s="110"/>
      <c r="EC8" s="110"/>
      <c r="ED8" s="110"/>
      <c r="EE8" s="110"/>
      <c r="EF8" s="110"/>
      <c r="EG8" s="110"/>
      <c r="EH8" s="110"/>
      <c r="EI8" s="110"/>
      <c r="EJ8" s="110"/>
      <c r="EK8" s="110"/>
      <c r="EL8" s="110"/>
      <c r="EM8" s="110"/>
      <c r="EN8" s="110"/>
      <c r="EO8" s="110"/>
      <c r="EP8" s="110"/>
      <c r="EQ8" s="110"/>
      <c r="ER8" s="110"/>
      <c r="ES8" s="110"/>
      <c r="ET8" s="110"/>
      <c r="EU8" s="110"/>
      <c r="EV8" s="110"/>
      <c r="EW8" s="110"/>
      <c r="EX8" s="110"/>
      <c r="EY8" s="110"/>
      <c r="EZ8" s="110"/>
      <c r="FA8" s="110"/>
      <c r="FB8" s="110"/>
      <c r="FC8" s="110"/>
      <c r="FD8" s="110"/>
      <c r="FE8" s="110"/>
      <c r="FF8" s="110"/>
      <c r="FG8" s="110"/>
      <c r="FH8" s="110"/>
      <c r="FI8" s="110"/>
      <c r="FJ8" s="110"/>
      <c r="FK8" s="110"/>
      <c r="FL8" s="110"/>
      <c r="FM8" s="110"/>
      <c r="FN8" s="110"/>
      <c r="FO8" s="110"/>
      <c r="FP8" s="110"/>
      <c r="FQ8" s="110"/>
      <c r="FR8" s="110"/>
      <c r="FS8" s="110"/>
      <c r="FT8" s="110"/>
      <c r="FU8" s="110"/>
      <c r="FV8" s="110"/>
      <c r="FW8" s="110"/>
      <c r="FX8" s="110"/>
      <c r="FY8" s="110"/>
      <c r="FZ8" s="110"/>
      <c r="GA8" s="110"/>
      <c r="GB8" s="110"/>
      <c r="GC8" s="110"/>
      <c r="GD8" s="110"/>
      <c r="GE8" s="110"/>
      <c r="GF8" s="110"/>
      <c r="GG8" s="110"/>
      <c r="GH8" s="110"/>
      <c r="GI8" s="110"/>
      <c r="GJ8" s="110"/>
      <c r="GK8" s="110"/>
      <c r="GL8" s="110"/>
      <c r="GM8" s="110"/>
      <c r="GN8" s="110"/>
      <c r="GO8" s="110"/>
      <c r="GP8" s="110"/>
      <c r="GQ8" s="110"/>
      <c r="GR8" s="110"/>
      <c r="GS8" s="110"/>
      <c r="GT8" s="110"/>
      <c r="GU8" s="110"/>
      <c r="GV8" s="110"/>
      <c r="GW8" s="110"/>
      <c r="GX8" s="110"/>
      <c r="GY8" s="110"/>
      <c r="GZ8" s="110"/>
      <c r="HA8" s="110"/>
      <c r="HB8" s="110"/>
      <c r="HC8" s="110"/>
      <c r="HD8" s="110"/>
      <c r="HE8" s="110"/>
      <c r="HF8" s="110"/>
      <c r="HG8" s="110"/>
      <c r="HH8" s="110"/>
      <c r="HI8" s="110"/>
      <c r="HJ8" s="110"/>
      <c r="HK8" s="110"/>
      <c r="HL8" s="110"/>
      <c r="HM8" s="110"/>
      <c r="HN8" s="110"/>
      <c r="HO8" s="110"/>
      <c r="HP8" s="110"/>
      <c r="HQ8" s="110"/>
      <c r="HR8" s="110"/>
      <c r="HS8" s="110"/>
      <c r="HT8" s="110"/>
      <c r="HU8" s="110"/>
      <c r="HV8" s="110"/>
      <c r="HW8" s="110"/>
      <c r="HX8" s="110"/>
      <c r="HY8" s="110"/>
      <c r="HZ8" s="110"/>
      <c r="IA8" s="110"/>
      <c r="IB8" s="110"/>
      <c r="IC8" s="110"/>
      <c r="ID8" s="110"/>
      <c r="IE8" s="110"/>
      <c r="IF8" s="110"/>
      <c r="IG8" s="110"/>
      <c r="IH8" s="110"/>
      <c r="II8" s="110"/>
      <c r="IJ8" s="110"/>
      <c r="IK8" s="110"/>
      <c r="IL8" s="110"/>
      <c r="IM8" s="110"/>
      <c r="IN8" s="110"/>
      <c r="IO8" s="110"/>
      <c r="IP8" s="110"/>
      <c r="IQ8" s="110"/>
      <c r="IR8" s="110"/>
      <c r="IS8" s="110"/>
      <c r="IT8" s="110"/>
      <c r="IU8" s="110"/>
      <c r="IV8" s="110"/>
      <c r="IW8" s="110"/>
    </row>
    <row r="9" spans="1:257" ht="15" thickBot="1" x14ac:dyDescent="0.35">
      <c r="A9" s="156"/>
      <c r="B9" s="115" t="str">
        <f>'Parameter Values'!B163</f>
        <v>e_LBW</v>
      </c>
      <c r="C9" s="168">
        <f>'Parameter Values'!G163</f>
        <v>44197.086215098258</v>
      </c>
      <c r="D9" s="169">
        <f>'Parameter Values'!H163</f>
        <v>25105.251202561441</v>
      </c>
      <c r="E9" s="170">
        <f>ABS(D9-C9)</f>
        <v>19091.835012536816</v>
      </c>
      <c r="F9" s="156"/>
      <c r="G9" s="156"/>
      <c r="H9" s="156"/>
      <c r="I9" s="171" t="s">
        <v>755</v>
      </c>
      <c r="J9" s="168">
        <v>22866.51640708396</v>
      </c>
      <c r="K9" s="173">
        <v>41568.972428318346</v>
      </c>
      <c r="L9" s="170">
        <v>18702.456021234386</v>
      </c>
      <c r="M9" s="156"/>
      <c r="N9" s="156"/>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10"/>
      <c r="DS9" s="110"/>
      <c r="DT9" s="110"/>
      <c r="DU9" s="110"/>
      <c r="DV9" s="110"/>
      <c r="DW9" s="110"/>
      <c r="DX9" s="110"/>
      <c r="DY9" s="110"/>
      <c r="DZ9" s="110"/>
      <c r="EA9" s="110"/>
      <c r="EB9" s="110"/>
      <c r="EC9" s="110"/>
      <c r="ED9" s="110"/>
      <c r="EE9" s="110"/>
      <c r="EF9" s="110"/>
      <c r="EG9" s="110"/>
      <c r="EH9" s="110"/>
      <c r="EI9" s="110"/>
      <c r="EJ9" s="110"/>
      <c r="EK9" s="110"/>
      <c r="EL9" s="110"/>
      <c r="EM9" s="110"/>
      <c r="EN9" s="110"/>
      <c r="EO9" s="110"/>
      <c r="EP9" s="110"/>
      <c r="EQ9" s="110"/>
      <c r="ER9" s="110"/>
      <c r="ES9" s="110"/>
      <c r="ET9" s="110"/>
      <c r="EU9" s="110"/>
      <c r="EV9" s="110"/>
      <c r="EW9" s="110"/>
      <c r="EX9" s="110"/>
      <c r="EY9" s="110"/>
      <c r="EZ9" s="110"/>
      <c r="FA9" s="110"/>
      <c r="FB9" s="110"/>
      <c r="FC9" s="110"/>
      <c r="FD9" s="110"/>
      <c r="FE9" s="110"/>
      <c r="FF9" s="110"/>
      <c r="FG9" s="110"/>
      <c r="FH9" s="110"/>
      <c r="FI9" s="110"/>
      <c r="FJ9" s="110"/>
      <c r="FK9" s="110"/>
      <c r="FL9" s="110"/>
      <c r="FM9" s="110"/>
      <c r="FN9" s="110"/>
      <c r="FO9" s="110"/>
      <c r="FP9" s="110"/>
      <c r="FQ9" s="110"/>
      <c r="FR9" s="110"/>
      <c r="FS9" s="110"/>
      <c r="FT9" s="110"/>
      <c r="FU9" s="110"/>
      <c r="FV9" s="110"/>
      <c r="FW9" s="110"/>
      <c r="FX9" s="110"/>
      <c r="FY9" s="110"/>
      <c r="FZ9" s="110"/>
      <c r="GA9" s="110"/>
      <c r="GB9" s="110"/>
      <c r="GC9" s="110"/>
      <c r="GD9" s="110"/>
      <c r="GE9" s="110"/>
      <c r="GF9" s="110"/>
      <c r="GG9" s="110"/>
      <c r="GH9" s="110"/>
      <c r="GI9" s="110"/>
      <c r="GJ9" s="110"/>
      <c r="GK9" s="110"/>
      <c r="GL9" s="110"/>
      <c r="GM9" s="110"/>
      <c r="GN9" s="110"/>
      <c r="GO9" s="110"/>
      <c r="GP9" s="110"/>
      <c r="GQ9" s="110"/>
      <c r="GR9" s="110"/>
      <c r="GS9" s="110"/>
      <c r="GT9" s="110"/>
      <c r="GU9" s="110"/>
      <c r="GV9" s="110"/>
      <c r="GW9" s="110"/>
      <c r="GX9" s="110"/>
      <c r="GY9" s="110"/>
      <c r="GZ9" s="110"/>
      <c r="HA9" s="110"/>
      <c r="HB9" s="110"/>
      <c r="HC9" s="110"/>
      <c r="HD9" s="110"/>
      <c r="HE9" s="110"/>
      <c r="HF9" s="110"/>
      <c r="HG9" s="110"/>
      <c r="HH9" s="110"/>
      <c r="HI9" s="110"/>
      <c r="HJ9" s="110"/>
      <c r="HK9" s="110"/>
      <c r="HL9" s="110"/>
      <c r="HM9" s="110"/>
      <c r="HN9" s="110"/>
      <c r="HO9" s="110"/>
      <c r="HP9" s="110"/>
      <c r="HQ9" s="110"/>
      <c r="HR9" s="110"/>
      <c r="HS9" s="110"/>
      <c r="HT9" s="110"/>
      <c r="HU9" s="110"/>
      <c r="HV9" s="110"/>
      <c r="HW9" s="110"/>
      <c r="HX9" s="110"/>
      <c r="HY9" s="110"/>
      <c r="HZ9" s="110"/>
      <c r="IA9" s="110"/>
      <c r="IB9" s="110"/>
      <c r="IC9" s="110"/>
      <c r="ID9" s="110"/>
      <c r="IE9" s="110"/>
      <c r="IF9" s="110"/>
      <c r="IG9" s="110"/>
      <c r="IH9" s="110"/>
      <c r="II9" s="110"/>
      <c r="IJ9" s="110"/>
      <c r="IK9" s="110"/>
      <c r="IL9" s="110"/>
      <c r="IM9" s="110"/>
      <c r="IN9" s="110"/>
      <c r="IO9" s="110"/>
      <c r="IP9" s="110"/>
      <c r="IQ9" s="110"/>
      <c r="IR9" s="110"/>
      <c r="IS9" s="110"/>
      <c r="IT9" s="110"/>
      <c r="IU9" s="110"/>
      <c r="IV9" s="110"/>
      <c r="IW9" s="110"/>
    </row>
    <row r="10" spans="1:257" ht="15" thickBot="1" x14ac:dyDescent="0.35">
      <c r="A10" s="156"/>
      <c r="B10" s="115" t="str">
        <f>'Parameter Values'!B164</f>
        <v>e_SGA</v>
      </c>
      <c r="C10" s="168">
        <f>'Parameter Values'!G164</f>
        <v>36448.671011600178</v>
      </c>
      <c r="D10" s="169">
        <f>'Parameter Values'!H164</f>
        <v>35852.444678644439</v>
      </c>
      <c r="E10" s="170">
        <f>ABS(D10-C10)</f>
        <v>596.22633295573905</v>
      </c>
      <c r="F10" s="156"/>
      <c r="G10" s="156"/>
      <c r="H10" s="156"/>
      <c r="I10" s="171" t="s">
        <v>754</v>
      </c>
      <c r="J10" s="168">
        <v>25675.691641531521</v>
      </c>
      <c r="K10" s="173">
        <v>38323.660342125775</v>
      </c>
      <c r="L10" s="170">
        <v>12647.968700594254</v>
      </c>
      <c r="M10" s="156"/>
      <c r="N10" s="156"/>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110"/>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110"/>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110"/>
      <c r="IM10" s="110"/>
      <c r="IN10" s="110"/>
      <c r="IO10" s="110"/>
      <c r="IP10" s="110"/>
      <c r="IQ10" s="110"/>
      <c r="IR10" s="110"/>
      <c r="IS10" s="110"/>
      <c r="IT10" s="110"/>
      <c r="IU10" s="110"/>
      <c r="IV10" s="110"/>
      <c r="IW10" s="110"/>
    </row>
    <row r="11" spans="1:257" ht="15" thickBot="1" x14ac:dyDescent="0.35">
      <c r="A11" s="156"/>
      <c r="B11" s="115" t="str">
        <f>'Parameter Values'!B165</f>
        <v>e_mortality</v>
      </c>
      <c r="C11" s="168">
        <f>'Parameter Values'!G165</f>
        <v>35734.714229529643</v>
      </c>
      <c r="D11" s="169">
        <f>'Parameter Values'!H165</f>
        <v>36553.87647914284</v>
      </c>
      <c r="E11" s="170">
        <f t="shared" si="0"/>
        <v>819.16224961319676</v>
      </c>
      <c r="F11" s="156"/>
      <c r="G11" s="156"/>
      <c r="H11" s="156"/>
      <c r="I11" s="171" t="s">
        <v>753</v>
      </c>
      <c r="J11" s="168">
        <v>28791.791860003184</v>
      </c>
      <c r="K11" s="173">
        <v>35643.696975398969</v>
      </c>
      <c r="L11" s="170">
        <v>6851.9051153957844</v>
      </c>
      <c r="M11" s="156"/>
      <c r="N11" s="156"/>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10"/>
      <c r="DB11" s="110"/>
      <c r="DC11" s="110"/>
      <c r="DD11" s="110"/>
      <c r="DE11" s="110"/>
      <c r="DF11" s="110"/>
      <c r="DG11" s="110"/>
      <c r="DH11" s="110"/>
      <c r="DI11" s="110"/>
      <c r="DJ11" s="110"/>
      <c r="DK11" s="110"/>
      <c r="DL11" s="110"/>
      <c r="DM11" s="110"/>
      <c r="DN11" s="110"/>
      <c r="DO11" s="110"/>
      <c r="DP11" s="110"/>
      <c r="DQ11" s="110"/>
      <c r="DR11" s="110"/>
      <c r="DS11" s="110"/>
      <c r="DT11" s="110"/>
      <c r="DU11" s="110"/>
      <c r="DV11" s="110"/>
      <c r="DW11" s="110"/>
      <c r="DX11" s="110"/>
      <c r="DY11" s="110"/>
      <c r="DZ11" s="110"/>
      <c r="EA11" s="110"/>
      <c r="EB11" s="110"/>
      <c r="EC11" s="110"/>
      <c r="ED11" s="110"/>
      <c r="EE11" s="110"/>
      <c r="EF11" s="110"/>
      <c r="EG11" s="110"/>
      <c r="EH11" s="110"/>
      <c r="EI11" s="110"/>
      <c r="EJ11" s="110"/>
      <c r="EK11" s="110"/>
      <c r="EL11" s="110"/>
      <c r="EM11" s="110"/>
      <c r="EN11" s="110"/>
      <c r="EO11" s="110"/>
      <c r="EP11" s="110"/>
      <c r="EQ11" s="110"/>
      <c r="ER11" s="110"/>
      <c r="ES11" s="110"/>
      <c r="ET11" s="110"/>
      <c r="EU11" s="110"/>
      <c r="EV11" s="110"/>
      <c r="EW11" s="110"/>
      <c r="EX11" s="110"/>
      <c r="EY11" s="110"/>
      <c r="EZ11" s="110"/>
      <c r="FA11" s="110"/>
      <c r="FB11" s="110"/>
      <c r="FC11" s="110"/>
      <c r="FD11" s="110"/>
      <c r="FE11" s="110"/>
      <c r="FF11" s="110"/>
      <c r="FG11" s="110"/>
      <c r="FH11" s="110"/>
      <c r="FI11" s="110"/>
      <c r="FJ11" s="110"/>
      <c r="FK11" s="110"/>
      <c r="FL11" s="110"/>
      <c r="FM11" s="110"/>
      <c r="FN11" s="110"/>
      <c r="FO11" s="110"/>
      <c r="FP11" s="110"/>
      <c r="FQ11" s="110"/>
      <c r="FR11" s="110"/>
      <c r="FS11" s="110"/>
      <c r="FT11" s="110"/>
      <c r="FU11" s="110"/>
      <c r="FV11" s="110"/>
      <c r="FW11" s="110"/>
      <c r="FX11" s="110"/>
      <c r="FY11" s="110"/>
      <c r="FZ11" s="110"/>
      <c r="GA11" s="110"/>
      <c r="GB11" s="110"/>
      <c r="GC11" s="110"/>
      <c r="GD11" s="110"/>
      <c r="GE11" s="110"/>
      <c r="GF11" s="110"/>
      <c r="GG11" s="110"/>
      <c r="GH11" s="110"/>
      <c r="GI11" s="110"/>
      <c r="GJ11" s="110"/>
      <c r="GK11" s="110"/>
      <c r="GL11" s="110"/>
      <c r="GM11" s="110"/>
      <c r="GN11" s="110"/>
      <c r="GO11" s="110"/>
      <c r="GP11" s="110"/>
      <c r="GQ11" s="110"/>
      <c r="GR11" s="110"/>
      <c r="GS11" s="110"/>
      <c r="GT11" s="110"/>
      <c r="GU11" s="110"/>
      <c r="GV11" s="110"/>
      <c r="GW11" s="110"/>
      <c r="GX11" s="110"/>
      <c r="GY11" s="110"/>
      <c r="GZ11" s="110"/>
      <c r="HA11" s="110"/>
      <c r="HB11" s="110"/>
      <c r="HC11" s="110"/>
      <c r="HD11" s="110"/>
      <c r="HE11" s="110"/>
      <c r="HF11" s="110"/>
      <c r="HG11" s="110"/>
      <c r="HH11" s="110"/>
      <c r="HI11" s="110"/>
      <c r="HJ11" s="110"/>
      <c r="HK11" s="110"/>
      <c r="HL11" s="110"/>
      <c r="HM11" s="110"/>
      <c r="HN11" s="110"/>
      <c r="HO11" s="110"/>
      <c r="HP11" s="110"/>
      <c r="HQ11" s="110"/>
      <c r="HR11" s="110"/>
      <c r="HS11" s="110"/>
      <c r="HT11" s="110"/>
      <c r="HU11" s="110"/>
      <c r="HV11" s="110"/>
      <c r="HW11" s="110"/>
      <c r="HX11" s="110"/>
      <c r="HY11" s="110"/>
      <c r="HZ11" s="110"/>
      <c r="IA11" s="110"/>
      <c r="IB11" s="110"/>
      <c r="IC11" s="110"/>
      <c r="ID11" s="110"/>
      <c r="IE11" s="110"/>
      <c r="IF11" s="110"/>
      <c r="IG11" s="110"/>
      <c r="IH11" s="110"/>
      <c r="II11" s="110"/>
      <c r="IJ11" s="110"/>
      <c r="IK11" s="110"/>
      <c r="IL11" s="110"/>
      <c r="IM11" s="110"/>
      <c r="IN11" s="110"/>
      <c r="IO11" s="110"/>
      <c r="IP11" s="110"/>
      <c r="IQ11" s="110"/>
      <c r="IR11" s="110"/>
      <c r="IS11" s="110"/>
      <c r="IT11" s="110"/>
      <c r="IU11" s="110"/>
      <c r="IV11" s="110"/>
      <c r="IW11" s="110"/>
    </row>
    <row r="12" spans="1:257" ht="15" thickBot="1" x14ac:dyDescent="0.35">
      <c r="A12" s="156"/>
      <c r="B12" s="115" t="str">
        <f>'Parameter Values'!B166</f>
        <v>dw_CLD</v>
      </c>
      <c r="C12" s="168">
        <f>'Parameter Values'!G166</f>
        <v>35924.602381172706</v>
      </c>
      <c r="D12" s="169">
        <f>'Parameter Values'!H166</f>
        <v>36451.933121256618</v>
      </c>
      <c r="E12" s="170">
        <f t="shared" si="0"/>
        <v>527.33074008391122</v>
      </c>
      <c r="F12" s="156"/>
      <c r="G12" s="156"/>
      <c r="H12" s="156"/>
      <c r="I12" s="171" t="s">
        <v>278</v>
      </c>
      <c r="J12" s="168">
        <v>33367.744417701091</v>
      </c>
      <c r="K12" s="173">
        <v>31067.744417701164</v>
      </c>
      <c r="L12" s="170">
        <v>2299.9999999999272</v>
      </c>
      <c r="M12" s="156"/>
      <c r="N12" s="156"/>
      <c r="O12" s="110"/>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10"/>
      <c r="DB12" s="110"/>
      <c r="DC12" s="110"/>
      <c r="DD12" s="110"/>
      <c r="DE12" s="110"/>
      <c r="DF12" s="110"/>
      <c r="DG12" s="110"/>
      <c r="DH12" s="110"/>
      <c r="DI12" s="110"/>
      <c r="DJ12" s="110"/>
      <c r="DK12" s="110"/>
      <c r="DL12" s="110"/>
      <c r="DM12" s="110"/>
      <c r="DN12" s="110"/>
      <c r="DO12" s="110"/>
      <c r="DP12" s="110"/>
      <c r="DQ12" s="110"/>
      <c r="DR12" s="110"/>
      <c r="DS12" s="110"/>
      <c r="DT12" s="110"/>
      <c r="DU12" s="110"/>
      <c r="DV12" s="110"/>
      <c r="DW12" s="110"/>
      <c r="DX12" s="110"/>
      <c r="DY12" s="110"/>
      <c r="DZ12" s="110"/>
      <c r="EA12" s="110"/>
      <c r="EB12" s="110"/>
      <c r="EC12" s="110"/>
      <c r="ED12" s="110"/>
      <c r="EE12" s="110"/>
      <c r="EF12" s="110"/>
      <c r="EG12" s="110"/>
      <c r="EH12" s="110"/>
      <c r="EI12" s="110"/>
      <c r="EJ12" s="110"/>
      <c r="EK12" s="110"/>
      <c r="EL12" s="110"/>
      <c r="EM12" s="110"/>
      <c r="EN12" s="110"/>
      <c r="EO12" s="110"/>
      <c r="EP12" s="110"/>
      <c r="EQ12" s="110"/>
      <c r="ER12" s="110"/>
      <c r="ES12" s="110"/>
      <c r="ET12" s="110"/>
      <c r="EU12" s="110"/>
      <c r="EV12" s="110"/>
      <c r="EW12" s="110"/>
      <c r="EX12" s="110"/>
      <c r="EY12" s="110"/>
      <c r="EZ12" s="110"/>
      <c r="FA12" s="110"/>
      <c r="FB12" s="110"/>
      <c r="FC12" s="110"/>
      <c r="FD12" s="110"/>
      <c r="FE12" s="110"/>
      <c r="FF12" s="110"/>
      <c r="FG12" s="110"/>
      <c r="FH12" s="110"/>
      <c r="FI12" s="110"/>
      <c r="FJ12" s="110"/>
      <c r="FK12" s="110"/>
      <c r="FL12" s="110"/>
      <c r="FM12" s="110"/>
      <c r="FN12" s="110"/>
      <c r="FO12" s="110"/>
      <c r="FP12" s="110"/>
      <c r="FQ12" s="110"/>
      <c r="FR12" s="110"/>
      <c r="FS12" s="110"/>
      <c r="FT12" s="110"/>
      <c r="FU12" s="110"/>
      <c r="FV12" s="110"/>
      <c r="FW12" s="110"/>
      <c r="FX12" s="110"/>
      <c r="FY12" s="110"/>
      <c r="FZ12" s="110"/>
      <c r="GA12" s="110"/>
      <c r="GB12" s="110"/>
      <c r="GC12" s="110"/>
      <c r="GD12" s="110"/>
      <c r="GE12" s="110"/>
      <c r="GF12" s="110"/>
      <c r="GG12" s="110"/>
      <c r="GH12" s="110"/>
      <c r="GI12" s="110"/>
      <c r="GJ12" s="110"/>
      <c r="GK12" s="110"/>
      <c r="GL12" s="110"/>
      <c r="GM12" s="110"/>
      <c r="GN12" s="110"/>
      <c r="GO12" s="110"/>
      <c r="GP12" s="110"/>
      <c r="GQ12" s="110"/>
      <c r="GR12" s="110"/>
      <c r="GS12" s="110"/>
      <c r="GT12" s="110"/>
      <c r="GU12" s="110"/>
      <c r="GV12" s="110"/>
      <c r="GW12" s="110"/>
      <c r="GX12" s="110"/>
      <c r="GY12" s="110"/>
      <c r="GZ12" s="110"/>
      <c r="HA12" s="110"/>
      <c r="HB12" s="110"/>
      <c r="HC12" s="110"/>
      <c r="HD12" s="110"/>
      <c r="HE12" s="110"/>
      <c r="HF12" s="110"/>
      <c r="HG12" s="110"/>
      <c r="HH12" s="110"/>
      <c r="HI12" s="110"/>
      <c r="HJ12" s="110"/>
      <c r="HK12" s="110"/>
      <c r="HL12" s="110"/>
      <c r="HM12" s="110"/>
      <c r="HN12" s="110"/>
      <c r="HO12" s="110"/>
      <c r="HP12" s="110"/>
      <c r="HQ12" s="110"/>
      <c r="HR12" s="110"/>
      <c r="HS12" s="110"/>
      <c r="HT12" s="110"/>
      <c r="HU12" s="110"/>
      <c r="HV12" s="110"/>
      <c r="HW12" s="110"/>
      <c r="HX12" s="110"/>
      <c r="HY12" s="110"/>
      <c r="HZ12" s="110"/>
      <c r="IA12" s="110"/>
      <c r="IB12" s="110"/>
      <c r="IC12" s="110"/>
      <c r="ID12" s="110"/>
      <c r="IE12" s="110"/>
      <c r="IF12" s="110"/>
      <c r="IG12" s="110"/>
      <c r="IH12" s="110"/>
      <c r="II12" s="110"/>
      <c r="IJ12" s="110"/>
      <c r="IK12" s="110"/>
      <c r="IL12" s="110"/>
      <c r="IM12" s="110"/>
      <c r="IN12" s="110"/>
      <c r="IO12" s="110"/>
      <c r="IP12" s="110"/>
      <c r="IQ12" s="110"/>
      <c r="IR12" s="110"/>
      <c r="IS12" s="110"/>
      <c r="IT12" s="110"/>
      <c r="IU12" s="110"/>
      <c r="IV12" s="110"/>
      <c r="IW12" s="110"/>
    </row>
    <row r="13" spans="1:257" ht="15" thickBot="1" x14ac:dyDescent="0.35">
      <c r="A13" s="156"/>
      <c r="B13" s="115" t="str">
        <f>'Parameter Values'!B167</f>
        <v>dw_motor</v>
      </c>
      <c r="C13" s="168">
        <f>'Parameter Values'!G167</f>
        <v>36154.052950277932</v>
      </c>
      <c r="D13" s="169">
        <f>'Parameter Values'!H167</f>
        <v>36163.900460250108</v>
      </c>
      <c r="E13" s="170">
        <f t="shared" si="0"/>
        <v>9.8475099721763399</v>
      </c>
      <c r="F13" s="156"/>
      <c r="G13" s="156"/>
      <c r="H13" s="156"/>
      <c r="I13" s="171" t="s">
        <v>646</v>
      </c>
      <c r="J13" s="168">
        <v>33194.716570977267</v>
      </c>
      <c r="K13" s="173">
        <v>31170.988539190948</v>
      </c>
      <c r="L13" s="170">
        <v>2023.7280317863188</v>
      </c>
      <c r="M13" s="156"/>
      <c r="N13" s="156"/>
      <c r="O13" s="110"/>
      <c r="P13" s="110"/>
      <c r="Q13" s="110"/>
      <c r="R13" s="110"/>
      <c r="S13" s="110"/>
      <c r="T13" s="110"/>
      <c r="U13" s="110"/>
      <c r="V13" s="110"/>
      <c r="W13" s="110"/>
      <c r="X13" s="110"/>
      <c r="Y13" s="110"/>
      <c r="Z13" s="110"/>
      <c r="AA13" s="110"/>
      <c r="AB13" s="110"/>
      <c r="AC13" s="110"/>
      <c r="AD13" s="110"/>
      <c r="AE13" s="110"/>
      <c r="AF13" s="110"/>
      <c r="AG13" s="110"/>
      <c r="AH13" s="110"/>
      <c r="AI13" s="110"/>
      <c r="AJ13" s="110"/>
      <c r="AK13" s="110"/>
      <c r="AL13" s="110"/>
      <c r="AM13" s="110"/>
      <c r="AN13" s="110"/>
      <c r="AO13" s="110"/>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10"/>
      <c r="BL13" s="110"/>
      <c r="BM13" s="110"/>
      <c r="BN13" s="110"/>
      <c r="BO13" s="110"/>
      <c r="BP13" s="110"/>
      <c r="BQ13" s="110"/>
      <c r="BR13" s="110"/>
      <c r="BS13" s="110"/>
      <c r="BT13" s="110"/>
      <c r="BU13" s="110"/>
      <c r="BV13" s="110"/>
      <c r="BW13" s="110"/>
      <c r="BX13" s="110"/>
      <c r="BY13" s="110"/>
      <c r="BZ13" s="110"/>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10"/>
      <c r="DB13" s="110"/>
      <c r="DC13" s="110"/>
      <c r="DD13" s="110"/>
      <c r="DE13" s="110"/>
      <c r="DF13" s="110"/>
      <c r="DG13" s="110"/>
      <c r="DH13" s="110"/>
      <c r="DI13" s="110"/>
      <c r="DJ13" s="110"/>
      <c r="DK13" s="110"/>
      <c r="DL13" s="110"/>
      <c r="DM13" s="110"/>
      <c r="DN13" s="110"/>
      <c r="DO13" s="110"/>
      <c r="DP13" s="110"/>
      <c r="DQ13" s="110"/>
      <c r="DR13" s="110"/>
      <c r="DS13" s="110"/>
      <c r="DT13" s="110"/>
      <c r="DU13" s="110"/>
      <c r="DV13" s="110"/>
      <c r="DW13" s="110"/>
      <c r="DX13" s="110"/>
      <c r="DY13" s="110"/>
      <c r="DZ13" s="110"/>
      <c r="EA13" s="110"/>
      <c r="EB13" s="110"/>
      <c r="EC13" s="110"/>
      <c r="ED13" s="110"/>
      <c r="EE13" s="110"/>
      <c r="EF13" s="110"/>
      <c r="EG13" s="110"/>
      <c r="EH13" s="110"/>
      <c r="EI13" s="110"/>
      <c r="EJ13" s="110"/>
      <c r="EK13" s="110"/>
      <c r="EL13" s="110"/>
      <c r="EM13" s="110"/>
      <c r="EN13" s="110"/>
      <c r="EO13" s="110"/>
      <c r="EP13" s="110"/>
      <c r="EQ13" s="110"/>
      <c r="ER13" s="110"/>
      <c r="ES13" s="110"/>
      <c r="ET13" s="110"/>
      <c r="EU13" s="110"/>
      <c r="EV13" s="110"/>
      <c r="EW13" s="110"/>
      <c r="EX13" s="110"/>
      <c r="EY13" s="110"/>
      <c r="EZ13" s="110"/>
      <c r="FA13" s="110"/>
      <c r="FB13" s="110"/>
      <c r="FC13" s="110"/>
      <c r="FD13" s="110"/>
      <c r="FE13" s="110"/>
      <c r="FF13" s="110"/>
      <c r="FG13" s="110"/>
      <c r="FH13" s="110"/>
      <c r="FI13" s="110"/>
      <c r="FJ13" s="110"/>
      <c r="FK13" s="110"/>
      <c r="FL13" s="110"/>
      <c r="FM13" s="110"/>
      <c r="FN13" s="110"/>
      <c r="FO13" s="110"/>
      <c r="FP13" s="110"/>
      <c r="FQ13" s="110"/>
      <c r="FR13" s="110"/>
      <c r="FS13" s="110"/>
      <c r="FT13" s="110"/>
      <c r="FU13" s="110"/>
      <c r="FV13" s="110"/>
      <c r="FW13" s="110"/>
      <c r="FX13" s="110"/>
      <c r="FY13" s="110"/>
      <c r="FZ13" s="110"/>
      <c r="GA13" s="110"/>
      <c r="GB13" s="110"/>
      <c r="GC13" s="110"/>
      <c r="GD13" s="110"/>
      <c r="GE13" s="110"/>
      <c r="GF13" s="110"/>
      <c r="GG13" s="110"/>
      <c r="GH13" s="110"/>
      <c r="GI13" s="110"/>
      <c r="GJ13" s="110"/>
      <c r="GK13" s="110"/>
      <c r="GL13" s="110"/>
      <c r="GM13" s="110"/>
      <c r="GN13" s="110"/>
      <c r="GO13" s="110"/>
      <c r="GP13" s="110"/>
      <c r="GQ13" s="110"/>
      <c r="GR13" s="110"/>
      <c r="GS13" s="110"/>
      <c r="GT13" s="110"/>
      <c r="GU13" s="110"/>
      <c r="GV13" s="110"/>
      <c r="GW13" s="110"/>
      <c r="GX13" s="110"/>
      <c r="GY13" s="110"/>
      <c r="GZ13" s="110"/>
      <c r="HA13" s="110"/>
      <c r="HB13" s="110"/>
      <c r="HC13" s="110"/>
      <c r="HD13" s="110"/>
      <c r="HE13" s="110"/>
      <c r="HF13" s="110"/>
      <c r="HG13" s="110"/>
      <c r="HH13" s="110"/>
      <c r="HI13" s="110"/>
      <c r="HJ13" s="110"/>
      <c r="HK13" s="110"/>
      <c r="HL13" s="110"/>
      <c r="HM13" s="110"/>
      <c r="HN13" s="110"/>
      <c r="HO13" s="110"/>
      <c r="HP13" s="110"/>
      <c r="HQ13" s="110"/>
      <c r="HR13" s="110"/>
      <c r="HS13" s="110"/>
      <c r="HT13" s="110"/>
      <c r="HU13" s="110"/>
      <c r="HV13" s="110"/>
      <c r="HW13" s="110"/>
      <c r="HX13" s="110"/>
      <c r="HY13" s="110"/>
      <c r="HZ13" s="110"/>
      <c r="IA13" s="110"/>
      <c r="IB13" s="110"/>
      <c r="IC13" s="110"/>
      <c r="ID13" s="110"/>
      <c r="IE13" s="110"/>
      <c r="IF13" s="110"/>
      <c r="IG13" s="110"/>
      <c r="IH13" s="110"/>
      <c r="II13" s="110"/>
      <c r="IJ13" s="110"/>
      <c r="IK13" s="110"/>
      <c r="IL13" s="110"/>
      <c r="IM13" s="110"/>
      <c r="IN13" s="110"/>
      <c r="IO13" s="110"/>
      <c r="IP13" s="110"/>
      <c r="IQ13" s="110"/>
      <c r="IR13" s="110"/>
      <c r="IS13" s="110"/>
      <c r="IT13" s="110"/>
      <c r="IU13" s="110"/>
      <c r="IV13" s="110"/>
      <c r="IW13" s="110"/>
    </row>
    <row r="14" spans="1:257" ht="15" thickBot="1" x14ac:dyDescent="0.35">
      <c r="A14" s="156"/>
      <c r="B14" s="115" t="str">
        <f>'Parameter Values'!B168</f>
        <v>ANC</v>
      </c>
      <c r="C14" s="168">
        <f>'Parameter Values'!G168</f>
        <v>35593.250904565706</v>
      </c>
      <c r="D14" s="169">
        <f>'Parameter Values'!H168</f>
        <v>36835.818708949919</v>
      </c>
      <c r="E14" s="170">
        <f t="shared" si="0"/>
        <v>1242.5678043842126</v>
      </c>
      <c r="F14" s="156"/>
      <c r="G14" s="156"/>
      <c r="H14" s="156"/>
      <c r="I14" s="171" t="s">
        <v>284</v>
      </c>
      <c r="J14" s="168">
        <v>31533.830841201387</v>
      </c>
      <c r="K14" s="173">
        <v>32856.063755767507</v>
      </c>
      <c r="L14" s="170">
        <v>1322.2329145661206</v>
      </c>
      <c r="M14" s="156"/>
      <c r="N14" s="156"/>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c r="BY14" s="110"/>
      <c r="BZ14" s="110"/>
      <c r="CA14" s="110"/>
      <c r="CB14" s="110"/>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10"/>
      <c r="DB14" s="110"/>
      <c r="DC14" s="110"/>
      <c r="DD14" s="110"/>
      <c r="DE14" s="110"/>
      <c r="DF14" s="110"/>
      <c r="DG14" s="110"/>
      <c r="DH14" s="110"/>
      <c r="DI14" s="110"/>
      <c r="DJ14" s="110"/>
      <c r="DK14" s="110"/>
      <c r="DL14" s="110"/>
      <c r="DM14" s="110"/>
      <c r="DN14" s="110"/>
      <c r="DO14" s="110"/>
      <c r="DP14" s="110"/>
      <c r="DQ14" s="110"/>
      <c r="DR14" s="110"/>
      <c r="DS14" s="110"/>
      <c r="DT14" s="110"/>
      <c r="DU14" s="110"/>
      <c r="DV14" s="110"/>
      <c r="DW14" s="110"/>
      <c r="DX14" s="110"/>
      <c r="DY14" s="110"/>
      <c r="DZ14" s="110"/>
      <c r="EA14" s="110"/>
      <c r="EB14" s="110"/>
      <c r="EC14" s="110"/>
      <c r="ED14" s="110"/>
      <c r="EE14" s="110"/>
      <c r="EF14" s="110"/>
      <c r="EG14" s="110"/>
      <c r="EH14" s="110"/>
      <c r="EI14" s="110"/>
      <c r="EJ14" s="110"/>
      <c r="EK14" s="110"/>
      <c r="EL14" s="110"/>
      <c r="EM14" s="110"/>
      <c r="EN14" s="110"/>
      <c r="EO14" s="110"/>
      <c r="EP14" s="110"/>
      <c r="EQ14" s="110"/>
      <c r="ER14" s="110"/>
      <c r="ES14" s="110"/>
      <c r="ET14" s="110"/>
      <c r="EU14" s="110"/>
      <c r="EV14" s="110"/>
      <c r="EW14" s="110"/>
      <c r="EX14" s="110"/>
      <c r="EY14" s="110"/>
      <c r="EZ14" s="110"/>
      <c r="FA14" s="110"/>
      <c r="FB14" s="110"/>
      <c r="FC14" s="110"/>
      <c r="FD14" s="110"/>
      <c r="FE14" s="110"/>
      <c r="FF14" s="110"/>
      <c r="FG14" s="110"/>
      <c r="FH14" s="110"/>
      <c r="FI14" s="110"/>
      <c r="FJ14" s="110"/>
      <c r="FK14" s="110"/>
      <c r="FL14" s="110"/>
      <c r="FM14" s="110"/>
      <c r="FN14" s="110"/>
      <c r="FO14" s="110"/>
      <c r="FP14" s="110"/>
      <c r="FQ14" s="110"/>
      <c r="FR14" s="110"/>
      <c r="FS14" s="110"/>
      <c r="FT14" s="110"/>
      <c r="FU14" s="110"/>
      <c r="FV14" s="110"/>
      <c r="FW14" s="110"/>
      <c r="FX14" s="110"/>
      <c r="FY14" s="110"/>
      <c r="FZ14" s="110"/>
      <c r="GA14" s="110"/>
      <c r="GB14" s="110"/>
      <c r="GC14" s="110"/>
      <c r="GD14" s="110"/>
      <c r="GE14" s="110"/>
      <c r="GF14" s="110"/>
      <c r="GG14" s="110"/>
      <c r="GH14" s="110"/>
      <c r="GI14" s="110"/>
      <c r="GJ14" s="110"/>
      <c r="GK14" s="110"/>
      <c r="GL14" s="110"/>
      <c r="GM14" s="110"/>
      <c r="GN14" s="110"/>
      <c r="GO14" s="110"/>
      <c r="GP14" s="110"/>
      <c r="GQ14" s="110"/>
      <c r="GR14" s="110"/>
      <c r="GS14" s="110"/>
      <c r="GT14" s="110"/>
      <c r="GU14" s="110"/>
      <c r="GV14" s="110"/>
      <c r="GW14" s="110"/>
      <c r="GX14" s="110"/>
      <c r="GY14" s="110"/>
      <c r="GZ14" s="110"/>
      <c r="HA14" s="110"/>
      <c r="HB14" s="110"/>
      <c r="HC14" s="110"/>
      <c r="HD14" s="110"/>
      <c r="HE14" s="110"/>
      <c r="HF14" s="110"/>
      <c r="HG14" s="110"/>
      <c r="HH14" s="110"/>
      <c r="HI14" s="110"/>
      <c r="HJ14" s="110"/>
      <c r="HK14" s="110"/>
      <c r="HL14" s="110"/>
      <c r="HM14" s="110"/>
      <c r="HN14" s="110"/>
      <c r="HO14" s="110"/>
      <c r="HP14" s="110"/>
      <c r="HQ14" s="110"/>
      <c r="HR14" s="110"/>
      <c r="HS14" s="110"/>
      <c r="HT14" s="110"/>
      <c r="HU14" s="110"/>
      <c r="HV14" s="110"/>
      <c r="HW14" s="110"/>
      <c r="HX14" s="110"/>
      <c r="HY14" s="110"/>
      <c r="HZ14" s="110"/>
      <c r="IA14" s="110"/>
      <c r="IB14" s="110"/>
      <c r="IC14" s="110"/>
      <c r="ID14" s="110"/>
      <c r="IE14" s="110"/>
      <c r="IF14" s="110"/>
      <c r="IG14" s="110"/>
      <c r="IH14" s="110"/>
      <c r="II14" s="110"/>
      <c r="IJ14" s="110"/>
      <c r="IK14" s="110"/>
      <c r="IL14" s="110"/>
      <c r="IM14" s="110"/>
      <c r="IN14" s="110"/>
      <c r="IO14" s="110"/>
      <c r="IP14" s="110"/>
      <c r="IQ14" s="110"/>
      <c r="IR14" s="110"/>
      <c r="IS14" s="110"/>
      <c r="IT14" s="110"/>
      <c r="IU14" s="110"/>
      <c r="IV14" s="110"/>
      <c r="IW14" s="110"/>
    </row>
    <row r="15" spans="1:257" ht="15" thickBot="1" x14ac:dyDescent="0.35">
      <c r="A15" s="156"/>
      <c r="B15" s="115" t="str">
        <f>'Parameter Values'!B169</f>
        <v>Live birth with ANC</v>
      </c>
      <c r="C15" s="168">
        <f>'Parameter Values'!G169</f>
        <v>34802.806837220167</v>
      </c>
      <c r="D15" s="169">
        <f>'Parameter Values'!H169</f>
        <v>37423.65671196513</v>
      </c>
      <c r="E15" s="170">
        <f t="shared" si="0"/>
        <v>2620.849874744963</v>
      </c>
      <c r="F15" s="156"/>
      <c r="G15" s="156"/>
      <c r="H15" s="156"/>
      <c r="I15" s="171" t="s">
        <v>765</v>
      </c>
      <c r="J15" s="168">
        <v>31571.852118685405</v>
      </c>
      <c r="K15" s="173">
        <v>32820.577230115756</v>
      </c>
      <c r="L15" s="170">
        <v>1248.7251114303508</v>
      </c>
      <c r="M15" s="156"/>
      <c r="N15" s="156"/>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c r="BY15" s="110"/>
      <c r="BZ15" s="110"/>
      <c r="CA15" s="110"/>
      <c r="CB15" s="110"/>
      <c r="CC15" s="110"/>
      <c r="CD15" s="110"/>
      <c r="CE15" s="110"/>
      <c r="CF15" s="110"/>
      <c r="CG15" s="110"/>
      <c r="CH15" s="110"/>
      <c r="CI15" s="110"/>
      <c r="CJ15" s="110"/>
      <c r="CK15" s="110"/>
      <c r="CL15" s="110"/>
      <c r="CM15" s="110"/>
      <c r="CN15" s="110"/>
      <c r="CO15" s="110"/>
      <c r="CP15" s="110"/>
      <c r="CQ15" s="110"/>
      <c r="CR15" s="110"/>
      <c r="CS15" s="110"/>
      <c r="CT15" s="110"/>
      <c r="CU15" s="110"/>
      <c r="CV15" s="110"/>
      <c r="CW15" s="110"/>
      <c r="CX15" s="110"/>
      <c r="CY15" s="110"/>
      <c r="CZ15" s="110"/>
      <c r="DA15" s="110"/>
      <c r="DB15" s="110"/>
      <c r="DC15" s="110"/>
      <c r="DD15" s="110"/>
      <c r="DE15" s="110"/>
      <c r="DF15" s="110"/>
      <c r="DG15" s="110"/>
      <c r="DH15" s="110"/>
      <c r="DI15" s="110"/>
      <c r="DJ15" s="110"/>
      <c r="DK15" s="110"/>
      <c r="DL15" s="110"/>
      <c r="DM15" s="110"/>
      <c r="DN15" s="110"/>
      <c r="DO15" s="110"/>
      <c r="DP15" s="110"/>
      <c r="DQ15" s="110"/>
      <c r="DR15" s="110"/>
      <c r="DS15" s="110"/>
      <c r="DT15" s="110"/>
      <c r="DU15" s="110"/>
      <c r="DV15" s="110"/>
      <c r="DW15" s="110"/>
      <c r="DX15" s="110"/>
      <c r="DY15" s="110"/>
      <c r="DZ15" s="110"/>
      <c r="EA15" s="110"/>
      <c r="EB15" s="110"/>
      <c r="EC15" s="110"/>
      <c r="ED15" s="110"/>
      <c r="EE15" s="110"/>
      <c r="EF15" s="110"/>
      <c r="EG15" s="110"/>
      <c r="EH15" s="110"/>
      <c r="EI15" s="110"/>
      <c r="EJ15" s="110"/>
      <c r="EK15" s="110"/>
      <c r="EL15" s="110"/>
      <c r="EM15" s="110"/>
      <c r="EN15" s="110"/>
      <c r="EO15" s="110"/>
      <c r="EP15" s="110"/>
      <c r="EQ15" s="110"/>
      <c r="ER15" s="110"/>
      <c r="ES15" s="110"/>
      <c r="ET15" s="110"/>
      <c r="EU15" s="110"/>
      <c r="EV15" s="110"/>
      <c r="EW15" s="110"/>
      <c r="EX15" s="110"/>
      <c r="EY15" s="110"/>
      <c r="EZ15" s="110"/>
      <c r="FA15" s="110"/>
      <c r="FB15" s="110"/>
      <c r="FC15" s="110"/>
      <c r="FD15" s="110"/>
      <c r="FE15" s="110"/>
      <c r="FF15" s="110"/>
      <c r="FG15" s="110"/>
      <c r="FH15" s="110"/>
      <c r="FI15" s="110"/>
      <c r="FJ15" s="110"/>
      <c r="FK15" s="110"/>
      <c r="FL15" s="110"/>
      <c r="FM15" s="110"/>
      <c r="FN15" s="110"/>
      <c r="FO15" s="110"/>
      <c r="FP15" s="110"/>
      <c r="FQ15" s="110"/>
      <c r="FR15" s="110"/>
      <c r="FS15" s="110"/>
      <c r="FT15" s="110"/>
      <c r="FU15" s="110"/>
      <c r="FV15" s="110"/>
      <c r="FW15" s="110"/>
      <c r="FX15" s="110"/>
      <c r="FY15" s="110"/>
      <c r="FZ15" s="110"/>
      <c r="GA15" s="110"/>
      <c r="GB15" s="110"/>
      <c r="GC15" s="110"/>
      <c r="GD15" s="110"/>
      <c r="GE15" s="110"/>
      <c r="GF15" s="110"/>
      <c r="GG15" s="110"/>
      <c r="GH15" s="110"/>
      <c r="GI15" s="110"/>
      <c r="GJ15" s="110"/>
      <c r="GK15" s="110"/>
      <c r="GL15" s="110"/>
      <c r="GM15" s="110"/>
      <c r="GN15" s="110"/>
      <c r="GO15" s="110"/>
      <c r="GP15" s="110"/>
      <c r="GQ15" s="110"/>
      <c r="GR15" s="110"/>
      <c r="GS15" s="110"/>
      <c r="GT15" s="110"/>
      <c r="GU15" s="110"/>
      <c r="GV15" s="110"/>
      <c r="GW15" s="110"/>
      <c r="GX15" s="110"/>
      <c r="GY15" s="110"/>
      <c r="GZ15" s="110"/>
      <c r="HA15" s="110"/>
      <c r="HB15" s="110"/>
      <c r="HC15" s="110"/>
      <c r="HD15" s="110"/>
      <c r="HE15" s="110"/>
      <c r="HF15" s="110"/>
      <c r="HG15" s="110"/>
      <c r="HH15" s="110"/>
      <c r="HI15" s="110"/>
      <c r="HJ15" s="110"/>
      <c r="HK15" s="110"/>
      <c r="HL15" s="110"/>
      <c r="HM15" s="110"/>
      <c r="HN15" s="110"/>
      <c r="HO15" s="110"/>
      <c r="HP15" s="110"/>
      <c r="HQ15" s="110"/>
      <c r="HR15" s="110"/>
      <c r="HS15" s="110"/>
      <c r="HT15" s="110"/>
      <c r="HU15" s="110"/>
      <c r="HV15" s="110"/>
      <c r="HW15" s="110"/>
      <c r="HX15" s="110"/>
      <c r="HY15" s="110"/>
      <c r="HZ15" s="110"/>
      <c r="IA15" s="110"/>
      <c r="IB15" s="110"/>
      <c r="IC15" s="110"/>
      <c r="ID15" s="110"/>
      <c r="IE15" s="110"/>
      <c r="IF15" s="110"/>
      <c r="IG15" s="110"/>
      <c r="IH15" s="110"/>
      <c r="II15" s="110"/>
      <c r="IJ15" s="110"/>
      <c r="IK15" s="110"/>
      <c r="IL15" s="110"/>
      <c r="IM15" s="110"/>
      <c r="IN15" s="110"/>
      <c r="IO15" s="110"/>
      <c r="IP15" s="110"/>
      <c r="IQ15" s="110"/>
      <c r="IR15" s="110"/>
      <c r="IS15" s="110"/>
      <c r="IT15" s="110"/>
      <c r="IU15" s="110"/>
      <c r="IV15" s="110"/>
      <c r="IW15" s="110"/>
    </row>
    <row r="16" spans="1:257" ht="15" thickBot="1" x14ac:dyDescent="0.35">
      <c r="A16" s="156"/>
      <c r="B16" s="115" t="str">
        <f>'Parameter Values'!B170</f>
        <v>Live birth no ANC</v>
      </c>
      <c r="C16" s="168">
        <f>'Parameter Values'!G170</f>
        <v>35595.647099350776</v>
      </c>
      <c r="D16" s="169">
        <f>'Parameter Values'!H170</f>
        <v>36683.672467309865</v>
      </c>
      <c r="E16" s="170">
        <f t="shared" si="0"/>
        <v>1088.0253679590896</v>
      </c>
      <c r="F16" s="156"/>
      <c r="G16" s="156"/>
      <c r="H16" s="156"/>
      <c r="I16" s="171" t="s">
        <v>314</v>
      </c>
      <c r="J16" s="168">
        <v>31736.008079440828</v>
      </c>
      <c r="K16" s="173">
        <v>32699.480755961384</v>
      </c>
      <c r="L16" s="170">
        <v>963.47267652055598</v>
      </c>
      <c r="M16" s="156"/>
      <c r="N16" s="156"/>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c r="BY16" s="110"/>
      <c r="BZ16" s="110"/>
      <c r="CA16" s="110"/>
      <c r="CB16" s="110"/>
      <c r="CC16" s="110"/>
      <c r="CD16" s="110"/>
      <c r="CE16" s="110"/>
      <c r="CF16" s="110"/>
      <c r="CG16" s="110"/>
      <c r="CH16" s="110"/>
      <c r="CI16" s="110"/>
      <c r="CJ16" s="110"/>
      <c r="CK16" s="110"/>
      <c r="CL16" s="110"/>
      <c r="CM16" s="110"/>
      <c r="CN16" s="110"/>
      <c r="CO16" s="110"/>
      <c r="CP16" s="110"/>
      <c r="CQ16" s="110"/>
      <c r="CR16" s="110"/>
      <c r="CS16" s="110"/>
      <c r="CT16" s="110"/>
      <c r="CU16" s="110"/>
      <c r="CV16" s="110"/>
      <c r="CW16" s="110"/>
      <c r="CX16" s="110"/>
      <c r="CY16" s="110"/>
      <c r="CZ16" s="110"/>
      <c r="DA16" s="110"/>
      <c r="DB16" s="110"/>
      <c r="DC16" s="110"/>
      <c r="DD16" s="110"/>
      <c r="DE16" s="110"/>
      <c r="DF16" s="110"/>
      <c r="DG16" s="110"/>
      <c r="DH16" s="110"/>
      <c r="DI16" s="110"/>
      <c r="DJ16" s="110"/>
      <c r="DK16" s="110"/>
      <c r="DL16" s="110"/>
      <c r="DM16" s="110"/>
      <c r="DN16" s="110"/>
      <c r="DO16" s="110"/>
      <c r="DP16" s="110"/>
      <c r="DQ16" s="110"/>
      <c r="DR16" s="110"/>
      <c r="DS16" s="110"/>
      <c r="DT16" s="110"/>
      <c r="DU16" s="110"/>
      <c r="DV16" s="110"/>
      <c r="DW16" s="110"/>
      <c r="DX16" s="110"/>
      <c r="DY16" s="110"/>
      <c r="DZ16" s="110"/>
      <c r="EA16" s="110"/>
      <c r="EB16" s="110"/>
      <c r="EC16" s="110"/>
      <c r="ED16" s="110"/>
      <c r="EE16" s="110"/>
      <c r="EF16" s="110"/>
      <c r="EG16" s="110"/>
      <c r="EH16" s="110"/>
      <c r="EI16" s="110"/>
      <c r="EJ16" s="110"/>
      <c r="EK16" s="110"/>
      <c r="EL16" s="110"/>
      <c r="EM16" s="110"/>
      <c r="EN16" s="110"/>
      <c r="EO16" s="110"/>
      <c r="EP16" s="110"/>
      <c r="EQ16" s="110"/>
      <c r="ER16" s="110"/>
      <c r="ES16" s="110"/>
      <c r="ET16" s="110"/>
      <c r="EU16" s="110"/>
      <c r="EV16" s="110"/>
      <c r="EW16" s="110"/>
      <c r="EX16" s="110"/>
      <c r="EY16" s="110"/>
      <c r="EZ16" s="110"/>
      <c r="FA16" s="110"/>
      <c r="FB16" s="110"/>
      <c r="FC16" s="110"/>
      <c r="FD16" s="110"/>
      <c r="FE16" s="110"/>
      <c r="FF16" s="110"/>
      <c r="FG16" s="110"/>
      <c r="FH16" s="110"/>
      <c r="FI16" s="110"/>
      <c r="FJ16" s="110"/>
      <c r="FK16" s="110"/>
      <c r="FL16" s="110"/>
      <c r="FM16" s="110"/>
      <c r="FN16" s="110"/>
      <c r="FO16" s="110"/>
      <c r="FP16" s="110"/>
      <c r="FQ16" s="110"/>
      <c r="FR16" s="110"/>
      <c r="FS16" s="110"/>
      <c r="FT16" s="110"/>
      <c r="FU16" s="110"/>
      <c r="FV16" s="110"/>
      <c r="FW16" s="110"/>
      <c r="FX16" s="110"/>
      <c r="FY16" s="110"/>
      <c r="FZ16" s="110"/>
      <c r="GA16" s="110"/>
      <c r="GB16" s="110"/>
      <c r="GC16" s="110"/>
      <c r="GD16" s="110"/>
      <c r="GE16" s="110"/>
      <c r="GF16" s="110"/>
      <c r="GG16" s="110"/>
      <c r="GH16" s="110"/>
      <c r="GI16" s="110"/>
      <c r="GJ16" s="110"/>
      <c r="GK16" s="110"/>
      <c r="GL16" s="110"/>
      <c r="GM16" s="110"/>
      <c r="GN16" s="110"/>
      <c r="GO16" s="110"/>
      <c r="GP16" s="110"/>
      <c r="GQ16" s="110"/>
      <c r="GR16" s="110"/>
      <c r="GS16" s="110"/>
      <c r="GT16" s="110"/>
      <c r="GU16" s="110"/>
      <c r="GV16" s="110"/>
      <c r="GW16" s="110"/>
      <c r="GX16" s="110"/>
      <c r="GY16" s="110"/>
      <c r="GZ16" s="110"/>
      <c r="HA16" s="110"/>
      <c r="HB16" s="110"/>
      <c r="HC16" s="110"/>
      <c r="HD16" s="110"/>
      <c r="HE16" s="110"/>
      <c r="HF16" s="110"/>
      <c r="HG16" s="110"/>
      <c r="HH16" s="110"/>
      <c r="HI16" s="110"/>
      <c r="HJ16" s="110"/>
      <c r="HK16" s="110"/>
      <c r="HL16" s="110"/>
      <c r="HM16" s="110"/>
      <c r="HN16" s="110"/>
      <c r="HO16" s="110"/>
      <c r="HP16" s="110"/>
      <c r="HQ16" s="110"/>
      <c r="HR16" s="110"/>
      <c r="HS16" s="110"/>
      <c r="HT16" s="110"/>
      <c r="HU16" s="110"/>
      <c r="HV16" s="110"/>
      <c r="HW16" s="110"/>
      <c r="HX16" s="110"/>
      <c r="HY16" s="110"/>
      <c r="HZ16" s="110"/>
      <c r="IA16" s="110"/>
      <c r="IB16" s="110"/>
      <c r="IC16" s="110"/>
      <c r="ID16" s="110"/>
      <c r="IE16" s="110"/>
      <c r="IF16" s="110"/>
      <c r="IG16" s="110"/>
      <c r="IH16" s="110"/>
      <c r="II16" s="110"/>
      <c r="IJ16" s="110"/>
      <c r="IK16" s="110"/>
      <c r="IL16" s="110"/>
      <c r="IM16" s="110"/>
      <c r="IN16" s="110"/>
      <c r="IO16" s="110"/>
      <c r="IP16" s="110"/>
      <c r="IQ16" s="110"/>
      <c r="IR16" s="110"/>
      <c r="IS16" s="110"/>
      <c r="IT16" s="110"/>
      <c r="IU16" s="110"/>
      <c r="IV16" s="110"/>
      <c r="IW16" s="110"/>
    </row>
    <row r="17" spans="1:257" ht="15" thickBot="1" x14ac:dyDescent="0.35">
      <c r="A17" s="156"/>
      <c r="B17" s="115" t="str">
        <f>'Parameter Values'!B171</f>
        <v>Term with ANC</v>
      </c>
      <c r="C17" s="168">
        <f>'Parameter Values'!G171</f>
        <v>16936.215747896669</v>
      </c>
      <c r="D17" s="169">
        <f>'Parameter Values'!H171</f>
        <v>54099.141728667142</v>
      </c>
      <c r="E17" s="170">
        <f t="shared" si="0"/>
        <v>37162.925980770473</v>
      </c>
      <c r="F17" s="156"/>
      <c r="G17" s="156"/>
      <c r="H17" s="156"/>
      <c r="I17" s="171" t="s">
        <v>365</v>
      </c>
      <c r="J17" s="172">
        <v>31767.14770495976</v>
      </c>
      <c r="K17" s="169">
        <v>32638.301349592992</v>
      </c>
      <c r="L17" s="170">
        <v>871.15364463323203</v>
      </c>
      <c r="M17" s="156"/>
      <c r="N17" s="156"/>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c r="BY17" s="110"/>
      <c r="BZ17" s="110"/>
      <c r="CA17" s="110"/>
      <c r="CB17" s="110"/>
      <c r="CC17" s="110"/>
      <c r="CD17" s="110"/>
      <c r="CE17" s="110"/>
      <c r="CF17" s="110"/>
      <c r="CG17" s="110"/>
      <c r="CH17" s="110"/>
      <c r="CI17" s="110"/>
      <c r="CJ17" s="110"/>
      <c r="CK17" s="110"/>
      <c r="CL17" s="110"/>
      <c r="CM17" s="110"/>
      <c r="CN17" s="110"/>
      <c r="CO17" s="110"/>
      <c r="CP17" s="110"/>
      <c r="CQ17" s="110"/>
      <c r="CR17" s="110"/>
      <c r="CS17" s="110"/>
      <c r="CT17" s="110"/>
      <c r="CU17" s="110"/>
      <c r="CV17" s="110"/>
      <c r="CW17" s="110"/>
      <c r="CX17" s="110"/>
      <c r="CY17" s="110"/>
      <c r="CZ17" s="110"/>
      <c r="DA17" s="110"/>
      <c r="DB17" s="110"/>
      <c r="DC17" s="110"/>
      <c r="DD17" s="110"/>
      <c r="DE17" s="110"/>
      <c r="DF17" s="110"/>
      <c r="DG17" s="110"/>
      <c r="DH17" s="110"/>
      <c r="DI17" s="110"/>
      <c r="DJ17" s="110"/>
      <c r="DK17" s="110"/>
      <c r="DL17" s="110"/>
      <c r="DM17" s="110"/>
      <c r="DN17" s="110"/>
      <c r="DO17" s="110"/>
      <c r="DP17" s="110"/>
      <c r="DQ17" s="110"/>
      <c r="DR17" s="110"/>
      <c r="DS17" s="110"/>
      <c r="DT17" s="110"/>
      <c r="DU17" s="110"/>
      <c r="DV17" s="110"/>
      <c r="DW17" s="110"/>
      <c r="DX17" s="110"/>
      <c r="DY17" s="110"/>
      <c r="DZ17" s="110"/>
      <c r="EA17" s="110"/>
      <c r="EB17" s="110"/>
      <c r="EC17" s="110"/>
      <c r="ED17" s="110"/>
      <c r="EE17" s="110"/>
      <c r="EF17" s="110"/>
      <c r="EG17" s="110"/>
      <c r="EH17" s="110"/>
      <c r="EI17" s="110"/>
      <c r="EJ17" s="110"/>
      <c r="EK17" s="110"/>
      <c r="EL17" s="110"/>
      <c r="EM17" s="110"/>
      <c r="EN17" s="110"/>
      <c r="EO17" s="110"/>
      <c r="EP17" s="110"/>
      <c r="EQ17" s="110"/>
      <c r="ER17" s="110"/>
      <c r="ES17" s="110"/>
      <c r="ET17" s="110"/>
      <c r="EU17" s="110"/>
      <c r="EV17" s="110"/>
      <c r="EW17" s="110"/>
      <c r="EX17" s="110"/>
      <c r="EY17" s="110"/>
      <c r="EZ17" s="110"/>
      <c r="FA17" s="110"/>
      <c r="FB17" s="110"/>
      <c r="FC17" s="110"/>
      <c r="FD17" s="110"/>
      <c r="FE17" s="110"/>
      <c r="FF17" s="110"/>
      <c r="FG17" s="110"/>
      <c r="FH17" s="110"/>
      <c r="FI17" s="110"/>
      <c r="FJ17" s="110"/>
      <c r="FK17" s="110"/>
      <c r="FL17" s="110"/>
      <c r="FM17" s="110"/>
      <c r="FN17" s="110"/>
      <c r="FO17" s="110"/>
      <c r="FP17" s="110"/>
      <c r="FQ17" s="110"/>
      <c r="FR17" s="110"/>
      <c r="FS17" s="110"/>
      <c r="FT17" s="110"/>
      <c r="FU17" s="110"/>
      <c r="FV17" s="110"/>
      <c r="FW17" s="110"/>
      <c r="FX17" s="110"/>
      <c r="FY17" s="110"/>
      <c r="FZ17" s="110"/>
      <c r="GA17" s="110"/>
      <c r="GB17" s="110"/>
      <c r="GC17" s="110"/>
      <c r="GD17" s="110"/>
      <c r="GE17" s="110"/>
      <c r="GF17" s="110"/>
      <c r="GG17" s="110"/>
      <c r="GH17" s="110"/>
      <c r="GI17" s="110"/>
      <c r="GJ17" s="110"/>
      <c r="GK17" s="110"/>
      <c r="GL17" s="110"/>
      <c r="GM17" s="110"/>
      <c r="GN17" s="110"/>
      <c r="GO17" s="110"/>
      <c r="GP17" s="110"/>
      <c r="GQ17" s="110"/>
      <c r="GR17" s="110"/>
      <c r="GS17" s="110"/>
      <c r="GT17" s="110"/>
      <c r="GU17" s="110"/>
      <c r="GV17" s="110"/>
      <c r="GW17" s="110"/>
      <c r="GX17" s="110"/>
      <c r="GY17" s="110"/>
      <c r="GZ17" s="110"/>
      <c r="HA17" s="110"/>
      <c r="HB17" s="110"/>
      <c r="HC17" s="110"/>
      <c r="HD17" s="110"/>
      <c r="HE17" s="110"/>
      <c r="HF17" s="110"/>
      <c r="HG17" s="110"/>
      <c r="HH17" s="110"/>
      <c r="HI17" s="110"/>
      <c r="HJ17" s="110"/>
      <c r="HK17" s="110"/>
      <c r="HL17" s="110"/>
      <c r="HM17" s="110"/>
      <c r="HN17" s="110"/>
      <c r="HO17" s="110"/>
      <c r="HP17" s="110"/>
      <c r="HQ17" s="110"/>
      <c r="HR17" s="110"/>
      <c r="HS17" s="110"/>
      <c r="HT17" s="110"/>
      <c r="HU17" s="110"/>
      <c r="HV17" s="110"/>
      <c r="HW17" s="110"/>
      <c r="HX17" s="110"/>
      <c r="HY17" s="110"/>
      <c r="HZ17" s="110"/>
      <c r="IA17" s="110"/>
      <c r="IB17" s="110"/>
      <c r="IC17" s="110"/>
      <c r="ID17" s="110"/>
      <c r="IE17" s="110"/>
      <c r="IF17" s="110"/>
      <c r="IG17" s="110"/>
      <c r="IH17" s="110"/>
      <c r="II17" s="110"/>
      <c r="IJ17" s="110"/>
      <c r="IK17" s="110"/>
      <c r="IL17" s="110"/>
      <c r="IM17" s="110"/>
      <c r="IN17" s="110"/>
      <c r="IO17" s="110"/>
      <c r="IP17" s="110"/>
      <c r="IQ17" s="110"/>
      <c r="IR17" s="110"/>
      <c r="IS17" s="110"/>
      <c r="IT17" s="110"/>
      <c r="IU17" s="110"/>
      <c r="IV17" s="110"/>
      <c r="IW17" s="110"/>
    </row>
    <row r="18" spans="1:257" ht="15" thickBot="1" x14ac:dyDescent="0.35">
      <c r="A18" s="156"/>
      <c r="B18" s="115" t="str">
        <f>'Parameter Values'!B172</f>
        <v>Term no ANC</v>
      </c>
      <c r="C18" s="168">
        <f>'Parameter Values'!G172</f>
        <v>31729.185797515307</v>
      </c>
      <c r="D18" s="169">
        <f>'Parameter Values'!H172</f>
        <v>40587.651885281841</v>
      </c>
      <c r="E18" s="170">
        <f t="shared" si="0"/>
        <v>8858.4660877665337</v>
      </c>
      <c r="F18" s="156"/>
      <c r="G18" s="156"/>
      <c r="H18" s="156"/>
      <c r="I18" s="171" t="s">
        <v>364</v>
      </c>
      <c r="J18" s="172">
        <v>31872.725553660042</v>
      </c>
      <c r="K18" s="169">
        <v>32539.762024139389</v>
      </c>
      <c r="L18" s="170">
        <v>667.03647047934646</v>
      </c>
      <c r="M18" s="156"/>
      <c r="N18" s="156"/>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10"/>
      <c r="CN18" s="110"/>
      <c r="CO18" s="110"/>
      <c r="CP18" s="110"/>
      <c r="CQ18" s="110"/>
      <c r="CR18" s="110"/>
      <c r="CS18" s="110"/>
      <c r="CT18" s="110"/>
      <c r="CU18" s="110"/>
      <c r="CV18" s="110"/>
      <c r="CW18" s="110"/>
      <c r="CX18" s="110"/>
      <c r="CY18" s="110"/>
      <c r="CZ18" s="110"/>
      <c r="DA18" s="110"/>
      <c r="DB18" s="110"/>
      <c r="DC18" s="110"/>
      <c r="DD18" s="110"/>
      <c r="DE18" s="110"/>
      <c r="DF18" s="110"/>
      <c r="DG18" s="110"/>
      <c r="DH18" s="110"/>
      <c r="DI18" s="110"/>
      <c r="DJ18" s="110"/>
      <c r="DK18" s="110"/>
      <c r="DL18" s="110"/>
      <c r="DM18" s="110"/>
      <c r="DN18" s="110"/>
      <c r="DO18" s="110"/>
      <c r="DP18" s="110"/>
      <c r="DQ18" s="110"/>
      <c r="DR18" s="110"/>
      <c r="DS18" s="110"/>
      <c r="DT18" s="110"/>
      <c r="DU18" s="110"/>
      <c r="DV18" s="110"/>
      <c r="DW18" s="110"/>
      <c r="DX18" s="110"/>
      <c r="DY18" s="110"/>
      <c r="DZ18" s="110"/>
      <c r="EA18" s="110"/>
      <c r="EB18" s="110"/>
      <c r="EC18" s="110"/>
      <c r="ED18" s="110"/>
      <c r="EE18" s="110"/>
      <c r="EF18" s="110"/>
      <c r="EG18" s="110"/>
      <c r="EH18" s="110"/>
      <c r="EI18" s="110"/>
      <c r="EJ18" s="110"/>
      <c r="EK18" s="110"/>
      <c r="EL18" s="110"/>
      <c r="EM18" s="110"/>
      <c r="EN18" s="110"/>
      <c r="EO18" s="110"/>
      <c r="EP18" s="110"/>
      <c r="EQ18" s="110"/>
      <c r="ER18" s="110"/>
      <c r="ES18" s="110"/>
      <c r="ET18" s="110"/>
      <c r="EU18" s="110"/>
      <c r="EV18" s="110"/>
      <c r="EW18" s="110"/>
      <c r="EX18" s="110"/>
      <c r="EY18" s="110"/>
      <c r="EZ18" s="110"/>
      <c r="FA18" s="110"/>
      <c r="FB18" s="110"/>
      <c r="FC18" s="110"/>
      <c r="FD18" s="110"/>
      <c r="FE18" s="110"/>
      <c r="FF18" s="110"/>
      <c r="FG18" s="110"/>
      <c r="FH18" s="110"/>
      <c r="FI18" s="110"/>
      <c r="FJ18" s="110"/>
      <c r="FK18" s="110"/>
      <c r="FL18" s="110"/>
      <c r="FM18" s="110"/>
      <c r="FN18" s="110"/>
      <c r="FO18" s="110"/>
      <c r="FP18" s="110"/>
      <c r="FQ18" s="110"/>
      <c r="FR18" s="110"/>
      <c r="FS18" s="110"/>
      <c r="FT18" s="110"/>
      <c r="FU18" s="110"/>
      <c r="FV18" s="110"/>
      <c r="FW18" s="110"/>
      <c r="FX18" s="110"/>
      <c r="FY18" s="110"/>
      <c r="FZ18" s="110"/>
      <c r="GA18" s="110"/>
      <c r="GB18" s="110"/>
      <c r="GC18" s="110"/>
      <c r="GD18" s="110"/>
      <c r="GE18" s="110"/>
      <c r="GF18" s="110"/>
      <c r="GG18" s="110"/>
      <c r="GH18" s="110"/>
      <c r="GI18" s="110"/>
      <c r="GJ18" s="110"/>
      <c r="GK18" s="110"/>
      <c r="GL18" s="110"/>
      <c r="GM18" s="110"/>
      <c r="GN18" s="110"/>
      <c r="GO18" s="110"/>
      <c r="GP18" s="110"/>
      <c r="GQ18" s="110"/>
      <c r="GR18" s="110"/>
      <c r="GS18" s="110"/>
      <c r="GT18" s="110"/>
      <c r="GU18" s="110"/>
      <c r="GV18" s="110"/>
      <c r="GW18" s="110"/>
      <c r="GX18" s="110"/>
      <c r="GY18" s="110"/>
      <c r="GZ18" s="110"/>
      <c r="HA18" s="110"/>
      <c r="HB18" s="110"/>
      <c r="HC18" s="110"/>
      <c r="HD18" s="110"/>
      <c r="HE18" s="110"/>
      <c r="HF18" s="110"/>
      <c r="HG18" s="110"/>
      <c r="HH18" s="110"/>
      <c r="HI18" s="110"/>
      <c r="HJ18" s="110"/>
      <c r="HK18" s="110"/>
      <c r="HL18" s="110"/>
      <c r="HM18" s="110"/>
      <c r="HN18" s="110"/>
      <c r="HO18" s="110"/>
      <c r="HP18" s="110"/>
      <c r="HQ18" s="110"/>
      <c r="HR18" s="110"/>
      <c r="HS18" s="110"/>
      <c r="HT18" s="110"/>
      <c r="HU18" s="110"/>
      <c r="HV18" s="110"/>
      <c r="HW18" s="110"/>
      <c r="HX18" s="110"/>
      <c r="HY18" s="110"/>
      <c r="HZ18" s="110"/>
      <c r="IA18" s="110"/>
      <c r="IB18" s="110"/>
      <c r="IC18" s="110"/>
      <c r="ID18" s="110"/>
      <c r="IE18" s="110"/>
      <c r="IF18" s="110"/>
      <c r="IG18" s="110"/>
      <c r="IH18" s="110"/>
      <c r="II18" s="110"/>
      <c r="IJ18" s="110"/>
      <c r="IK18" s="110"/>
      <c r="IL18" s="110"/>
      <c r="IM18" s="110"/>
      <c r="IN18" s="110"/>
      <c r="IO18" s="110"/>
      <c r="IP18" s="110"/>
      <c r="IQ18" s="110"/>
      <c r="IR18" s="110"/>
      <c r="IS18" s="110"/>
      <c r="IT18" s="110"/>
      <c r="IU18" s="110"/>
      <c r="IV18" s="110"/>
      <c r="IW18" s="110"/>
    </row>
    <row r="19" spans="1:257" ht="15" thickBot="1" x14ac:dyDescent="0.35">
      <c r="A19" s="156"/>
      <c r="B19" s="115" t="str">
        <f>'Parameter Values'!B173</f>
        <v>LBW prem</v>
      </c>
      <c r="C19" s="168">
        <f>'Parameter Values'!G173</f>
        <v>29347.239643069483</v>
      </c>
      <c r="D19" s="169">
        <f>'Parameter Values'!H173</f>
        <v>42515.519426505765</v>
      </c>
      <c r="E19" s="170">
        <f t="shared" si="0"/>
        <v>13168.279783436283</v>
      </c>
      <c r="F19" s="156"/>
      <c r="G19" s="156"/>
      <c r="H19" s="156"/>
      <c r="I19" s="171" t="s">
        <v>202</v>
      </c>
      <c r="J19" s="168">
        <v>31929.26111804659</v>
      </c>
      <c r="K19" s="173">
        <v>32563.515181116629</v>
      </c>
      <c r="L19" s="170">
        <v>634.25406307003868</v>
      </c>
      <c r="M19" s="156"/>
      <c r="N19" s="156"/>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10"/>
      <c r="CP19" s="110"/>
      <c r="CQ19" s="110"/>
      <c r="CR19" s="110"/>
      <c r="CS19" s="110"/>
      <c r="CT19" s="110"/>
      <c r="CU19" s="110"/>
      <c r="CV19" s="110"/>
      <c r="CW19" s="110"/>
      <c r="CX19" s="110"/>
      <c r="CY19" s="110"/>
      <c r="CZ19" s="110"/>
      <c r="DA19" s="110"/>
      <c r="DB19" s="110"/>
      <c r="DC19" s="110"/>
      <c r="DD19" s="110"/>
      <c r="DE19" s="110"/>
      <c r="DF19" s="110"/>
      <c r="DG19" s="110"/>
      <c r="DH19" s="110"/>
      <c r="DI19" s="110"/>
      <c r="DJ19" s="110"/>
      <c r="DK19" s="110"/>
      <c r="DL19" s="110"/>
      <c r="DM19" s="110"/>
      <c r="DN19" s="110"/>
      <c r="DO19" s="110"/>
      <c r="DP19" s="110"/>
      <c r="DQ19" s="110"/>
      <c r="DR19" s="110"/>
      <c r="DS19" s="110"/>
      <c r="DT19" s="110"/>
      <c r="DU19" s="110"/>
      <c r="DV19" s="110"/>
      <c r="DW19" s="110"/>
      <c r="DX19" s="110"/>
      <c r="DY19" s="110"/>
      <c r="DZ19" s="110"/>
      <c r="EA19" s="110"/>
      <c r="EB19" s="110"/>
      <c r="EC19" s="110"/>
      <c r="ED19" s="110"/>
      <c r="EE19" s="110"/>
      <c r="EF19" s="110"/>
      <c r="EG19" s="110"/>
      <c r="EH19" s="110"/>
      <c r="EI19" s="110"/>
      <c r="EJ19" s="110"/>
      <c r="EK19" s="110"/>
      <c r="EL19" s="110"/>
      <c r="EM19" s="110"/>
      <c r="EN19" s="110"/>
      <c r="EO19" s="110"/>
      <c r="EP19" s="110"/>
      <c r="EQ19" s="110"/>
      <c r="ER19" s="110"/>
      <c r="ES19" s="110"/>
      <c r="ET19" s="110"/>
      <c r="EU19" s="110"/>
      <c r="EV19" s="110"/>
      <c r="EW19" s="110"/>
      <c r="EX19" s="110"/>
      <c r="EY19" s="110"/>
      <c r="EZ19" s="110"/>
      <c r="FA19" s="110"/>
      <c r="FB19" s="110"/>
      <c r="FC19" s="110"/>
      <c r="FD19" s="110"/>
      <c r="FE19" s="110"/>
      <c r="FF19" s="110"/>
      <c r="FG19" s="110"/>
      <c r="FH19" s="110"/>
      <c r="FI19" s="110"/>
      <c r="FJ19" s="110"/>
      <c r="FK19" s="110"/>
      <c r="FL19" s="110"/>
      <c r="FM19" s="110"/>
      <c r="FN19" s="110"/>
      <c r="FO19" s="110"/>
      <c r="FP19" s="110"/>
      <c r="FQ19" s="110"/>
      <c r="FR19" s="110"/>
      <c r="FS19" s="110"/>
      <c r="FT19" s="110"/>
      <c r="FU19" s="110"/>
      <c r="FV19" s="110"/>
      <c r="FW19" s="110"/>
      <c r="FX19" s="110"/>
      <c r="FY19" s="110"/>
      <c r="FZ19" s="110"/>
      <c r="GA19" s="110"/>
      <c r="GB19" s="110"/>
      <c r="GC19" s="110"/>
      <c r="GD19" s="110"/>
      <c r="GE19" s="110"/>
      <c r="GF19" s="110"/>
      <c r="GG19" s="110"/>
      <c r="GH19" s="110"/>
      <c r="GI19" s="110"/>
      <c r="GJ19" s="110"/>
      <c r="GK19" s="110"/>
      <c r="GL19" s="110"/>
      <c r="GM19" s="110"/>
      <c r="GN19" s="110"/>
      <c r="GO19" s="110"/>
      <c r="GP19" s="110"/>
      <c r="GQ19" s="110"/>
      <c r="GR19" s="110"/>
      <c r="GS19" s="110"/>
      <c r="GT19" s="110"/>
      <c r="GU19" s="110"/>
      <c r="GV19" s="110"/>
      <c r="GW19" s="110"/>
      <c r="GX19" s="110"/>
      <c r="GY19" s="110"/>
      <c r="GZ19" s="110"/>
      <c r="HA19" s="110"/>
      <c r="HB19" s="110"/>
      <c r="HC19" s="110"/>
      <c r="HD19" s="110"/>
      <c r="HE19" s="110"/>
      <c r="HF19" s="110"/>
      <c r="HG19" s="110"/>
      <c r="HH19" s="110"/>
      <c r="HI19" s="110"/>
      <c r="HJ19" s="110"/>
      <c r="HK19" s="110"/>
      <c r="HL19" s="110"/>
      <c r="HM19" s="110"/>
      <c r="HN19" s="110"/>
      <c r="HO19" s="110"/>
      <c r="HP19" s="110"/>
      <c r="HQ19" s="110"/>
      <c r="HR19" s="110"/>
      <c r="HS19" s="110"/>
      <c r="HT19" s="110"/>
      <c r="HU19" s="110"/>
      <c r="HV19" s="110"/>
      <c r="HW19" s="110"/>
      <c r="HX19" s="110"/>
      <c r="HY19" s="110"/>
      <c r="HZ19" s="110"/>
      <c r="IA19" s="110"/>
      <c r="IB19" s="110"/>
      <c r="IC19" s="110"/>
      <c r="ID19" s="110"/>
      <c r="IE19" s="110"/>
      <c r="IF19" s="110"/>
      <c r="IG19" s="110"/>
      <c r="IH19" s="110"/>
      <c r="II19" s="110"/>
      <c r="IJ19" s="110"/>
      <c r="IK19" s="110"/>
      <c r="IL19" s="110"/>
      <c r="IM19" s="110"/>
      <c r="IN19" s="110"/>
      <c r="IO19" s="110"/>
      <c r="IP19" s="110"/>
      <c r="IQ19" s="110"/>
      <c r="IR19" s="110"/>
      <c r="IS19" s="110"/>
      <c r="IT19" s="110"/>
      <c r="IU19" s="110"/>
      <c r="IV19" s="110"/>
      <c r="IW19" s="110"/>
    </row>
    <row r="20" spans="1:257" ht="15" thickBot="1" x14ac:dyDescent="0.35">
      <c r="A20" s="156"/>
      <c r="B20" s="115" t="str">
        <f>'Parameter Values'!B174</f>
        <v>LBW term</v>
      </c>
      <c r="C20" s="168">
        <f>'Parameter Values'!G174</f>
        <v>26768.608161897049</v>
      </c>
      <c r="D20" s="169">
        <f>'Parameter Values'!H174</f>
        <v>45548.229520900219</v>
      </c>
      <c r="E20" s="170">
        <f t="shared" si="0"/>
        <v>18779.621359003169</v>
      </c>
      <c r="F20" s="156"/>
      <c r="G20" s="156"/>
      <c r="H20" s="156"/>
      <c r="I20" s="171" t="s">
        <v>762</v>
      </c>
      <c r="J20" s="168">
        <v>31891.430921840409</v>
      </c>
      <c r="K20" s="173">
        <v>32522.303680504163</v>
      </c>
      <c r="L20" s="170">
        <v>630.87275866375421</v>
      </c>
      <c r="M20" s="156"/>
      <c r="N20" s="156"/>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10"/>
      <c r="CS20" s="110"/>
      <c r="CT20" s="110"/>
      <c r="CU20" s="110"/>
      <c r="CV20" s="110"/>
      <c r="CW20" s="110"/>
      <c r="CX20" s="110"/>
      <c r="CY20" s="110"/>
      <c r="CZ20" s="110"/>
      <c r="DA20" s="110"/>
      <c r="DB20" s="110"/>
      <c r="DC20" s="110"/>
      <c r="DD20" s="110"/>
      <c r="DE20" s="110"/>
      <c r="DF20" s="110"/>
      <c r="DG20" s="110"/>
      <c r="DH20" s="110"/>
      <c r="DI20" s="110"/>
      <c r="DJ20" s="110"/>
      <c r="DK20" s="110"/>
      <c r="DL20" s="110"/>
      <c r="DM20" s="110"/>
      <c r="DN20" s="110"/>
      <c r="DO20" s="110"/>
      <c r="DP20" s="110"/>
      <c r="DQ20" s="110"/>
      <c r="DR20" s="110"/>
      <c r="DS20" s="110"/>
      <c r="DT20" s="110"/>
      <c r="DU20" s="110"/>
      <c r="DV20" s="110"/>
      <c r="DW20" s="110"/>
      <c r="DX20" s="110"/>
      <c r="DY20" s="110"/>
      <c r="DZ20" s="110"/>
      <c r="EA20" s="110"/>
      <c r="EB20" s="110"/>
      <c r="EC20" s="110"/>
      <c r="ED20" s="110"/>
      <c r="EE20" s="110"/>
      <c r="EF20" s="110"/>
      <c r="EG20" s="110"/>
      <c r="EH20" s="110"/>
      <c r="EI20" s="110"/>
      <c r="EJ20" s="110"/>
      <c r="EK20" s="110"/>
      <c r="EL20" s="110"/>
      <c r="EM20" s="110"/>
      <c r="EN20" s="110"/>
      <c r="EO20" s="110"/>
      <c r="EP20" s="110"/>
      <c r="EQ20" s="110"/>
      <c r="ER20" s="110"/>
      <c r="ES20" s="110"/>
      <c r="ET20" s="110"/>
      <c r="EU20" s="110"/>
      <c r="EV20" s="110"/>
      <c r="EW20" s="110"/>
      <c r="EX20" s="110"/>
      <c r="EY20" s="110"/>
      <c r="EZ20" s="110"/>
      <c r="FA20" s="110"/>
      <c r="FB20" s="110"/>
      <c r="FC20" s="110"/>
      <c r="FD20" s="110"/>
      <c r="FE20" s="110"/>
      <c r="FF20" s="110"/>
      <c r="FG20" s="110"/>
      <c r="FH20" s="110"/>
      <c r="FI20" s="110"/>
      <c r="FJ20" s="110"/>
      <c r="FK20" s="110"/>
      <c r="FL20" s="110"/>
      <c r="FM20" s="110"/>
      <c r="FN20" s="110"/>
      <c r="FO20" s="110"/>
      <c r="FP20" s="110"/>
      <c r="FQ20" s="110"/>
      <c r="FR20" s="110"/>
      <c r="FS20" s="110"/>
      <c r="FT20" s="110"/>
      <c r="FU20" s="110"/>
      <c r="FV20" s="110"/>
      <c r="FW20" s="110"/>
      <c r="FX20" s="110"/>
      <c r="FY20" s="110"/>
      <c r="FZ20" s="110"/>
      <c r="GA20" s="110"/>
      <c r="GB20" s="110"/>
      <c r="GC20" s="110"/>
      <c r="GD20" s="110"/>
      <c r="GE20" s="110"/>
      <c r="GF20" s="110"/>
      <c r="GG20" s="110"/>
      <c r="GH20" s="110"/>
      <c r="GI20" s="110"/>
      <c r="GJ20" s="110"/>
      <c r="GK20" s="110"/>
      <c r="GL20" s="110"/>
      <c r="GM20" s="110"/>
      <c r="GN20" s="110"/>
      <c r="GO20" s="110"/>
      <c r="GP20" s="110"/>
      <c r="GQ20" s="110"/>
      <c r="GR20" s="110"/>
      <c r="GS20" s="110"/>
      <c r="GT20" s="110"/>
      <c r="GU20" s="110"/>
      <c r="GV20" s="110"/>
      <c r="GW20" s="110"/>
      <c r="GX20" s="110"/>
      <c r="GY20" s="110"/>
      <c r="GZ20" s="110"/>
      <c r="HA20" s="110"/>
      <c r="HB20" s="110"/>
      <c r="HC20" s="110"/>
      <c r="HD20" s="110"/>
      <c r="HE20" s="110"/>
      <c r="HF20" s="110"/>
      <c r="HG20" s="110"/>
      <c r="HH20" s="110"/>
      <c r="HI20" s="110"/>
      <c r="HJ20" s="110"/>
      <c r="HK20" s="110"/>
      <c r="HL20" s="110"/>
      <c r="HM20" s="110"/>
      <c r="HN20" s="110"/>
      <c r="HO20" s="110"/>
      <c r="HP20" s="110"/>
      <c r="HQ20" s="110"/>
      <c r="HR20" s="110"/>
      <c r="HS20" s="110"/>
      <c r="HT20" s="110"/>
      <c r="HU20" s="110"/>
      <c r="HV20" s="110"/>
      <c r="HW20" s="110"/>
      <c r="HX20" s="110"/>
      <c r="HY20" s="110"/>
      <c r="HZ20" s="110"/>
      <c r="IA20" s="110"/>
      <c r="IB20" s="110"/>
      <c r="IC20" s="110"/>
      <c r="ID20" s="110"/>
      <c r="IE20" s="110"/>
      <c r="IF20" s="110"/>
      <c r="IG20" s="110"/>
      <c r="IH20" s="110"/>
      <c r="II20" s="110"/>
      <c r="IJ20" s="110"/>
      <c r="IK20" s="110"/>
      <c r="IL20" s="110"/>
      <c r="IM20" s="110"/>
      <c r="IN20" s="110"/>
      <c r="IO20" s="110"/>
      <c r="IP20" s="110"/>
      <c r="IQ20" s="110"/>
      <c r="IR20" s="110"/>
      <c r="IS20" s="110"/>
      <c r="IT20" s="110"/>
      <c r="IU20" s="110"/>
      <c r="IV20" s="110"/>
      <c r="IW20" s="110"/>
    </row>
    <row r="21" spans="1:257" ht="15" thickBot="1" x14ac:dyDescent="0.35">
      <c r="A21" s="156"/>
      <c r="B21" s="115" t="str">
        <f>'Parameter Values'!B175</f>
        <v>SGA preterm lbw</v>
      </c>
      <c r="C21" s="168">
        <f>'Parameter Values'!G175</f>
        <v>35668.650974605262</v>
      </c>
      <c r="D21" s="169">
        <f>'Parameter Values'!H175</f>
        <v>36648.186708192159</v>
      </c>
      <c r="E21" s="170">
        <f t="shared" si="0"/>
        <v>979.53573358689755</v>
      </c>
      <c r="F21" s="156"/>
      <c r="G21" s="156"/>
      <c r="H21" s="156"/>
      <c r="I21" s="171" t="s">
        <v>282</v>
      </c>
      <c r="J21" s="168">
        <v>31959.814467457662</v>
      </c>
      <c r="K21" s="173">
        <v>32458.479037928191</v>
      </c>
      <c r="L21" s="170">
        <v>498.66457047052972</v>
      </c>
      <c r="M21" s="156"/>
      <c r="N21" s="156"/>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10"/>
      <c r="CU21" s="110"/>
      <c r="CV21" s="110"/>
      <c r="CW21" s="110"/>
      <c r="CX21" s="110"/>
      <c r="CY21" s="110"/>
      <c r="CZ21" s="110"/>
      <c r="DA21" s="110"/>
      <c r="DB21" s="110"/>
      <c r="DC21" s="110"/>
      <c r="DD21" s="110"/>
      <c r="DE21" s="110"/>
      <c r="DF21" s="110"/>
      <c r="DG21" s="110"/>
      <c r="DH21" s="110"/>
      <c r="DI21" s="110"/>
      <c r="DJ21" s="110"/>
      <c r="DK21" s="110"/>
      <c r="DL21" s="110"/>
      <c r="DM21" s="110"/>
      <c r="DN21" s="110"/>
      <c r="DO21" s="110"/>
      <c r="DP21" s="110"/>
      <c r="DQ21" s="110"/>
      <c r="DR21" s="110"/>
      <c r="DS21" s="110"/>
      <c r="DT21" s="110"/>
      <c r="DU21" s="110"/>
      <c r="DV21" s="110"/>
      <c r="DW21" s="110"/>
      <c r="DX21" s="110"/>
      <c r="DY21" s="110"/>
      <c r="DZ21" s="110"/>
      <c r="EA21" s="110"/>
      <c r="EB21" s="110"/>
      <c r="EC21" s="110"/>
      <c r="ED21" s="110"/>
      <c r="EE21" s="110"/>
      <c r="EF21" s="110"/>
      <c r="EG21" s="110"/>
      <c r="EH21" s="110"/>
      <c r="EI21" s="110"/>
      <c r="EJ21" s="110"/>
      <c r="EK21" s="110"/>
      <c r="EL21" s="110"/>
      <c r="EM21" s="110"/>
      <c r="EN21" s="110"/>
      <c r="EO21" s="110"/>
      <c r="EP21" s="110"/>
      <c r="EQ21" s="110"/>
      <c r="ER21" s="110"/>
      <c r="ES21" s="110"/>
      <c r="ET21" s="110"/>
      <c r="EU21" s="110"/>
      <c r="EV21" s="110"/>
      <c r="EW21" s="110"/>
      <c r="EX21" s="110"/>
      <c r="EY21" s="110"/>
      <c r="EZ21" s="110"/>
      <c r="FA21" s="110"/>
      <c r="FB21" s="110"/>
      <c r="FC21" s="110"/>
      <c r="FD21" s="110"/>
      <c r="FE21" s="110"/>
      <c r="FF21" s="110"/>
      <c r="FG21" s="110"/>
      <c r="FH21" s="110"/>
      <c r="FI21" s="110"/>
      <c r="FJ21" s="110"/>
      <c r="FK21" s="110"/>
      <c r="FL21" s="110"/>
      <c r="FM21" s="110"/>
      <c r="FN21" s="110"/>
      <c r="FO21" s="110"/>
      <c r="FP21" s="110"/>
      <c r="FQ21" s="110"/>
      <c r="FR21" s="110"/>
      <c r="FS21" s="110"/>
      <c r="FT21" s="110"/>
      <c r="FU21" s="110"/>
      <c r="FV21" s="110"/>
      <c r="FW21" s="110"/>
      <c r="FX21" s="110"/>
      <c r="FY21" s="110"/>
      <c r="FZ21" s="110"/>
      <c r="GA21" s="110"/>
      <c r="GB21" s="110"/>
      <c r="GC21" s="110"/>
      <c r="GD21" s="110"/>
      <c r="GE21" s="110"/>
      <c r="GF21" s="110"/>
      <c r="GG21" s="110"/>
      <c r="GH21" s="110"/>
      <c r="GI21" s="110"/>
      <c r="GJ21" s="110"/>
      <c r="GK21" s="110"/>
      <c r="GL21" s="110"/>
      <c r="GM21" s="110"/>
      <c r="GN21" s="110"/>
      <c r="GO21" s="110"/>
      <c r="GP21" s="110"/>
      <c r="GQ21" s="110"/>
      <c r="GR21" s="110"/>
      <c r="GS21" s="110"/>
      <c r="GT21" s="110"/>
      <c r="GU21" s="110"/>
      <c r="GV21" s="110"/>
      <c r="GW21" s="110"/>
      <c r="GX21" s="110"/>
      <c r="GY21" s="110"/>
      <c r="GZ21" s="110"/>
      <c r="HA21" s="110"/>
      <c r="HB21" s="110"/>
      <c r="HC21" s="110"/>
      <c r="HD21" s="110"/>
      <c r="HE21" s="110"/>
      <c r="HF21" s="110"/>
      <c r="HG21" s="110"/>
      <c r="HH21" s="110"/>
      <c r="HI21" s="110"/>
      <c r="HJ21" s="110"/>
      <c r="HK21" s="110"/>
      <c r="HL21" s="110"/>
      <c r="HM21" s="110"/>
      <c r="HN21" s="110"/>
      <c r="HO21" s="110"/>
      <c r="HP21" s="110"/>
      <c r="HQ21" s="110"/>
      <c r="HR21" s="110"/>
      <c r="HS21" s="110"/>
      <c r="HT21" s="110"/>
      <c r="HU21" s="110"/>
      <c r="HV21" s="110"/>
      <c r="HW21" s="110"/>
      <c r="HX21" s="110"/>
      <c r="HY21" s="110"/>
      <c r="HZ21" s="110"/>
      <c r="IA21" s="110"/>
      <c r="IB21" s="110"/>
      <c r="IC21" s="110"/>
      <c r="ID21" s="110"/>
      <c r="IE21" s="110"/>
      <c r="IF21" s="110"/>
      <c r="IG21" s="110"/>
      <c r="IH21" s="110"/>
      <c r="II21" s="110"/>
      <c r="IJ21" s="110"/>
      <c r="IK21" s="110"/>
      <c r="IL21" s="110"/>
      <c r="IM21" s="110"/>
      <c r="IN21" s="110"/>
      <c r="IO21" s="110"/>
      <c r="IP21" s="110"/>
      <c r="IQ21" s="110"/>
      <c r="IR21" s="110"/>
      <c r="IS21" s="110"/>
      <c r="IT21" s="110"/>
      <c r="IU21" s="110"/>
      <c r="IV21" s="110"/>
      <c r="IW21" s="110"/>
    </row>
    <row r="22" spans="1:257" ht="15" thickBot="1" x14ac:dyDescent="0.35">
      <c r="A22" s="156"/>
      <c r="B22" s="115" t="str">
        <f>'Parameter Values'!B176</f>
        <v>AGA term nbw</v>
      </c>
      <c r="C22" s="168">
        <f>'Parameter Values'!G176</f>
        <v>36124.6168431271</v>
      </c>
      <c r="D22" s="169">
        <f>'Parameter Values'!H176</f>
        <v>36189.967373118627</v>
      </c>
      <c r="E22" s="170">
        <f t="shared" si="0"/>
        <v>65.350529991526855</v>
      </c>
      <c r="F22" s="156"/>
      <c r="G22" s="156"/>
      <c r="H22" s="156"/>
      <c r="I22" s="171" t="s">
        <v>730</v>
      </c>
      <c r="J22" s="168">
        <v>32101.479931992013</v>
      </c>
      <c r="K22" s="173">
        <v>31710.642379407684</v>
      </c>
      <c r="L22" s="170">
        <v>390.83755258432939</v>
      </c>
      <c r="M22" s="156"/>
      <c r="N22" s="156"/>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10"/>
      <c r="CU22" s="110"/>
      <c r="CV22" s="110"/>
      <c r="CW22" s="110"/>
      <c r="CX22" s="110"/>
      <c r="CY22" s="110"/>
      <c r="CZ22" s="110"/>
      <c r="DA22" s="110"/>
      <c r="DB22" s="110"/>
      <c r="DC22" s="110"/>
      <c r="DD22" s="110"/>
      <c r="DE22" s="110"/>
      <c r="DF22" s="110"/>
      <c r="DG22" s="110"/>
      <c r="DH22" s="110"/>
      <c r="DI22" s="110"/>
      <c r="DJ22" s="110"/>
      <c r="DK22" s="110"/>
      <c r="DL22" s="110"/>
      <c r="DM22" s="110"/>
      <c r="DN22" s="110"/>
      <c r="DO22" s="110"/>
      <c r="DP22" s="110"/>
      <c r="DQ22" s="110"/>
      <c r="DR22" s="110"/>
      <c r="DS22" s="110"/>
      <c r="DT22" s="110"/>
      <c r="DU22" s="110"/>
      <c r="DV22" s="110"/>
      <c r="DW22" s="110"/>
      <c r="DX22" s="110"/>
      <c r="DY22" s="110"/>
      <c r="DZ22" s="110"/>
      <c r="EA22" s="110"/>
      <c r="EB22" s="110"/>
      <c r="EC22" s="110"/>
      <c r="ED22" s="110"/>
      <c r="EE22" s="110"/>
      <c r="EF22" s="110"/>
      <c r="EG22" s="110"/>
      <c r="EH22" s="110"/>
      <c r="EI22" s="110"/>
      <c r="EJ22" s="110"/>
      <c r="EK22" s="110"/>
      <c r="EL22" s="110"/>
      <c r="EM22" s="110"/>
      <c r="EN22" s="110"/>
      <c r="EO22" s="110"/>
      <c r="EP22" s="110"/>
      <c r="EQ22" s="110"/>
      <c r="ER22" s="110"/>
      <c r="ES22" s="110"/>
      <c r="ET22" s="110"/>
      <c r="EU22" s="110"/>
      <c r="EV22" s="110"/>
      <c r="EW22" s="110"/>
      <c r="EX22" s="110"/>
      <c r="EY22" s="110"/>
      <c r="EZ22" s="110"/>
      <c r="FA22" s="110"/>
      <c r="FB22" s="110"/>
      <c r="FC22" s="110"/>
      <c r="FD22" s="110"/>
      <c r="FE22" s="110"/>
      <c r="FF22" s="110"/>
      <c r="FG22" s="110"/>
      <c r="FH22" s="110"/>
      <c r="FI22" s="110"/>
      <c r="FJ22" s="110"/>
      <c r="FK22" s="110"/>
      <c r="FL22" s="110"/>
      <c r="FM22" s="110"/>
      <c r="FN22" s="110"/>
      <c r="FO22" s="110"/>
      <c r="FP22" s="110"/>
      <c r="FQ22" s="110"/>
      <c r="FR22" s="110"/>
      <c r="FS22" s="110"/>
      <c r="FT22" s="110"/>
      <c r="FU22" s="110"/>
      <c r="FV22" s="110"/>
      <c r="FW22" s="110"/>
      <c r="FX22" s="110"/>
      <c r="FY22" s="110"/>
      <c r="FZ22" s="110"/>
      <c r="GA22" s="110"/>
      <c r="GB22" s="110"/>
      <c r="GC22" s="110"/>
      <c r="GD22" s="110"/>
      <c r="GE22" s="110"/>
      <c r="GF22" s="110"/>
      <c r="GG22" s="110"/>
      <c r="GH22" s="110"/>
      <c r="GI22" s="110"/>
      <c r="GJ22" s="110"/>
      <c r="GK22" s="110"/>
      <c r="GL22" s="110"/>
      <c r="GM22" s="110"/>
      <c r="GN22" s="110"/>
      <c r="GO22" s="110"/>
      <c r="GP22" s="110"/>
      <c r="GQ22" s="110"/>
      <c r="GR22" s="110"/>
      <c r="GS22" s="110"/>
      <c r="GT22" s="110"/>
      <c r="GU22" s="110"/>
      <c r="GV22" s="110"/>
      <c r="GW22" s="110"/>
      <c r="GX22" s="110"/>
      <c r="GY22" s="110"/>
      <c r="GZ22" s="110"/>
      <c r="HA22" s="110"/>
      <c r="HB22" s="110"/>
      <c r="HC22" s="110"/>
      <c r="HD22" s="110"/>
      <c r="HE22" s="110"/>
      <c r="HF22" s="110"/>
      <c r="HG22" s="110"/>
      <c r="HH22" s="110"/>
      <c r="HI22" s="110"/>
      <c r="HJ22" s="110"/>
      <c r="HK22" s="110"/>
      <c r="HL22" s="110"/>
      <c r="HM22" s="110"/>
      <c r="HN22" s="110"/>
      <c r="HO22" s="110"/>
      <c r="HP22" s="110"/>
      <c r="HQ22" s="110"/>
      <c r="HR22" s="110"/>
      <c r="HS22" s="110"/>
      <c r="HT22" s="110"/>
      <c r="HU22" s="110"/>
      <c r="HV22" s="110"/>
      <c r="HW22" s="110"/>
      <c r="HX22" s="110"/>
      <c r="HY22" s="110"/>
      <c r="HZ22" s="110"/>
      <c r="IA22" s="110"/>
      <c r="IB22" s="110"/>
      <c r="IC22" s="110"/>
      <c r="ID22" s="110"/>
      <c r="IE22" s="110"/>
      <c r="IF22" s="110"/>
      <c r="IG22" s="110"/>
      <c r="IH22" s="110"/>
      <c r="II22" s="110"/>
      <c r="IJ22" s="110"/>
      <c r="IK22" s="110"/>
      <c r="IL22" s="110"/>
      <c r="IM22" s="110"/>
      <c r="IN22" s="110"/>
      <c r="IO22" s="110"/>
      <c r="IP22" s="110"/>
      <c r="IQ22" s="110"/>
      <c r="IR22" s="110"/>
      <c r="IS22" s="110"/>
      <c r="IT22" s="110"/>
      <c r="IU22" s="110"/>
      <c r="IV22" s="110"/>
      <c r="IW22" s="110"/>
    </row>
    <row r="23" spans="1:257" ht="15" thickBot="1" x14ac:dyDescent="0.35">
      <c r="A23" s="156"/>
      <c r="B23" s="115" t="str">
        <f>'Parameter Values'!B177</f>
        <v>Death and preterm sga</v>
      </c>
      <c r="C23" s="168">
        <f>'Parameter Values'!G177</f>
        <v>35338.050940328787</v>
      </c>
      <c r="D23" s="169">
        <f>'Parameter Values'!H177</f>
        <v>36978.786742468372</v>
      </c>
      <c r="E23" s="170">
        <f t="shared" si="0"/>
        <v>1640.7358021395848</v>
      </c>
      <c r="F23" s="156"/>
      <c r="G23" s="156"/>
      <c r="H23" s="156"/>
      <c r="I23" s="171" t="s">
        <v>287</v>
      </c>
      <c r="J23" s="168">
        <v>32280.069821832047</v>
      </c>
      <c r="K23" s="173">
        <v>32159.574040512147</v>
      </c>
      <c r="L23" s="170">
        <v>120.49578131989983</v>
      </c>
      <c r="M23" s="156"/>
      <c r="N23" s="156"/>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10"/>
      <c r="CZ23" s="110"/>
      <c r="DA23" s="110"/>
      <c r="DB23" s="110"/>
      <c r="DC23" s="110"/>
      <c r="DD23" s="110"/>
      <c r="DE23" s="110"/>
      <c r="DF23" s="110"/>
      <c r="DG23" s="110"/>
      <c r="DH23" s="110"/>
      <c r="DI23" s="110"/>
      <c r="DJ23" s="110"/>
      <c r="DK23" s="110"/>
      <c r="DL23" s="110"/>
      <c r="DM23" s="110"/>
      <c r="DN23" s="110"/>
      <c r="DO23" s="110"/>
      <c r="DP23" s="110"/>
      <c r="DQ23" s="110"/>
      <c r="DR23" s="110"/>
      <c r="DS23" s="110"/>
      <c r="DT23" s="110"/>
      <c r="DU23" s="110"/>
      <c r="DV23" s="110"/>
      <c r="DW23" s="110"/>
      <c r="DX23" s="110"/>
      <c r="DY23" s="110"/>
      <c r="DZ23" s="110"/>
      <c r="EA23" s="110"/>
      <c r="EB23" s="110"/>
      <c r="EC23" s="110"/>
      <c r="ED23" s="110"/>
      <c r="EE23" s="110"/>
      <c r="EF23" s="110"/>
      <c r="EG23" s="110"/>
      <c r="EH23" s="110"/>
      <c r="EI23" s="110"/>
      <c r="EJ23" s="110"/>
      <c r="EK23" s="110"/>
      <c r="EL23" s="110"/>
      <c r="EM23" s="110"/>
      <c r="EN23" s="110"/>
      <c r="EO23" s="110"/>
      <c r="EP23" s="110"/>
      <c r="EQ23" s="110"/>
      <c r="ER23" s="110"/>
      <c r="ES23" s="110"/>
      <c r="ET23" s="110"/>
      <c r="EU23" s="110"/>
      <c r="EV23" s="110"/>
      <c r="EW23" s="110"/>
      <c r="EX23" s="110"/>
      <c r="EY23" s="110"/>
      <c r="EZ23" s="110"/>
      <c r="FA23" s="110"/>
      <c r="FB23" s="110"/>
      <c r="FC23" s="110"/>
      <c r="FD23" s="110"/>
      <c r="FE23" s="110"/>
      <c r="FF23" s="110"/>
      <c r="FG23" s="110"/>
      <c r="FH23" s="110"/>
      <c r="FI23" s="110"/>
      <c r="FJ23" s="110"/>
      <c r="FK23" s="110"/>
      <c r="FL23" s="110"/>
      <c r="FM23" s="110"/>
      <c r="FN23" s="110"/>
      <c r="FO23" s="110"/>
      <c r="FP23" s="110"/>
      <c r="FQ23" s="110"/>
      <c r="FR23" s="110"/>
      <c r="FS23" s="110"/>
      <c r="FT23" s="110"/>
      <c r="FU23" s="110"/>
      <c r="FV23" s="110"/>
      <c r="FW23" s="110"/>
      <c r="FX23" s="110"/>
      <c r="FY23" s="110"/>
      <c r="FZ23" s="110"/>
      <c r="GA23" s="110"/>
      <c r="GB23" s="110"/>
      <c r="GC23" s="110"/>
      <c r="GD23" s="110"/>
      <c r="GE23" s="110"/>
      <c r="GF23" s="110"/>
      <c r="GG23" s="110"/>
      <c r="GH23" s="110"/>
      <c r="GI23" s="110"/>
      <c r="GJ23" s="110"/>
      <c r="GK23" s="110"/>
      <c r="GL23" s="110"/>
      <c r="GM23" s="110"/>
      <c r="GN23" s="110"/>
      <c r="GO23" s="110"/>
      <c r="GP23" s="110"/>
      <c r="GQ23" s="110"/>
      <c r="GR23" s="110"/>
      <c r="GS23" s="110"/>
      <c r="GT23" s="110"/>
      <c r="GU23" s="110"/>
      <c r="GV23" s="110"/>
      <c r="GW23" s="110"/>
      <c r="GX23" s="110"/>
      <c r="GY23" s="110"/>
      <c r="GZ23" s="110"/>
      <c r="HA23" s="110"/>
      <c r="HB23" s="110"/>
      <c r="HC23" s="110"/>
      <c r="HD23" s="110"/>
      <c r="HE23" s="110"/>
      <c r="HF23" s="110"/>
      <c r="HG23" s="110"/>
      <c r="HH23" s="110"/>
      <c r="HI23" s="110"/>
      <c r="HJ23" s="110"/>
      <c r="HK23" s="110"/>
      <c r="HL23" s="110"/>
      <c r="HM23" s="110"/>
      <c r="HN23" s="110"/>
      <c r="HO23" s="110"/>
      <c r="HP23" s="110"/>
      <c r="HQ23" s="110"/>
      <c r="HR23" s="110"/>
      <c r="HS23" s="110"/>
      <c r="HT23" s="110"/>
      <c r="HU23" s="110"/>
      <c r="HV23" s="110"/>
      <c r="HW23" s="110"/>
      <c r="HX23" s="110"/>
      <c r="HY23" s="110"/>
      <c r="HZ23" s="110"/>
      <c r="IA23" s="110"/>
      <c r="IB23" s="110"/>
      <c r="IC23" s="110"/>
      <c r="ID23" s="110"/>
      <c r="IE23" s="110"/>
      <c r="IF23" s="110"/>
      <c r="IG23" s="110"/>
      <c r="IH23" s="110"/>
      <c r="II23" s="110"/>
      <c r="IJ23" s="110"/>
      <c r="IK23" s="110"/>
      <c r="IL23" s="110"/>
      <c r="IM23" s="110"/>
      <c r="IN23" s="110"/>
      <c r="IO23" s="110"/>
      <c r="IP23" s="110"/>
      <c r="IQ23" s="110"/>
      <c r="IR23" s="110"/>
      <c r="IS23" s="110"/>
      <c r="IT23" s="110"/>
      <c r="IU23" s="110"/>
      <c r="IV23" s="110"/>
      <c r="IW23" s="110"/>
    </row>
    <row r="24" spans="1:257" ht="15" thickBot="1" x14ac:dyDescent="0.35">
      <c r="A24" s="156"/>
      <c r="B24" s="115" t="str">
        <f>'Parameter Values'!B178</f>
        <v>Death and term sga</v>
      </c>
      <c r="C24" s="168">
        <f>'Parameter Values'!G178</f>
        <v>35652.833422457421</v>
      </c>
      <c r="D24" s="169">
        <f>'Parameter Values'!H178</f>
        <v>36664.00426033976</v>
      </c>
      <c r="E24" s="170">
        <f t="shared" si="0"/>
        <v>1011.1708378823387</v>
      </c>
      <c r="F24" s="156"/>
      <c r="G24" s="156"/>
      <c r="H24" s="156"/>
      <c r="I24" s="171" t="s">
        <v>758</v>
      </c>
      <c r="J24" s="172">
        <v>32261.486924643119</v>
      </c>
      <c r="K24" s="169">
        <v>32174.001910758947</v>
      </c>
      <c r="L24" s="170">
        <v>87.485013884172076</v>
      </c>
      <c r="M24" s="156"/>
      <c r="N24" s="156"/>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c r="BY24" s="110"/>
      <c r="BZ24" s="110"/>
      <c r="CA24" s="110"/>
      <c r="CB24" s="110"/>
      <c r="CC24" s="110"/>
      <c r="CD24" s="110"/>
      <c r="CE24" s="110"/>
      <c r="CF24" s="110"/>
      <c r="CG24" s="110"/>
      <c r="CH24" s="110"/>
      <c r="CI24" s="110"/>
      <c r="CJ24" s="110"/>
      <c r="CK24" s="110"/>
      <c r="CL24" s="110"/>
      <c r="CM24" s="110"/>
      <c r="CN24" s="110"/>
      <c r="CO24" s="110"/>
      <c r="CP24" s="110"/>
      <c r="CQ24" s="110"/>
      <c r="CR24" s="110"/>
      <c r="CS24" s="110"/>
      <c r="CT24" s="110"/>
      <c r="CU24" s="110"/>
      <c r="CV24" s="110"/>
      <c r="CW24" s="110"/>
      <c r="CX24" s="110"/>
      <c r="CY24" s="110"/>
      <c r="CZ24" s="110"/>
      <c r="DA24" s="110"/>
      <c r="DB24" s="110"/>
      <c r="DC24" s="110"/>
      <c r="DD24" s="110"/>
      <c r="DE24" s="110"/>
      <c r="DF24" s="110"/>
      <c r="DG24" s="110"/>
      <c r="DH24" s="110"/>
      <c r="DI24" s="110"/>
      <c r="DJ24" s="110"/>
      <c r="DK24" s="110"/>
      <c r="DL24" s="110"/>
      <c r="DM24" s="110"/>
      <c r="DN24" s="110"/>
      <c r="DO24" s="110"/>
      <c r="DP24" s="110"/>
      <c r="DQ24" s="110"/>
      <c r="DR24" s="110"/>
      <c r="DS24" s="110"/>
      <c r="DT24" s="110"/>
      <c r="DU24" s="110"/>
      <c r="DV24" s="110"/>
      <c r="DW24" s="110"/>
      <c r="DX24" s="110"/>
      <c r="DY24" s="110"/>
      <c r="DZ24" s="110"/>
      <c r="EA24" s="110"/>
      <c r="EB24" s="110"/>
      <c r="EC24" s="110"/>
      <c r="ED24" s="110"/>
      <c r="EE24" s="110"/>
      <c r="EF24" s="110"/>
      <c r="EG24" s="110"/>
      <c r="EH24" s="110"/>
      <c r="EI24" s="110"/>
      <c r="EJ24" s="110"/>
      <c r="EK24" s="110"/>
      <c r="EL24" s="110"/>
      <c r="EM24" s="110"/>
      <c r="EN24" s="110"/>
      <c r="EO24" s="110"/>
      <c r="EP24" s="110"/>
      <c r="EQ24" s="110"/>
      <c r="ER24" s="110"/>
      <c r="ES24" s="110"/>
      <c r="ET24" s="110"/>
      <c r="EU24" s="110"/>
      <c r="EV24" s="110"/>
      <c r="EW24" s="110"/>
      <c r="EX24" s="110"/>
      <c r="EY24" s="110"/>
      <c r="EZ24" s="110"/>
      <c r="FA24" s="110"/>
      <c r="FB24" s="110"/>
      <c r="FC24" s="110"/>
      <c r="FD24" s="110"/>
      <c r="FE24" s="110"/>
      <c r="FF24" s="110"/>
      <c r="FG24" s="110"/>
      <c r="FH24" s="110"/>
      <c r="FI24" s="110"/>
      <c r="FJ24" s="110"/>
      <c r="FK24" s="110"/>
      <c r="FL24" s="110"/>
      <c r="FM24" s="110"/>
      <c r="FN24" s="110"/>
      <c r="FO24" s="110"/>
      <c r="FP24" s="110"/>
      <c r="FQ24" s="110"/>
      <c r="FR24" s="110"/>
      <c r="FS24" s="110"/>
      <c r="FT24" s="110"/>
      <c r="FU24" s="110"/>
      <c r="FV24" s="110"/>
      <c r="FW24" s="110"/>
      <c r="FX24" s="110"/>
      <c r="FY24" s="110"/>
      <c r="FZ24" s="110"/>
      <c r="GA24" s="110"/>
      <c r="GB24" s="110"/>
      <c r="GC24" s="110"/>
      <c r="GD24" s="110"/>
      <c r="GE24" s="110"/>
      <c r="GF24" s="110"/>
      <c r="GG24" s="110"/>
      <c r="GH24" s="110"/>
      <c r="GI24" s="110"/>
      <c r="GJ24" s="110"/>
      <c r="GK24" s="110"/>
      <c r="GL24" s="110"/>
      <c r="GM24" s="110"/>
      <c r="GN24" s="110"/>
      <c r="GO24" s="110"/>
      <c r="GP24" s="110"/>
      <c r="GQ24" s="110"/>
      <c r="GR24" s="110"/>
      <c r="GS24" s="110"/>
      <c r="GT24" s="110"/>
      <c r="GU24" s="110"/>
      <c r="GV24" s="110"/>
      <c r="GW24" s="110"/>
      <c r="GX24" s="110"/>
      <c r="GY24" s="110"/>
      <c r="GZ24" s="110"/>
      <c r="HA24" s="110"/>
      <c r="HB24" s="110"/>
      <c r="HC24" s="110"/>
      <c r="HD24" s="110"/>
      <c r="HE24" s="110"/>
      <c r="HF24" s="110"/>
      <c r="HG24" s="110"/>
      <c r="HH24" s="110"/>
      <c r="HI24" s="110"/>
      <c r="HJ24" s="110"/>
      <c r="HK24" s="110"/>
      <c r="HL24" s="110"/>
      <c r="HM24" s="110"/>
      <c r="HN24" s="110"/>
      <c r="HO24" s="110"/>
      <c r="HP24" s="110"/>
      <c r="HQ24" s="110"/>
      <c r="HR24" s="110"/>
      <c r="HS24" s="110"/>
      <c r="HT24" s="110"/>
      <c r="HU24" s="110"/>
      <c r="HV24" s="110"/>
      <c r="HW24" s="110"/>
      <c r="HX24" s="110"/>
      <c r="HY24" s="110"/>
      <c r="HZ24" s="110"/>
      <c r="IA24" s="110"/>
      <c r="IB24" s="110"/>
      <c r="IC24" s="110"/>
      <c r="ID24" s="110"/>
      <c r="IE24" s="110"/>
      <c r="IF24" s="110"/>
      <c r="IG24" s="110"/>
      <c r="IH24" s="110"/>
      <c r="II24" s="110"/>
      <c r="IJ24" s="110"/>
      <c r="IK24" s="110"/>
      <c r="IL24" s="110"/>
      <c r="IM24" s="110"/>
      <c r="IN24" s="110"/>
      <c r="IO24" s="110"/>
      <c r="IP24" s="110"/>
      <c r="IQ24" s="110"/>
      <c r="IR24" s="110"/>
      <c r="IS24" s="110"/>
      <c r="IT24" s="110"/>
      <c r="IU24" s="110"/>
      <c r="IV24" s="110"/>
      <c r="IW24" s="110"/>
    </row>
    <row r="25" spans="1:257" ht="15" thickBot="1" x14ac:dyDescent="0.35">
      <c r="A25" s="156"/>
      <c r="B25" s="115" t="str">
        <f>'Parameter Values'!B179</f>
        <v>Death and prem aga</v>
      </c>
      <c r="C25" s="168">
        <f>'Parameter Values'!G179</f>
        <v>35874.496042530613</v>
      </c>
      <c r="D25" s="169">
        <f>'Parameter Values'!H179</f>
        <v>36442.341640266546</v>
      </c>
      <c r="E25" s="170">
        <f t="shared" si="0"/>
        <v>567.84559773593355</v>
      </c>
      <c r="F25" s="156"/>
      <c r="G25" s="156"/>
      <c r="H25" s="156"/>
      <c r="I25" s="171" t="s">
        <v>283</v>
      </c>
      <c r="J25" s="168">
        <v>32176.099227629165</v>
      </c>
      <c r="K25" s="173">
        <v>32259.389607773002</v>
      </c>
      <c r="L25" s="170">
        <v>83.290380143836956</v>
      </c>
      <c r="M25" s="156"/>
      <c r="N25" s="156"/>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c r="BY25" s="110"/>
      <c r="BZ25" s="110"/>
      <c r="CA25" s="110"/>
      <c r="CB25" s="110"/>
      <c r="CC25" s="110"/>
      <c r="CD25" s="110"/>
      <c r="CE25" s="110"/>
      <c r="CF25" s="110"/>
      <c r="CG25" s="110"/>
      <c r="CH25" s="110"/>
      <c r="CI25" s="110"/>
      <c r="CJ25" s="110"/>
      <c r="CK25" s="110"/>
      <c r="CL25" s="110"/>
      <c r="CM25" s="110"/>
      <c r="CN25" s="110"/>
      <c r="CO25" s="110"/>
      <c r="CP25" s="110"/>
      <c r="CQ25" s="110"/>
      <c r="CR25" s="110"/>
      <c r="CS25" s="110"/>
      <c r="CT25" s="110"/>
      <c r="CU25" s="110"/>
      <c r="CV25" s="110"/>
      <c r="CW25" s="110"/>
      <c r="CX25" s="110"/>
      <c r="CY25" s="110"/>
      <c r="CZ25" s="110"/>
      <c r="DA25" s="110"/>
      <c r="DB25" s="110"/>
      <c r="DC25" s="110"/>
      <c r="DD25" s="110"/>
      <c r="DE25" s="110"/>
      <c r="DF25" s="110"/>
      <c r="DG25" s="110"/>
      <c r="DH25" s="110"/>
      <c r="DI25" s="110"/>
      <c r="DJ25" s="110"/>
      <c r="DK25" s="110"/>
      <c r="DL25" s="110"/>
      <c r="DM25" s="110"/>
      <c r="DN25" s="110"/>
      <c r="DO25" s="110"/>
      <c r="DP25" s="110"/>
      <c r="DQ25" s="110"/>
      <c r="DR25" s="110"/>
      <c r="DS25" s="110"/>
      <c r="DT25" s="110"/>
      <c r="DU25" s="110"/>
      <c r="DV25" s="110"/>
      <c r="DW25" s="110"/>
      <c r="DX25" s="110"/>
      <c r="DY25" s="110"/>
      <c r="DZ25" s="110"/>
      <c r="EA25" s="110"/>
      <c r="EB25" s="110"/>
      <c r="EC25" s="110"/>
      <c r="ED25" s="110"/>
      <c r="EE25" s="110"/>
      <c r="EF25" s="110"/>
      <c r="EG25" s="110"/>
      <c r="EH25" s="110"/>
      <c r="EI25" s="110"/>
      <c r="EJ25" s="110"/>
      <c r="EK25" s="110"/>
      <c r="EL25" s="110"/>
      <c r="EM25" s="110"/>
      <c r="EN25" s="110"/>
      <c r="EO25" s="110"/>
      <c r="EP25" s="110"/>
      <c r="EQ25" s="110"/>
      <c r="ER25" s="110"/>
      <c r="ES25" s="110"/>
      <c r="ET25" s="110"/>
      <c r="EU25" s="110"/>
      <c r="EV25" s="110"/>
      <c r="EW25" s="110"/>
      <c r="EX25" s="110"/>
      <c r="EY25" s="110"/>
      <c r="EZ25" s="110"/>
      <c r="FA25" s="110"/>
      <c r="FB25" s="110"/>
      <c r="FC25" s="110"/>
      <c r="FD25" s="110"/>
      <c r="FE25" s="110"/>
      <c r="FF25" s="110"/>
      <c r="FG25" s="110"/>
      <c r="FH25" s="110"/>
      <c r="FI25" s="110"/>
      <c r="FJ25" s="110"/>
      <c r="FK25" s="110"/>
      <c r="FL25" s="110"/>
      <c r="FM25" s="110"/>
      <c r="FN25" s="110"/>
      <c r="FO25" s="110"/>
      <c r="FP25" s="110"/>
      <c r="FQ25" s="110"/>
      <c r="FR25" s="110"/>
      <c r="FS25" s="110"/>
      <c r="FT25" s="110"/>
      <c r="FU25" s="110"/>
      <c r="FV25" s="110"/>
      <c r="FW25" s="110"/>
      <c r="FX25" s="110"/>
      <c r="FY25" s="110"/>
      <c r="FZ25" s="110"/>
      <c r="GA25" s="110"/>
      <c r="GB25" s="110"/>
      <c r="GC25" s="110"/>
      <c r="GD25" s="110"/>
      <c r="GE25" s="110"/>
      <c r="GF25" s="110"/>
      <c r="GG25" s="110"/>
      <c r="GH25" s="110"/>
      <c r="GI25" s="110"/>
      <c r="GJ25" s="110"/>
      <c r="GK25" s="110"/>
      <c r="GL25" s="110"/>
      <c r="GM25" s="110"/>
      <c r="GN25" s="110"/>
      <c r="GO25" s="110"/>
      <c r="GP25" s="110"/>
      <c r="GQ25" s="110"/>
      <c r="GR25" s="110"/>
      <c r="GS25" s="110"/>
      <c r="GT25" s="110"/>
      <c r="GU25" s="110"/>
      <c r="GV25" s="110"/>
      <c r="GW25" s="110"/>
      <c r="GX25" s="110"/>
      <c r="GY25" s="110"/>
      <c r="GZ25" s="110"/>
      <c r="HA25" s="110"/>
      <c r="HB25" s="110"/>
      <c r="HC25" s="110"/>
      <c r="HD25" s="110"/>
      <c r="HE25" s="110"/>
      <c r="HF25" s="110"/>
      <c r="HG25" s="110"/>
      <c r="HH25" s="110"/>
      <c r="HI25" s="110"/>
      <c r="HJ25" s="110"/>
      <c r="HK25" s="110"/>
      <c r="HL25" s="110"/>
      <c r="HM25" s="110"/>
      <c r="HN25" s="110"/>
      <c r="HO25" s="110"/>
      <c r="HP25" s="110"/>
      <c r="HQ25" s="110"/>
      <c r="HR25" s="110"/>
      <c r="HS25" s="110"/>
      <c r="HT25" s="110"/>
      <c r="HU25" s="110"/>
      <c r="HV25" s="110"/>
      <c r="HW25" s="110"/>
      <c r="HX25" s="110"/>
      <c r="HY25" s="110"/>
      <c r="HZ25" s="110"/>
      <c r="IA25" s="110"/>
      <c r="IB25" s="110"/>
      <c r="IC25" s="110"/>
      <c r="ID25" s="110"/>
      <c r="IE25" s="110"/>
      <c r="IF25" s="110"/>
      <c r="IG25" s="110"/>
      <c r="IH25" s="110"/>
      <c r="II25" s="110"/>
      <c r="IJ25" s="110"/>
      <c r="IK25" s="110"/>
      <c r="IL25" s="110"/>
      <c r="IM25" s="110"/>
      <c r="IN25" s="110"/>
      <c r="IO25" s="110"/>
      <c r="IP25" s="110"/>
      <c r="IQ25" s="110"/>
      <c r="IR25" s="110"/>
      <c r="IS25" s="110"/>
      <c r="IT25" s="110"/>
      <c r="IU25" s="110"/>
      <c r="IV25" s="110"/>
      <c r="IW25" s="110"/>
    </row>
    <row r="26" spans="1:257" ht="15" thickBot="1" x14ac:dyDescent="0.35">
      <c r="A26" s="156"/>
      <c r="B26" s="115" t="str">
        <f>'Parameter Values'!B180</f>
        <v>Death and term aga</v>
      </c>
      <c r="C26" s="168">
        <f>'Parameter Values'!G180</f>
        <v>36321.93897340828</v>
      </c>
      <c r="D26" s="169">
        <f>'Parameter Values'!H180</f>
        <v>35994.898709388886</v>
      </c>
      <c r="E26" s="170">
        <f t="shared" si="0"/>
        <v>327.04026401939336</v>
      </c>
      <c r="F26" s="156"/>
      <c r="G26" s="156"/>
      <c r="H26" s="156"/>
      <c r="I26" s="171" t="s">
        <v>764</v>
      </c>
      <c r="J26" s="168">
        <v>32186.327901874829</v>
      </c>
      <c r="K26" s="173">
        <v>32249.160933527397</v>
      </c>
      <c r="L26" s="170">
        <v>62.833031652568025</v>
      </c>
      <c r="M26" s="156"/>
      <c r="N26" s="156"/>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c r="BY26" s="110"/>
      <c r="BZ26" s="110"/>
      <c r="CA26" s="110"/>
      <c r="CB26" s="110"/>
      <c r="CC26" s="110"/>
      <c r="CD26" s="110"/>
      <c r="CE26" s="110"/>
      <c r="CF26" s="110"/>
      <c r="CG26" s="110"/>
      <c r="CH26" s="110"/>
      <c r="CI26" s="110"/>
      <c r="CJ26" s="110"/>
      <c r="CK26" s="110"/>
      <c r="CL26" s="110"/>
      <c r="CM26" s="110"/>
      <c r="CN26" s="110"/>
      <c r="CO26" s="110"/>
      <c r="CP26" s="110"/>
      <c r="CQ26" s="110"/>
      <c r="CR26" s="110"/>
      <c r="CS26" s="110"/>
      <c r="CT26" s="110"/>
      <c r="CU26" s="110"/>
      <c r="CV26" s="110"/>
      <c r="CW26" s="110"/>
      <c r="CX26" s="110"/>
      <c r="CY26" s="110"/>
      <c r="CZ26" s="110"/>
      <c r="DA26" s="110"/>
      <c r="DB26" s="110"/>
      <c r="DC26" s="110"/>
      <c r="DD26" s="110"/>
      <c r="DE26" s="110"/>
      <c r="DF26" s="110"/>
      <c r="DG26" s="110"/>
      <c r="DH26" s="110"/>
      <c r="DI26" s="110"/>
      <c r="DJ26" s="110"/>
      <c r="DK26" s="110"/>
      <c r="DL26" s="110"/>
      <c r="DM26" s="110"/>
      <c r="DN26" s="110"/>
      <c r="DO26" s="110"/>
      <c r="DP26" s="110"/>
      <c r="DQ26" s="110"/>
      <c r="DR26" s="110"/>
      <c r="DS26" s="110"/>
      <c r="DT26" s="110"/>
      <c r="DU26" s="110"/>
      <c r="DV26" s="110"/>
      <c r="DW26" s="110"/>
      <c r="DX26" s="110"/>
      <c r="DY26" s="110"/>
      <c r="DZ26" s="110"/>
      <c r="EA26" s="110"/>
      <c r="EB26" s="110"/>
      <c r="EC26" s="110"/>
      <c r="ED26" s="110"/>
      <c r="EE26" s="110"/>
      <c r="EF26" s="110"/>
      <c r="EG26" s="110"/>
      <c r="EH26" s="110"/>
      <c r="EI26" s="110"/>
      <c r="EJ26" s="110"/>
      <c r="EK26" s="110"/>
      <c r="EL26" s="110"/>
      <c r="EM26" s="110"/>
      <c r="EN26" s="110"/>
      <c r="EO26" s="110"/>
      <c r="EP26" s="110"/>
      <c r="EQ26" s="110"/>
      <c r="ER26" s="110"/>
      <c r="ES26" s="110"/>
      <c r="ET26" s="110"/>
      <c r="EU26" s="110"/>
      <c r="EV26" s="110"/>
      <c r="EW26" s="110"/>
      <c r="EX26" s="110"/>
      <c r="EY26" s="110"/>
      <c r="EZ26" s="110"/>
      <c r="FA26" s="110"/>
      <c r="FB26" s="110"/>
      <c r="FC26" s="110"/>
      <c r="FD26" s="110"/>
      <c r="FE26" s="110"/>
      <c r="FF26" s="110"/>
      <c r="FG26" s="110"/>
      <c r="FH26" s="110"/>
      <c r="FI26" s="110"/>
      <c r="FJ26" s="110"/>
      <c r="FK26" s="110"/>
      <c r="FL26" s="110"/>
      <c r="FM26" s="110"/>
      <c r="FN26" s="110"/>
      <c r="FO26" s="110"/>
      <c r="FP26" s="110"/>
      <c r="FQ26" s="110"/>
      <c r="FR26" s="110"/>
      <c r="FS26" s="110"/>
      <c r="FT26" s="110"/>
      <c r="FU26" s="110"/>
      <c r="FV26" s="110"/>
      <c r="FW26" s="110"/>
      <c r="FX26" s="110"/>
      <c r="FY26" s="110"/>
      <c r="FZ26" s="110"/>
      <c r="GA26" s="110"/>
      <c r="GB26" s="110"/>
      <c r="GC26" s="110"/>
      <c r="GD26" s="110"/>
      <c r="GE26" s="110"/>
      <c r="GF26" s="110"/>
      <c r="GG26" s="110"/>
      <c r="GH26" s="110"/>
      <c r="GI26" s="110"/>
      <c r="GJ26" s="110"/>
      <c r="GK26" s="110"/>
      <c r="GL26" s="110"/>
      <c r="GM26" s="110"/>
      <c r="GN26" s="110"/>
      <c r="GO26" s="110"/>
      <c r="GP26" s="110"/>
      <c r="GQ26" s="110"/>
      <c r="GR26" s="110"/>
      <c r="GS26" s="110"/>
      <c r="GT26" s="110"/>
      <c r="GU26" s="110"/>
      <c r="GV26" s="110"/>
      <c r="GW26" s="110"/>
      <c r="GX26" s="110"/>
      <c r="GY26" s="110"/>
      <c r="GZ26" s="110"/>
      <c r="HA26" s="110"/>
      <c r="HB26" s="110"/>
      <c r="HC26" s="110"/>
      <c r="HD26" s="110"/>
      <c r="HE26" s="110"/>
      <c r="HF26" s="110"/>
      <c r="HG26" s="110"/>
      <c r="HH26" s="110"/>
      <c r="HI26" s="110"/>
      <c r="HJ26" s="110"/>
      <c r="HK26" s="110"/>
      <c r="HL26" s="110"/>
      <c r="HM26" s="110"/>
      <c r="HN26" s="110"/>
      <c r="HO26" s="110"/>
      <c r="HP26" s="110"/>
      <c r="HQ26" s="110"/>
      <c r="HR26" s="110"/>
      <c r="HS26" s="110"/>
      <c r="HT26" s="110"/>
      <c r="HU26" s="110"/>
      <c r="HV26" s="110"/>
      <c r="HW26" s="110"/>
      <c r="HX26" s="110"/>
      <c r="HY26" s="110"/>
      <c r="HZ26" s="110"/>
      <c r="IA26" s="110"/>
      <c r="IB26" s="110"/>
      <c r="IC26" s="110"/>
      <c r="ID26" s="110"/>
      <c r="IE26" s="110"/>
      <c r="IF26" s="110"/>
      <c r="IG26" s="110"/>
      <c r="IH26" s="110"/>
      <c r="II26" s="110"/>
      <c r="IJ26" s="110"/>
      <c r="IK26" s="110"/>
      <c r="IL26" s="110"/>
      <c r="IM26" s="110"/>
      <c r="IN26" s="110"/>
      <c r="IO26" s="110"/>
      <c r="IP26" s="110"/>
      <c r="IQ26" s="110"/>
      <c r="IR26" s="110"/>
      <c r="IS26" s="110"/>
      <c r="IT26" s="110"/>
      <c r="IU26" s="110"/>
      <c r="IV26" s="110"/>
      <c r="IW26" s="110"/>
    </row>
    <row r="27" spans="1:257" ht="15" thickBot="1" x14ac:dyDescent="0.35">
      <c r="A27" s="156"/>
      <c r="B27" s="115" t="str">
        <f>'Parameter Values'!B181</f>
        <v>RDS prem</v>
      </c>
      <c r="C27" s="168">
        <f>'Parameter Values'!G181</f>
        <v>35795.975304675601</v>
      </c>
      <c r="D27" s="169">
        <f>'Parameter Values'!H181</f>
        <v>36496.699475673311</v>
      </c>
      <c r="E27" s="170">
        <f t="shared" si="0"/>
        <v>700.72417099770973</v>
      </c>
      <c r="F27" s="156"/>
      <c r="G27" s="156"/>
      <c r="H27" s="156"/>
      <c r="I27" s="171" t="s">
        <v>756</v>
      </c>
      <c r="J27" s="168">
        <v>32240.696450574935</v>
      </c>
      <c r="K27" s="173">
        <v>32194.792384827175</v>
      </c>
      <c r="L27" s="170">
        <v>45.904065747759887</v>
      </c>
      <c r="M27" s="156"/>
      <c r="N27" s="156"/>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c r="BY27" s="110"/>
      <c r="BZ27" s="110"/>
      <c r="CA27" s="110"/>
      <c r="CB27" s="110"/>
      <c r="CC27" s="110"/>
      <c r="CD27" s="110"/>
      <c r="CE27" s="110"/>
      <c r="CF27" s="110"/>
      <c r="CG27" s="110"/>
      <c r="CH27" s="110"/>
      <c r="CI27" s="110"/>
      <c r="CJ27" s="110"/>
      <c r="CK27" s="110"/>
      <c r="CL27" s="110"/>
      <c r="CM27" s="110"/>
      <c r="CN27" s="110"/>
      <c r="CO27" s="110"/>
      <c r="CP27" s="110"/>
      <c r="CQ27" s="110"/>
      <c r="CR27" s="110"/>
      <c r="CS27" s="110"/>
      <c r="CT27" s="110"/>
      <c r="CU27" s="110"/>
      <c r="CV27" s="110"/>
      <c r="CW27" s="110"/>
      <c r="CX27" s="110"/>
      <c r="CY27" s="110"/>
      <c r="CZ27" s="110"/>
      <c r="DA27" s="110"/>
      <c r="DB27" s="110"/>
      <c r="DC27" s="110"/>
      <c r="DD27" s="110"/>
      <c r="DE27" s="110"/>
      <c r="DF27" s="110"/>
      <c r="DG27" s="110"/>
      <c r="DH27" s="110"/>
      <c r="DI27" s="110"/>
      <c r="DJ27" s="110"/>
      <c r="DK27" s="110"/>
      <c r="DL27" s="110"/>
      <c r="DM27" s="110"/>
      <c r="DN27" s="110"/>
      <c r="DO27" s="110"/>
      <c r="DP27" s="110"/>
      <c r="DQ27" s="110"/>
      <c r="DR27" s="110"/>
      <c r="DS27" s="110"/>
      <c r="DT27" s="110"/>
      <c r="DU27" s="110"/>
      <c r="DV27" s="110"/>
      <c r="DW27" s="110"/>
      <c r="DX27" s="110"/>
      <c r="DY27" s="110"/>
      <c r="DZ27" s="110"/>
      <c r="EA27" s="110"/>
      <c r="EB27" s="110"/>
      <c r="EC27" s="110"/>
      <c r="ED27" s="110"/>
      <c r="EE27" s="110"/>
      <c r="EF27" s="110"/>
      <c r="EG27" s="110"/>
      <c r="EH27" s="110"/>
      <c r="EI27" s="110"/>
      <c r="EJ27" s="110"/>
      <c r="EK27" s="110"/>
      <c r="EL27" s="110"/>
      <c r="EM27" s="110"/>
      <c r="EN27" s="110"/>
      <c r="EO27" s="110"/>
      <c r="EP27" s="110"/>
      <c r="EQ27" s="110"/>
      <c r="ER27" s="110"/>
      <c r="ES27" s="110"/>
      <c r="ET27" s="110"/>
      <c r="EU27" s="110"/>
      <c r="EV27" s="110"/>
      <c r="EW27" s="110"/>
      <c r="EX27" s="110"/>
      <c r="EY27" s="110"/>
      <c r="EZ27" s="110"/>
      <c r="FA27" s="110"/>
      <c r="FB27" s="110"/>
      <c r="FC27" s="110"/>
      <c r="FD27" s="110"/>
      <c r="FE27" s="110"/>
      <c r="FF27" s="110"/>
      <c r="FG27" s="110"/>
      <c r="FH27" s="110"/>
      <c r="FI27" s="110"/>
      <c r="FJ27" s="110"/>
      <c r="FK27" s="110"/>
      <c r="FL27" s="110"/>
      <c r="FM27" s="110"/>
      <c r="FN27" s="110"/>
      <c r="FO27" s="110"/>
      <c r="FP27" s="110"/>
      <c r="FQ27" s="110"/>
      <c r="FR27" s="110"/>
      <c r="FS27" s="110"/>
      <c r="FT27" s="110"/>
      <c r="FU27" s="110"/>
      <c r="FV27" s="110"/>
      <c r="FW27" s="110"/>
      <c r="FX27" s="110"/>
      <c r="FY27" s="110"/>
      <c r="FZ27" s="110"/>
      <c r="GA27" s="110"/>
      <c r="GB27" s="110"/>
      <c r="GC27" s="110"/>
      <c r="GD27" s="110"/>
      <c r="GE27" s="110"/>
      <c r="GF27" s="110"/>
      <c r="GG27" s="110"/>
      <c r="GH27" s="110"/>
      <c r="GI27" s="110"/>
      <c r="GJ27" s="110"/>
      <c r="GK27" s="110"/>
      <c r="GL27" s="110"/>
      <c r="GM27" s="110"/>
      <c r="GN27" s="110"/>
      <c r="GO27" s="110"/>
      <c r="GP27" s="110"/>
      <c r="GQ27" s="110"/>
      <c r="GR27" s="110"/>
      <c r="GS27" s="110"/>
      <c r="GT27" s="110"/>
      <c r="GU27" s="110"/>
      <c r="GV27" s="110"/>
      <c r="GW27" s="110"/>
      <c r="GX27" s="110"/>
      <c r="GY27" s="110"/>
      <c r="GZ27" s="110"/>
      <c r="HA27" s="110"/>
      <c r="HB27" s="110"/>
      <c r="HC27" s="110"/>
      <c r="HD27" s="110"/>
      <c r="HE27" s="110"/>
      <c r="HF27" s="110"/>
      <c r="HG27" s="110"/>
      <c r="HH27" s="110"/>
      <c r="HI27" s="110"/>
      <c r="HJ27" s="110"/>
      <c r="HK27" s="110"/>
      <c r="HL27" s="110"/>
      <c r="HM27" s="110"/>
      <c r="HN27" s="110"/>
      <c r="HO27" s="110"/>
      <c r="HP27" s="110"/>
      <c r="HQ27" s="110"/>
      <c r="HR27" s="110"/>
      <c r="HS27" s="110"/>
      <c r="HT27" s="110"/>
      <c r="HU27" s="110"/>
      <c r="HV27" s="110"/>
      <c r="HW27" s="110"/>
      <c r="HX27" s="110"/>
      <c r="HY27" s="110"/>
      <c r="HZ27" s="110"/>
      <c r="IA27" s="110"/>
      <c r="IB27" s="110"/>
      <c r="IC27" s="110"/>
      <c r="ID27" s="110"/>
      <c r="IE27" s="110"/>
      <c r="IF27" s="110"/>
      <c r="IG27" s="110"/>
      <c r="IH27" s="110"/>
      <c r="II27" s="110"/>
      <c r="IJ27" s="110"/>
      <c r="IK27" s="110"/>
      <c r="IL27" s="110"/>
      <c r="IM27" s="110"/>
      <c r="IN27" s="110"/>
      <c r="IO27" s="110"/>
      <c r="IP27" s="110"/>
      <c r="IQ27" s="110"/>
      <c r="IR27" s="110"/>
      <c r="IS27" s="110"/>
      <c r="IT27" s="110"/>
      <c r="IU27" s="110"/>
      <c r="IV27" s="110"/>
      <c r="IW27" s="110"/>
    </row>
    <row r="28" spans="1:257" ht="15" thickBot="1" x14ac:dyDescent="0.35">
      <c r="A28" s="156"/>
      <c r="B28" s="115" t="str">
        <f>'Parameter Values'!B182</f>
        <v>Hypoglycaemia prem sga</v>
      </c>
      <c r="C28" s="168">
        <f>'Parameter Values'!G182</f>
        <v>36119.081180014698</v>
      </c>
      <c r="D28" s="169">
        <f>'Parameter Values'!H182</f>
        <v>36197.756502782519</v>
      </c>
      <c r="E28" s="170">
        <f t="shared" si="0"/>
        <v>78.675322767820035</v>
      </c>
      <c r="F28" s="156"/>
      <c r="G28" s="156"/>
      <c r="H28" s="156"/>
      <c r="I28" s="171" t="s">
        <v>760</v>
      </c>
      <c r="J28" s="168">
        <v>32234.592396316453</v>
      </c>
      <c r="K28" s="173">
        <v>32200.896439085569</v>
      </c>
      <c r="L28" s="170">
        <v>33.695957230884233</v>
      </c>
      <c r="M28" s="156"/>
      <c r="N28" s="156"/>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c r="BY28" s="110"/>
      <c r="BZ28" s="110"/>
      <c r="CA28" s="110"/>
      <c r="CB28" s="110"/>
      <c r="CC28" s="110"/>
      <c r="CD28" s="110"/>
      <c r="CE28" s="110"/>
      <c r="CF28" s="110"/>
      <c r="CG28" s="110"/>
      <c r="CH28" s="110"/>
      <c r="CI28" s="110"/>
      <c r="CJ28" s="110"/>
      <c r="CK28" s="110"/>
      <c r="CL28" s="110"/>
      <c r="CM28" s="110"/>
      <c r="CN28" s="110"/>
      <c r="CO28" s="110"/>
      <c r="CP28" s="110"/>
      <c r="CQ28" s="110"/>
      <c r="CR28" s="110"/>
      <c r="CS28" s="110"/>
      <c r="CT28" s="110"/>
      <c r="CU28" s="110"/>
      <c r="CV28" s="110"/>
      <c r="CW28" s="110"/>
      <c r="CX28" s="110"/>
      <c r="CY28" s="110"/>
      <c r="CZ28" s="110"/>
      <c r="DA28" s="110"/>
      <c r="DB28" s="110"/>
      <c r="DC28" s="110"/>
      <c r="DD28" s="110"/>
      <c r="DE28" s="110"/>
      <c r="DF28" s="110"/>
      <c r="DG28" s="110"/>
      <c r="DH28" s="110"/>
      <c r="DI28" s="110"/>
      <c r="DJ28" s="110"/>
      <c r="DK28" s="110"/>
      <c r="DL28" s="110"/>
      <c r="DM28" s="110"/>
      <c r="DN28" s="110"/>
      <c r="DO28" s="110"/>
      <c r="DP28" s="110"/>
      <c r="DQ28" s="110"/>
      <c r="DR28" s="110"/>
      <c r="DS28" s="110"/>
      <c r="DT28" s="110"/>
      <c r="DU28" s="110"/>
      <c r="DV28" s="110"/>
      <c r="DW28" s="110"/>
      <c r="DX28" s="110"/>
      <c r="DY28" s="110"/>
      <c r="DZ28" s="110"/>
      <c r="EA28" s="110"/>
      <c r="EB28" s="110"/>
      <c r="EC28" s="110"/>
      <c r="ED28" s="110"/>
      <c r="EE28" s="110"/>
      <c r="EF28" s="110"/>
      <c r="EG28" s="110"/>
      <c r="EH28" s="110"/>
      <c r="EI28" s="110"/>
      <c r="EJ28" s="110"/>
      <c r="EK28" s="110"/>
      <c r="EL28" s="110"/>
      <c r="EM28" s="110"/>
      <c r="EN28" s="110"/>
      <c r="EO28" s="110"/>
      <c r="EP28" s="110"/>
      <c r="EQ28" s="110"/>
      <c r="ER28" s="110"/>
      <c r="ES28" s="110"/>
      <c r="ET28" s="110"/>
      <c r="EU28" s="110"/>
      <c r="EV28" s="110"/>
      <c r="EW28" s="110"/>
      <c r="EX28" s="110"/>
      <c r="EY28" s="110"/>
      <c r="EZ28" s="110"/>
      <c r="FA28" s="110"/>
      <c r="FB28" s="110"/>
      <c r="FC28" s="110"/>
      <c r="FD28" s="110"/>
      <c r="FE28" s="110"/>
      <c r="FF28" s="110"/>
      <c r="FG28" s="110"/>
      <c r="FH28" s="110"/>
      <c r="FI28" s="110"/>
      <c r="FJ28" s="110"/>
      <c r="FK28" s="110"/>
      <c r="FL28" s="110"/>
      <c r="FM28" s="110"/>
      <c r="FN28" s="110"/>
      <c r="FO28" s="110"/>
      <c r="FP28" s="110"/>
      <c r="FQ28" s="110"/>
      <c r="FR28" s="110"/>
      <c r="FS28" s="110"/>
      <c r="FT28" s="110"/>
      <c r="FU28" s="110"/>
      <c r="FV28" s="110"/>
      <c r="FW28" s="110"/>
      <c r="FX28" s="110"/>
      <c r="FY28" s="110"/>
      <c r="FZ28" s="110"/>
      <c r="GA28" s="110"/>
      <c r="GB28" s="110"/>
      <c r="GC28" s="110"/>
      <c r="GD28" s="110"/>
      <c r="GE28" s="110"/>
      <c r="GF28" s="110"/>
      <c r="GG28" s="110"/>
      <c r="GH28" s="110"/>
      <c r="GI28" s="110"/>
      <c r="GJ28" s="110"/>
      <c r="GK28" s="110"/>
      <c r="GL28" s="110"/>
      <c r="GM28" s="110"/>
      <c r="GN28" s="110"/>
      <c r="GO28" s="110"/>
      <c r="GP28" s="110"/>
      <c r="GQ28" s="110"/>
      <c r="GR28" s="110"/>
      <c r="GS28" s="110"/>
      <c r="GT28" s="110"/>
      <c r="GU28" s="110"/>
      <c r="GV28" s="110"/>
      <c r="GW28" s="110"/>
      <c r="GX28" s="110"/>
      <c r="GY28" s="110"/>
      <c r="GZ28" s="110"/>
      <c r="HA28" s="110"/>
      <c r="HB28" s="110"/>
      <c r="HC28" s="110"/>
      <c r="HD28" s="110"/>
      <c r="HE28" s="110"/>
      <c r="HF28" s="110"/>
      <c r="HG28" s="110"/>
      <c r="HH28" s="110"/>
      <c r="HI28" s="110"/>
      <c r="HJ28" s="110"/>
      <c r="HK28" s="110"/>
      <c r="HL28" s="110"/>
      <c r="HM28" s="110"/>
      <c r="HN28" s="110"/>
      <c r="HO28" s="110"/>
      <c r="HP28" s="110"/>
      <c r="HQ28" s="110"/>
      <c r="HR28" s="110"/>
      <c r="HS28" s="110"/>
      <c r="HT28" s="110"/>
      <c r="HU28" s="110"/>
      <c r="HV28" s="110"/>
      <c r="HW28" s="110"/>
      <c r="HX28" s="110"/>
      <c r="HY28" s="110"/>
      <c r="HZ28" s="110"/>
      <c r="IA28" s="110"/>
      <c r="IB28" s="110"/>
      <c r="IC28" s="110"/>
      <c r="ID28" s="110"/>
      <c r="IE28" s="110"/>
      <c r="IF28" s="110"/>
      <c r="IG28" s="110"/>
      <c r="IH28" s="110"/>
      <c r="II28" s="110"/>
      <c r="IJ28" s="110"/>
      <c r="IK28" s="110"/>
      <c r="IL28" s="110"/>
      <c r="IM28" s="110"/>
      <c r="IN28" s="110"/>
      <c r="IO28" s="110"/>
      <c r="IP28" s="110"/>
      <c r="IQ28" s="110"/>
      <c r="IR28" s="110"/>
      <c r="IS28" s="110"/>
      <c r="IT28" s="110"/>
      <c r="IU28" s="110"/>
      <c r="IV28" s="110"/>
      <c r="IW28" s="110"/>
    </row>
    <row r="29" spans="1:257" ht="15" thickBot="1" x14ac:dyDescent="0.35">
      <c r="A29" s="156"/>
      <c r="B29" s="115" t="str">
        <f>'Parameter Values'!B183</f>
        <v>Hypoglycaemia term sga</v>
      </c>
      <c r="C29" s="168">
        <f>'Parameter Values'!G183</f>
        <v>35998.471588198066</v>
      </c>
      <c r="D29" s="169">
        <f>'Parameter Values'!H183</f>
        <v>36318.366094599041</v>
      </c>
      <c r="E29" s="170">
        <f t="shared" si="0"/>
        <v>319.89450640097493</v>
      </c>
      <c r="F29" s="156"/>
      <c r="G29" s="156"/>
      <c r="H29" s="156"/>
      <c r="I29" s="171" t="s">
        <v>675</v>
      </c>
      <c r="J29" s="168">
        <v>32234.48085914168</v>
      </c>
      <c r="K29" s="173">
        <v>32202.123739023198</v>
      </c>
      <c r="L29" s="170">
        <v>32.357120118482271</v>
      </c>
      <c r="M29" s="156"/>
      <c r="N29" s="156"/>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c r="BY29" s="110"/>
      <c r="BZ29" s="110"/>
      <c r="CA29" s="110"/>
      <c r="CB29" s="110"/>
      <c r="CC29" s="110"/>
      <c r="CD29" s="110"/>
      <c r="CE29" s="110"/>
      <c r="CF29" s="110"/>
      <c r="CG29" s="110"/>
      <c r="CH29" s="110"/>
      <c r="CI29" s="110"/>
      <c r="CJ29" s="110"/>
      <c r="CK29" s="110"/>
      <c r="CL29" s="110"/>
      <c r="CM29" s="110"/>
      <c r="CN29" s="110"/>
      <c r="CO29" s="110"/>
      <c r="CP29" s="110"/>
      <c r="CQ29" s="110"/>
      <c r="CR29" s="110"/>
      <c r="CS29" s="110"/>
      <c r="CT29" s="110"/>
      <c r="CU29" s="110"/>
      <c r="CV29" s="110"/>
      <c r="CW29" s="110"/>
      <c r="CX29" s="110"/>
      <c r="CY29" s="110"/>
      <c r="CZ29" s="110"/>
      <c r="DA29" s="110"/>
      <c r="DB29" s="110"/>
      <c r="DC29" s="110"/>
      <c r="DD29" s="110"/>
      <c r="DE29" s="110"/>
      <c r="DF29" s="110"/>
      <c r="DG29" s="110"/>
      <c r="DH29" s="110"/>
      <c r="DI29" s="110"/>
      <c r="DJ29" s="110"/>
      <c r="DK29" s="110"/>
      <c r="DL29" s="110"/>
      <c r="DM29" s="110"/>
      <c r="DN29" s="110"/>
      <c r="DO29" s="110"/>
      <c r="DP29" s="110"/>
      <c r="DQ29" s="110"/>
      <c r="DR29" s="110"/>
      <c r="DS29" s="110"/>
      <c r="DT29" s="110"/>
      <c r="DU29" s="110"/>
      <c r="DV29" s="110"/>
      <c r="DW29" s="110"/>
      <c r="DX29" s="110"/>
      <c r="DY29" s="110"/>
      <c r="DZ29" s="110"/>
      <c r="EA29" s="110"/>
      <c r="EB29" s="110"/>
      <c r="EC29" s="110"/>
      <c r="ED29" s="110"/>
      <c r="EE29" s="110"/>
      <c r="EF29" s="110"/>
      <c r="EG29" s="110"/>
      <c r="EH29" s="110"/>
      <c r="EI29" s="110"/>
      <c r="EJ29" s="110"/>
      <c r="EK29" s="110"/>
      <c r="EL29" s="110"/>
      <c r="EM29" s="110"/>
      <c r="EN29" s="110"/>
      <c r="EO29" s="110"/>
      <c r="EP29" s="110"/>
      <c r="EQ29" s="110"/>
      <c r="ER29" s="110"/>
      <c r="ES29" s="110"/>
      <c r="ET29" s="110"/>
      <c r="EU29" s="110"/>
      <c r="EV29" s="110"/>
      <c r="EW29" s="110"/>
      <c r="EX29" s="110"/>
      <c r="EY29" s="110"/>
      <c r="EZ29" s="110"/>
      <c r="FA29" s="110"/>
      <c r="FB29" s="110"/>
      <c r="FC29" s="110"/>
      <c r="FD29" s="110"/>
      <c r="FE29" s="110"/>
      <c r="FF29" s="110"/>
      <c r="FG29" s="110"/>
      <c r="FH29" s="110"/>
      <c r="FI29" s="110"/>
      <c r="FJ29" s="110"/>
      <c r="FK29" s="110"/>
      <c r="FL29" s="110"/>
      <c r="FM29" s="110"/>
      <c r="FN29" s="110"/>
      <c r="FO29" s="110"/>
      <c r="FP29" s="110"/>
      <c r="FQ29" s="110"/>
      <c r="FR29" s="110"/>
      <c r="FS29" s="110"/>
      <c r="FT29" s="110"/>
      <c r="FU29" s="110"/>
      <c r="FV29" s="110"/>
      <c r="FW29" s="110"/>
      <c r="FX29" s="110"/>
      <c r="FY29" s="110"/>
      <c r="FZ29" s="110"/>
      <c r="GA29" s="110"/>
      <c r="GB29" s="110"/>
      <c r="GC29" s="110"/>
      <c r="GD29" s="110"/>
      <c r="GE29" s="110"/>
      <c r="GF29" s="110"/>
      <c r="GG29" s="110"/>
      <c r="GH29" s="110"/>
      <c r="GI29" s="110"/>
      <c r="GJ29" s="110"/>
      <c r="GK29" s="110"/>
      <c r="GL29" s="110"/>
      <c r="GM29" s="110"/>
      <c r="GN29" s="110"/>
      <c r="GO29" s="110"/>
      <c r="GP29" s="110"/>
      <c r="GQ29" s="110"/>
      <c r="GR29" s="110"/>
      <c r="GS29" s="110"/>
      <c r="GT29" s="110"/>
      <c r="GU29" s="110"/>
      <c r="GV29" s="110"/>
      <c r="GW29" s="110"/>
      <c r="GX29" s="110"/>
      <c r="GY29" s="110"/>
      <c r="GZ29" s="110"/>
      <c r="HA29" s="110"/>
      <c r="HB29" s="110"/>
      <c r="HC29" s="110"/>
      <c r="HD29" s="110"/>
      <c r="HE29" s="110"/>
      <c r="HF29" s="110"/>
      <c r="HG29" s="110"/>
      <c r="HH29" s="110"/>
      <c r="HI29" s="110"/>
      <c r="HJ29" s="110"/>
      <c r="HK29" s="110"/>
      <c r="HL29" s="110"/>
      <c r="HM29" s="110"/>
      <c r="HN29" s="110"/>
      <c r="HO29" s="110"/>
      <c r="HP29" s="110"/>
      <c r="HQ29" s="110"/>
      <c r="HR29" s="110"/>
      <c r="HS29" s="110"/>
      <c r="HT29" s="110"/>
      <c r="HU29" s="110"/>
      <c r="HV29" s="110"/>
      <c r="HW29" s="110"/>
      <c r="HX29" s="110"/>
      <c r="HY29" s="110"/>
      <c r="HZ29" s="110"/>
      <c r="IA29" s="110"/>
      <c r="IB29" s="110"/>
      <c r="IC29" s="110"/>
      <c r="ID29" s="110"/>
      <c r="IE29" s="110"/>
      <c r="IF29" s="110"/>
      <c r="IG29" s="110"/>
      <c r="IH29" s="110"/>
      <c r="II29" s="110"/>
      <c r="IJ29" s="110"/>
      <c r="IK29" s="110"/>
      <c r="IL29" s="110"/>
      <c r="IM29" s="110"/>
      <c r="IN29" s="110"/>
      <c r="IO29" s="110"/>
      <c r="IP29" s="110"/>
      <c r="IQ29" s="110"/>
      <c r="IR29" s="110"/>
      <c r="IS29" s="110"/>
      <c r="IT29" s="110"/>
      <c r="IU29" s="110"/>
      <c r="IV29" s="110"/>
      <c r="IW29" s="110"/>
    </row>
    <row r="30" spans="1:257" ht="15" thickBot="1" x14ac:dyDescent="0.35">
      <c r="A30" s="156"/>
      <c r="B30" s="115" t="str">
        <f>'Parameter Values'!B184</f>
        <v>Hypoglycaemia prem sga</v>
      </c>
      <c r="C30" s="168">
        <f>'Parameter Values'!G184</f>
        <v>36143.240160915571</v>
      </c>
      <c r="D30" s="169">
        <f>'Parameter Values'!H184</f>
        <v>36172.585609849455</v>
      </c>
      <c r="E30" s="170">
        <f t="shared" si="0"/>
        <v>29.345448933883745</v>
      </c>
      <c r="F30" s="156"/>
      <c r="G30" s="156"/>
      <c r="H30" s="156"/>
      <c r="I30" s="171" t="s">
        <v>316</v>
      </c>
      <c r="J30" s="168">
        <v>32232.766571617482</v>
      </c>
      <c r="K30" s="173">
        <v>32201.908563780904</v>
      </c>
      <c r="L30" s="170">
        <v>30.858007836577599</v>
      </c>
      <c r="M30" s="156"/>
      <c r="N30" s="156"/>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c r="BY30" s="110"/>
      <c r="BZ30" s="110"/>
      <c r="CA30" s="110"/>
      <c r="CB30" s="110"/>
      <c r="CC30" s="110"/>
      <c r="CD30" s="110"/>
      <c r="CE30" s="110"/>
      <c r="CF30" s="110"/>
      <c r="CG30" s="110"/>
      <c r="CH30" s="110"/>
      <c r="CI30" s="110"/>
      <c r="CJ30" s="110"/>
      <c r="CK30" s="110"/>
      <c r="CL30" s="110"/>
      <c r="CM30" s="110"/>
      <c r="CN30" s="110"/>
      <c r="CO30" s="110"/>
      <c r="CP30" s="110"/>
      <c r="CQ30" s="110"/>
      <c r="CR30" s="110"/>
      <c r="CS30" s="110"/>
      <c r="CT30" s="110"/>
      <c r="CU30" s="110"/>
      <c r="CV30" s="110"/>
      <c r="CW30" s="110"/>
      <c r="CX30" s="110"/>
      <c r="CY30" s="110"/>
      <c r="CZ30" s="110"/>
      <c r="DA30" s="110"/>
      <c r="DB30" s="110"/>
      <c r="DC30" s="110"/>
      <c r="DD30" s="110"/>
      <c r="DE30" s="110"/>
      <c r="DF30" s="110"/>
      <c r="DG30" s="110"/>
      <c r="DH30" s="110"/>
      <c r="DI30" s="110"/>
      <c r="DJ30" s="110"/>
      <c r="DK30" s="110"/>
      <c r="DL30" s="110"/>
      <c r="DM30" s="110"/>
      <c r="DN30" s="110"/>
      <c r="DO30" s="110"/>
      <c r="DP30" s="110"/>
      <c r="DQ30" s="110"/>
      <c r="DR30" s="110"/>
      <c r="DS30" s="110"/>
      <c r="DT30" s="110"/>
      <c r="DU30" s="110"/>
      <c r="DV30" s="110"/>
      <c r="DW30" s="110"/>
      <c r="DX30" s="110"/>
      <c r="DY30" s="110"/>
      <c r="DZ30" s="110"/>
      <c r="EA30" s="110"/>
      <c r="EB30" s="110"/>
      <c r="EC30" s="110"/>
      <c r="ED30" s="110"/>
      <c r="EE30" s="110"/>
      <c r="EF30" s="110"/>
      <c r="EG30" s="110"/>
      <c r="EH30" s="110"/>
      <c r="EI30" s="110"/>
      <c r="EJ30" s="110"/>
      <c r="EK30" s="110"/>
      <c r="EL30" s="110"/>
      <c r="EM30" s="110"/>
      <c r="EN30" s="110"/>
      <c r="EO30" s="110"/>
      <c r="EP30" s="110"/>
      <c r="EQ30" s="110"/>
      <c r="ER30" s="110"/>
      <c r="ES30" s="110"/>
      <c r="ET30" s="110"/>
      <c r="EU30" s="110"/>
      <c r="EV30" s="110"/>
      <c r="EW30" s="110"/>
      <c r="EX30" s="110"/>
      <c r="EY30" s="110"/>
      <c r="EZ30" s="110"/>
      <c r="FA30" s="110"/>
      <c r="FB30" s="110"/>
      <c r="FC30" s="110"/>
      <c r="FD30" s="110"/>
      <c r="FE30" s="110"/>
      <c r="FF30" s="110"/>
      <c r="FG30" s="110"/>
      <c r="FH30" s="110"/>
      <c r="FI30" s="110"/>
      <c r="FJ30" s="110"/>
      <c r="FK30" s="110"/>
      <c r="FL30" s="110"/>
      <c r="FM30" s="110"/>
      <c r="FN30" s="110"/>
      <c r="FO30" s="110"/>
      <c r="FP30" s="110"/>
      <c r="FQ30" s="110"/>
      <c r="FR30" s="110"/>
      <c r="FS30" s="110"/>
      <c r="FT30" s="110"/>
      <c r="FU30" s="110"/>
      <c r="FV30" s="110"/>
      <c r="FW30" s="110"/>
      <c r="FX30" s="110"/>
      <c r="FY30" s="110"/>
      <c r="FZ30" s="110"/>
      <c r="GA30" s="110"/>
      <c r="GB30" s="110"/>
      <c r="GC30" s="110"/>
      <c r="GD30" s="110"/>
      <c r="GE30" s="110"/>
      <c r="GF30" s="110"/>
      <c r="GG30" s="110"/>
      <c r="GH30" s="110"/>
      <c r="GI30" s="110"/>
      <c r="GJ30" s="110"/>
      <c r="GK30" s="110"/>
      <c r="GL30" s="110"/>
      <c r="GM30" s="110"/>
      <c r="GN30" s="110"/>
      <c r="GO30" s="110"/>
      <c r="GP30" s="110"/>
      <c r="GQ30" s="110"/>
      <c r="GR30" s="110"/>
      <c r="GS30" s="110"/>
      <c r="GT30" s="110"/>
      <c r="GU30" s="110"/>
      <c r="GV30" s="110"/>
      <c r="GW30" s="110"/>
      <c r="GX30" s="110"/>
      <c r="GY30" s="110"/>
      <c r="GZ30" s="110"/>
      <c r="HA30" s="110"/>
      <c r="HB30" s="110"/>
      <c r="HC30" s="110"/>
      <c r="HD30" s="110"/>
      <c r="HE30" s="110"/>
      <c r="HF30" s="110"/>
      <c r="HG30" s="110"/>
      <c r="HH30" s="110"/>
      <c r="HI30" s="110"/>
      <c r="HJ30" s="110"/>
      <c r="HK30" s="110"/>
      <c r="HL30" s="110"/>
      <c r="HM30" s="110"/>
      <c r="HN30" s="110"/>
      <c r="HO30" s="110"/>
      <c r="HP30" s="110"/>
      <c r="HQ30" s="110"/>
      <c r="HR30" s="110"/>
      <c r="HS30" s="110"/>
      <c r="HT30" s="110"/>
      <c r="HU30" s="110"/>
      <c r="HV30" s="110"/>
      <c r="HW30" s="110"/>
      <c r="HX30" s="110"/>
      <c r="HY30" s="110"/>
      <c r="HZ30" s="110"/>
      <c r="IA30" s="110"/>
      <c r="IB30" s="110"/>
      <c r="IC30" s="110"/>
      <c r="ID30" s="110"/>
      <c r="IE30" s="110"/>
      <c r="IF30" s="110"/>
      <c r="IG30" s="110"/>
      <c r="IH30" s="110"/>
      <c r="II30" s="110"/>
      <c r="IJ30" s="110"/>
      <c r="IK30" s="110"/>
      <c r="IL30" s="110"/>
      <c r="IM30" s="110"/>
      <c r="IN30" s="110"/>
      <c r="IO30" s="110"/>
      <c r="IP30" s="110"/>
      <c r="IQ30" s="110"/>
      <c r="IR30" s="110"/>
      <c r="IS30" s="110"/>
      <c r="IT30" s="110"/>
      <c r="IU30" s="110"/>
      <c r="IV30" s="110"/>
      <c r="IW30" s="110"/>
    </row>
    <row r="31" spans="1:257" ht="15" thickBot="1" x14ac:dyDescent="0.35">
      <c r="A31" s="156"/>
      <c r="B31" s="115" t="str">
        <f>'Parameter Values'!B185</f>
        <v>CLD rds</v>
      </c>
      <c r="C31" s="168">
        <f>'Parameter Values'!G185</f>
        <v>35181.268439153464</v>
      </c>
      <c r="D31" s="169">
        <f>'Parameter Values'!H185</f>
        <v>37070.425883494187</v>
      </c>
      <c r="E31" s="170">
        <f t="shared" si="0"/>
        <v>1889.1574443407226</v>
      </c>
      <c r="F31" s="156"/>
      <c r="G31" s="156"/>
      <c r="H31" s="156"/>
      <c r="I31" s="171" t="s">
        <v>759</v>
      </c>
      <c r="J31" s="168">
        <v>32231.980371141399</v>
      </c>
      <c r="K31" s="173">
        <v>32203.508464260856</v>
      </c>
      <c r="L31" s="170">
        <v>28.47190688054252</v>
      </c>
      <c r="M31" s="156"/>
      <c r="N31" s="156"/>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c r="BY31" s="110"/>
      <c r="BZ31" s="110"/>
      <c r="CA31" s="110"/>
      <c r="CB31" s="110"/>
      <c r="CC31" s="110"/>
      <c r="CD31" s="110"/>
      <c r="CE31" s="110"/>
      <c r="CF31" s="110"/>
      <c r="CG31" s="110"/>
      <c r="CH31" s="110"/>
      <c r="CI31" s="110"/>
      <c r="CJ31" s="110"/>
      <c r="CK31" s="110"/>
      <c r="CL31" s="110"/>
      <c r="CM31" s="110"/>
      <c r="CN31" s="110"/>
      <c r="CO31" s="110"/>
      <c r="CP31" s="110"/>
      <c r="CQ31" s="110"/>
      <c r="CR31" s="110"/>
      <c r="CS31" s="110"/>
      <c r="CT31" s="110"/>
      <c r="CU31" s="110"/>
      <c r="CV31" s="110"/>
      <c r="CW31" s="110"/>
      <c r="CX31" s="110"/>
      <c r="CY31" s="110"/>
      <c r="CZ31" s="110"/>
      <c r="DA31" s="110"/>
      <c r="DB31" s="110"/>
      <c r="DC31" s="110"/>
      <c r="DD31" s="110"/>
      <c r="DE31" s="110"/>
      <c r="DF31" s="110"/>
      <c r="DG31" s="110"/>
      <c r="DH31" s="110"/>
      <c r="DI31" s="110"/>
      <c r="DJ31" s="110"/>
      <c r="DK31" s="110"/>
      <c r="DL31" s="110"/>
      <c r="DM31" s="110"/>
      <c r="DN31" s="110"/>
      <c r="DO31" s="110"/>
      <c r="DP31" s="110"/>
      <c r="DQ31" s="110"/>
      <c r="DR31" s="110"/>
      <c r="DS31" s="110"/>
      <c r="DT31" s="110"/>
      <c r="DU31" s="110"/>
      <c r="DV31" s="110"/>
      <c r="DW31" s="110"/>
      <c r="DX31" s="110"/>
      <c r="DY31" s="110"/>
      <c r="DZ31" s="110"/>
      <c r="EA31" s="110"/>
      <c r="EB31" s="110"/>
      <c r="EC31" s="110"/>
      <c r="ED31" s="110"/>
      <c r="EE31" s="110"/>
      <c r="EF31" s="110"/>
      <c r="EG31" s="110"/>
      <c r="EH31" s="110"/>
      <c r="EI31" s="110"/>
      <c r="EJ31" s="110"/>
      <c r="EK31" s="110"/>
      <c r="EL31" s="110"/>
      <c r="EM31" s="110"/>
      <c r="EN31" s="110"/>
      <c r="EO31" s="110"/>
      <c r="EP31" s="110"/>
      <c r="EQ31" s="110"/>
      <c r="ER31" s="110"/>
      <c r="ES31" s="110"/>
      <c r="ET31" s="110"/>
      <c r="EU31" s="110"/>
      <c r="EV31" s="110"/>
      <c r="EW31" s="110"/>
      <c r="EX31" s="110"/>
      <c r="EY31" s="110"/>
      <c r="EZ31" s="110"/>
      <c r="FA31" s="110"/>
      <c r="FB31" s="110"/>
      <c r="FC31" s="110"/>
      <c r="FD31" s="110"/>
      <c r="FE31" s="110"/>
      <c r="FF31" s="110"/>
      <c r="FG31" s="110"/>
      <c r="FH31" s="110"/>
      <c r="FI31" s="110"/>
      <c r="FJ31" s="110"/>
      <c r="FK31" s="110"/>
      <c r="FL31" s="110"/>
      <c r="FM31" s="110"/>
      <c r="FN31" s="110"/>
      <c r="FO31" s="110"/>
      <c r="FP31" s="110"/>
      <c r="FQ31" s="110"/>
      <c r="FR31" s="110"/>
      <c r="FS31" s="110"/>
      <c r="FT31" s="110"/>
      <c r="FU31" s="110"/>
      <c r="FV31" s="110"/>
      <c r="FW31" s="110"/>
      <c r="FX31" s="110"/>
      <c r="FY31" s="110"/>
      <c r="FZ31" s="110"/>
      <c r="GA31" s="110"/>
      <c r="GB31" s="110"/>
      <c r="GC31" s="110"/>
      <c r="GD31" s="110"/>
      <c r="GE31" s="110"/>
      <c r="GF31" s="110"/>
      <c r="GG31" s="110"/>
      <c r="GH31" s="110"/>
      <c r="GI31" s="110"/>
      <c r="GJ31" s="110"/>
      <c r="GK31" s="110"/>
      <c r="GL31" s="110"/>
      <c r="GM31" s="110"/>
      <c r="GN31" s="110"/>
      <c r="GO31" s="110"/>
      <c r="GP31" s="110"/>
      <c r="GQ31" s="110"/>
      <c r="GR31" s="110"/>
      <c r="GS31" s="110"/>
      <c r="GT31" s="110"/>
      <c r="GU31" s="110"/>
      <c r="GV31" s="110"/>
      <c r="GW31" s="110"/>
      <c r="GX31" s="110"/>
      <c r="GY31" s="110"/>
      <c r="GZ31" s="110"/>
      <c r="HA31" s="110"/>
      <c r="HB31" s="110"/>
      <c r="HC31" s="110"/>
      <c r="HD31" s="110"/>
      <c r="HE31" s="110"/>
      <c r="HF31" s="110"/>
      <c r="HG31" s="110"/>
      <c r="HH31" s="110"/>
      <c r="HI31" s="110"/>
      <c r="HJ31" s="110"/>
      <c r="HK31" s="110"/>
      <c r="HL31" s="110"/>
      <c r="HM31" s="110"/>
      <c r="HN31" s="110"/>
      <c r="HO31" s="110"/>
      <c r="HP31" s="110"/>
      <c r="HQ31" s="110"/>
      <c r="HR31" s="110"/>
      <c r="HS31" s="110"/>
      <c r="HT31" s="110"/>
      <c r="HU31" s="110"/>
      <c r="HV31" s="110"/>
      <c r="HW31" s="110"/>
      <c r="HX31" s="110"/>
      <c r="HY31" s="110"/>
      <c r="HZ31" s="110"/>
      <c r="IA31" s="110"/>
      <c r="IB31" s="110"/>
      <c r="IC31" s="110"/>
      <c r="ID31" s="110"/>
      <c r="IE31" s="110"/>
      <c r="IF31" s="110"/>
      <c r="IG31" s="110"/>
      <c r="IH31" s="110"/>
      <c r="II31" s="110"/>
      <c r="IJ31" s="110"/>
      <c r="IK31" s="110"/>
      <c r="IL31" s="110"/>
      <c r="IM31" s="110"/>
      <c r="IN31" s="110"/>
      <c r="IO31" s="110"/>
      <c r="IP31" s="110"/>
      <c r="IQ31" s="110"/>
      <c r="IR31" s="110"/>
      <c r="IS31" s="110"/>
      <c r="IT31" s="110"/>
      <c r="IU31" s="110"/>
      <c r="IV31" s="110"/>
      <c r="IW31" s="110"/>
    </row>
    <row r="32" spans="1:257" ht="15" thickBot="1" x14ac:dyDescent="0.35">
      <c r="A32" s="156"/>
      <c r="B32" s="115" t="str">
        <f>'Parameter Values'!B186</f>
        <v>Impairement hypo</v>
      </c>
      <c r="C32" s="168">
        <f>'Parameter Values'!G186</f>
        <v>35672.401082880984</v>
      </c>
      <c r="D32" s="169">
        <f>'Parameter Values'!H186</f>
        <v>36644.436599916182</v>
      </c>
      <c r="E32" s="170">
        <f t="shared" si="0"/>
        <v>972.0355170351977</v>
      </c>
      <c r="F32" s="156"/>
      <c r="G32" s="156"/>
      <c r="H32" s="156"/>
      <c r="I32" s="171" t="s">
        <v>286</v>
      </c>
      <c r="J32" s="168">
        <v>32203.555111071357</v>
      </c>
      <c r="K32" s="173">
        <v>32230.987770555454</v>
      </c>
      <c r="L32" s="170">
        <v>27.432659484096803</v>
      </c>
      <c r="M32" s="156"/>
      <c r="N32" s="156"/>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c r="BY32" s="110"/>
      <c r="BZ32" s="110"/>
      <c r="CA32" s="110"/>
      <c r="CB32" s="110"/>
      <c r="CC32" s="110"/>
      <c r="CD32" s="110"/>
      <c r="CE32" s="110"/>
      <c r="CF32" s="110"/>
      <c r="CG32" s="110"/>
      <c r="CH32" s="110"/>
      <c r="CI32" s="110"/>
      <c r="CJ32" s="110"/>
      <c r="CK32" s="110"/>
      <c r="CL32" s="110"/>
      <c r="CM32" s="110"/>
      <c r="CN32" s="110"/>
      <c r="CO32" s="110"/>
      <c r="CP32" s="110"/>
      <c r="CQ32" s="110"/>
      <c r="CR32" s="110"/>
      <c r="CS32" s="110"/>
      <c r="CT32" s="110"/>
      <c r="CU32" s="110"/>
      <c r="CV32" s="110"/>
      <c r="CW32" s="110"/>
      <c r="CX32" s="110"/>
      <c r="CY32" s="110"/>
      <c r="CZ32" s="110"/>
      <c r="DA32" s="110"/>
      <c r="DB32" s="110"/>
      <c r="DC32" s="110"/>
      <c r="DD32" s="110"/>
      <c r="DE32" s="110"/>
      <c r="DF32" s="110"/>
      <c r="DG32" s="110"/>
      <c r="DH32" s="110"/>
      <c r="DI32" s="110"/>
      <c r="DJ32" s="110"/>
      <c r="DK32" s="110"/>
      <c r="DL32" s="110"/>
      <c r="DM32" s="110"/>
      <c r="DN32" s="110"/>
      <c r="DO32" s="110"/>
      <c r="DP32" s="110"/>
      <c r="DQ32" s="110"/>
      <c r="DR32" s="110"/>
      <c r="DS32" s="110"/>
      <c r="DT32" s="110"/>
      <c r="DU32" s="110"/>
      <c r="DV32" s="110"/>
      <c r="DW32" s="110"/>
      <c r="DX32" s="110"/>
      <c r="DY32" s="110"/>
      <c r="DZ32" s="110"/>
      <c r="EA32" s="110"/>
      <c r="EB32" s="110"/>
      <c r="EC32" s="110"/>
      <c r="ED32" s="110"/>
      <c r="EE32" s="110"/>
      <c r="EF32" s="110"/>
      <c r="EG32" s="110"/>
      <c r="EH32" s="110"/>
      <c r="EI32" s="110"/>
      <c r="EJ32" s="110"/>
      <c r="EK32" s="110"/>
      <c r="EL32" s="110"/>
      <c r="EM32" s="110"/>
      <c r="EN32" s="110"/>
      <c r="EO32" s="110"/>
      <c r="EP32" s="110"/>
      <c r="EQ32" s="110"/>
      <c r="ER32" s="110"/>
      <c r="ES32" s="110"/>
      <c r="ET32" s="110"/>
      <c r="EU32" s="110"/>
      <c r="EV32" s="110"/>
      <c r="EW32" s="110"/>
      <c r="EX32" s="110"/>
      <c r="EY32" s="110"/>
      <c r="EZ32" s="110"/>
      <c r="FA32" s="110"/>
      <c r="FB32" s="110"/>
      <c r="FC32" s="110"/>
      <c r="FD32" s="110"/>
      <c r="FE32" s="110"/>
      <c r="FF32" s="110"/>
      <c r="FG32" s="110"/>
      <c r="FH32" s="110"/>
      <c r="FI32" s="110"/>
      <c r="FJ32" s="110"/>
      <c r="FK32" s="110"/>
      <c r="FL32" s="110"/>
      <c r="FM32" s="110"/>
      <c r="FN32" s="110"/>
      <c r="FO32" s="110"/>
      <c r="FP32" s="110"/>
      <c r="FQ32" s="110"/>
      <c r="FR32" s="110"/>
      <c r="FS32" s="110"/>
      <c r="FT32" s="110"/>
      <c r="FU32" s="110"/>
      <c r="FV32" s="110"/>
      <c r="FW32" s="110"/>
      <c r="FX32" s="110"/>
      <c r="FY32" s="110"/>
      <c r="FZ32" s="110"/>
      <c r="GA32" s="110"/>
      <c r="GB32" s="110"/>
      <c r="GC32" s="110"/>
      <c r="GD32" s="110"/>
      <c r="GE32" s="110"/>
      <c r="GF32" s="110"/>
      <c r="GG32" s="110"/>
      <c r="GH32" s="110"/>
      <c r="GI32" s="110"/>
      <c r="GJ32" s="110"/>
      <c r="GK32" s="110"/>
      <c r="GL32" s="110"/>
      <c r="GM32" s="110"/>
      <c r="GN32" s="110"/>
      <c r="GO32" s="110"/>
      <c r="GP32" s="110"/>
      <c r="GQ32" s="110"/>
      <c r="GR32" s="110"/>
      <c r="GS32" s="110"/>
      <c r="GT32" s="110"/>
      <c r="GU32" s="110"/>
      <c r="GV32" s="110"/>
      <c r="GW32" s="110"/>
      <c r="GX32" s="110"/>
      <c r="GY32" s="110"/>
      <c r="GZ32" s="110"/>
      <c r="HA32" s="110"/>
      <c r="HB32" s="110"/>
      <c r="HC32" s="110"/>
      <c r="HD32" s="110"/>
      <c r="HE32" s="110"/>
      <c r="HF32" s="110"/>
      <c r="HG32" s="110"/>
      <c r="HH32" s="110"/>
      <c r="HI32" s="110"/>
      <c r="HJ32" s="110"/>
      <c r="HK32" s="110"/>
      <c r="HL32" s="110"/>
      <c r="HM32" s="110"/>
      <c r="HN32" s="110"/>
      <c r="HO32" s="110"/>
      <c r="HP32" s="110"/>
      <c r="HQ32" s="110"/>
      <c r="HR32" s="110"/>
      <c r="HS32" s="110"/>
      <c r="HT32" s="110"/>
      <c r="HU32" s="110"/>
      <c r="HV32" s="110"/>
      <c r="HW32" s="110"/>
      <c r="HX32" s="110"/>
      <c r="HY32" s="110"/>
      <c r="HZ32" s="110"/>
      <c r="IA32" s="110"/>
      <c r="IB32" s="110"/>
      <c r="IC32" s="110"/>
      <c r="ID32" s="110"/>
      <c r="IE32" s="110"/>
      <c r="IF32" s="110"/>
      <c r="IG32" s="110"/>
      <c r="IH32" s="110"/>
      <c r="II32" s="110"/>
      <c r="IJ32" s="110"/>
      <c r="IK32" s="110"/>
      <c r="IL32" s="110"/>
      <c r="IM32" s="110"/>
      <c r="IN32" s="110"/>
      <c r="IO32" s="110"/>
      <c r="IP32" s="110"/>
      <c r="IQ32" s="110"/>
      <c r="IR32" s="110"/>
      <c r="IS32" s="110"/>
      <c r="IT32" s="110"/>
      <c r="IU32" s="110"/>
      <c r="IV32" s="110"/>
      <c r="IW32" s="110"/>
    </row>
    <row r="33" spans="1:257" ht="15" thickBot="1" x14ac:dyDescent="0.35">
      <c r="A33" s="156"/>
      <c r="B33" s="115" t="str">
        <f>'Parameter Values'!B187</f>
        <v>Impairement no hypo</v>
      </c>
      <c r="C33" s="168">
        <f>'Parameter Values'!G187</f>
        <v>36531.560653357024</v>
      </c>
      <c r="D33" s="169">
        <f>'Parameter Values'!H187</f>
        <v>35810.153150237413</v>
      </c>
      <c r="E33" s="170">
        <f t="shared" si="0"/>
        <v>721.40750311961165</v>
      </c>
      <c r="F33" s="156"/>
      <c r="G33" s="156"/>
      <c r="H33" s="156"/>
      <c r="I33" s="171" t="s">
        <v>280</v>
      </c>
      <c r="J33" s="168">
        <v>32205.942005194564</v>
      </c>
      <c r="K33" s="173">
        <v>32228.760002706942</v>
      </c>
      <c r="L33" s="170">
        <v>22.817997512378497</v>
      </c>
      <c r="M33" s="156"/>
      <c r="N33" s="156"/>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c r="BY33" s="110"/>
      <c r="BZ33" s="110"/>
      <c r="CA33" s="110"/>
      <c r="CB33" s="110"/>
      <c r="CC33" s="110"/>
      <c r="CD33" s="110"/>
      <c r="CE33" s="110"/>
      <c r="CF33" s="110"/>
      <c r="CG33" s="110"/>
      <c r="CH33" s="110"/>
      <c r="CI33" s="110"/>
      <c r="CJ33" s="110"/>
      <c r="CK33" s="110"/>
      <c r="CL33" s="110"/>
      <c r="CM33" s="110"/>
      <c r="CN33" s="110"/>
      <c r="CO33" s="110"/>
      <c r="CP33" s="110"/>
      <c r="CQ33" s="110"/>
      <c r="CR33" s="110"/>
      <c r="CS33" s="110"/>
      <c r="CT33" s="110"/>
      <c r="CU33" s="110"/>
      <c r="CV33" s="110"/>
      <c r="CW33" s="110"/>
      <c r="CX33" s="110"/>
      <c r="CY33" s="110"/>
      <c r="CZ33" s="110"/>
      <c r="DA33" s="110"/>
      <c r="DB33" s="110"/>
      <c r="DC33" s="110"/>
      <c r="DD33" s="110"/>
      <c r="DE33" s="110"/>
      <c r="DF33" s="110"/>
      <c r="DG33" s="110"/>
      <c r="DH33" s="110"/>
      <c r="DI33" s="110"/>
      <c r="DJ33" s="110"/>
      <c r="DK33" s="110"/>
      <c r="DL33" s="110"/>
      <c r="DM33" s="110"/>
      <c r="DN33" s="110"/>
      <c r="DO33" s="110"/>
      <c r="DP33" s="110"/>
      <c r="DQ33" s="110"/>
      <c r="DR33" s="110"/>
      <c r="DS33" s="110"/>
      <c r="DT33" s="110"/>
      <c r="DU33" s="110"/>
      <c r="DV33" s="110"/>
      <c r="DW33" s="110"/>
      <c r="DX33" s="110"/>
      <c r="DY33" s="110"/>
      <c r="DZ33" s="110"/>
      <c r="EA33" s="110"/>
      <c r="EB33" s="110"/>
      <c r="EC33" s="110"/>
      <c r="ED33" s="110"/>
      <c r="EE33" s="110"/>
      <c r="EF33" s="110"/>
      <c r="EG33" s="110"/>
      <c r="EH33" s="110"/>
      <c r="EI33" s="110"/>
      <c r="EJ33" s="110"/>
      <c r="EK33" s="110"/>
      <c r="EL33" s="110"/>
      <c r="EM33" s="110"/>
      <c r="EN33" s="110"/>
      <c r="EO33" s="110"/>
      <c r="EP33" s="110"/>
      <c r="EQ33" s="110"/>
      <c r="ER33" s="110"/>
      <c r="ES33" s="110"/>
      <c r="ET33" s="110"/>
      <c r="EU33" s="110"/>
      <c r="EV33" s="110"/>
      <c r="EW33" s="110"/>
      <c r="EX33" s="110"/>
      <c r="EY33" s="110"/>
      <c r="EZ33" s="110"/>
      <c r="FA33" s="110"/>
      <c r="FB33" s="110"/>
      <c r="FC33" s="110"/>
      <c r="FD33" s="110"/>
      <c r="FE33" s="110"/>
      <c r="FF33" s="110"/>
      <c r="FG33" s="110"/>
      <c r="FH33" s="110"/>
      <c r="FI33" s="110"/>
      <c r="FJ33" s="110"/>
      <c r="FK33" s="110"/>
      <c r="FL33" s="110"/>
      <c r="FM33" s="110"/>
      <c r="FN33" s="110"/>
      <c r="FO33" s="110"/>
      <c r="FP33" s="110"/>
      <c r="FQ33" s="110"/>
      <c r="FR33" s="110"/>
      <c r="FS33" s="110"/>
      <c r="FT33" s="110"/>
      <c r="FU33" s="110"/>
      <c r="FV33" s="110"/>
      <c r="FW33" s="110"/>
      <c r="FX33" s="110"/>
      <c r="FY33" s="110"/>
      <c r="FZ33" s="110"/>
      <c r="GA33" s="110"/>
      <c r="GB33" s="110"/>
      <c r="GC33" s="110"/>
      <c r="GD33" s="110"/>
      <c r="GE33" s="110"/>
      <c r="GF33" s="110"/>
      <c r="GG33" s="110"/>
      <c r="GH33" s="110"/>
      <c r="GI33" s="110"/>
      <c r="GJ33" s="110"/>
      <c r="GK33" s="110"/>
      <c r="GL33" s="110"/>
      <c r="GM33" s="110"/>
      <c r="GN33" s="110"/>
      <c r="GO33" s="110"/>
      <c r="GP33" s="110"/>
      <c r="GQ33" s="110"/>
      <c r="GR33" s="110"/>
      <c r="GS33" s="110"/>
      <c r="GT33" s="110"/>
      <c r="GU33" s="110"/>
      <c r="GV33" s="110"/>
      <c r="GW33" s="110"/>
      <c r="GX33" s="110"/>
      <c r="GY33" s="110"/>
      <c r="GZ33" s="110"/>
      <c r="HA33" s="110"/>
      <c r="HB33" s="110"/>
      <c r="HC33" s="110"/>
      <c r="HD33" s="110"/>
      <c r="HE33" s="110"/>
      <c r="HF33" s="110"/>
      <c r="HG33" s="110"/>
      <c r="HH33" s="110"/>
      <c r="HI33" s="110"/>
      <c r="HJ33" s="110"/>
      <c r="HK33" s="110"/>
      <c r="HL33" s="110"/>
      <c r="HM33" s="110"/>
      <c r="HN33" s="110"/>
      <c r="HO33" s="110"/>
      <c r="HP33" s="110"/>
      <c r="HQ33" s="110"/>
      <c r="HR33" s="110"/>
      <c r="HS33" s="110"/>
      <c r="HT33" s="110"/>
      <c r="HU33" s="110"/>
      <c r="HV33" s="110"/>
      <c r="HW33" s="110"/>
      <c r="HX33" s="110"/>
      <c r="HY33" s="110"/>
      <c r="HZ33" s="110"/>
      <c r="IA33" s="110"/>
      <c r="IB33" s="110"/>
      <c r="IC33" s="110"/>
      <c r="ID33" s="110"/>
      <c r="IE33" s="110"/>
      <c r="IF33" s="110"/>
      <c r="IG33" s="110"/>
      <c r="IH33" s="110"/>
      <c r="II33" s="110"/>
      <c r="IJ33" s="110"/>
      <c r="IK33" s="110"/>
      <c r="IL33" s="110"/>
      <c r="IM33" s="110"/>
      <c r="IN33" s="110"/>
      <c r="IO33" s="110"/>
      <c r="IP33" s="110"/>
      <c r="IQ33" s="110"/>
      <c r="IR33" s="110"/>
      <c r="IS33" s="110"/>
      <c r="IT33" s="110"/>
      <c r="IU33" s="110"/>
      <c r="IV33" s="110"/>
      <c r="IW33" s="110"/>
    </row>
    <row r="34" spans="1:257" ht="15" thickBot="1" x14ac:dyDescent="0.35">
      <c r="A34" s="156"/>
      <c r="B34" s="115" t="str">
        <f>'Parameter Values'!B188</f>
        <v>c_CSG</v>
      </c>
      <c r="C34" s="168">
        <f>'Parameter Values'!G188</f>
        <v>36189.067544361722</v>
      </c>
      <c r="D34" s="169">
        <f>'Parameter Values'!H188</f>
        <v>36189.067544361722</v>
      </c>
      <c r="E34" s="170">
        <f t="shared" si="0"/>
        <v>0</v>
      </c>
      <c r="F34" s="156"/>
      <c r="G34" s="156"/>
      <c r="H34" s="156"/>
      <c r="I34" s="171" t="s">
        <v>757</v>
      </c>
      <c r="J34" s="168">
        <v>32209.445402353202</v>
      </c>
      <c r="K34" s="173">
        <v>32225.490165359166</v>
      </c>
      <c r="L34" s="170">
        <v>16.044763005964342</v>
      </c>
      <c r="M34" s="156"/>
      <c r="N34" s="156"/>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c r="BY34" s="110"/>
      <c r="BZ34" s="110"/>
      <c r="CA34" s="110"/>
      <c r="CB34" s="110"/>
      <c r="CC34" s="110"/>
      <c r="CD34" s="110"/>
      <c r="CE34" s="110"/>
      <c r="CF34" s="110"/>
      <c r="CG34" s="110"/>
      <c r="CH34" s="110"/>
      <c r="CI34" s="110"/>
      <c r="CJ34" s="110"/>
      <c r="CK34" s="110"/>
      <c r="CL34" s="110"/>
      <c r="CM34" s="110"/>
      <c r="CN34" s="110"/>
      <c r="CO34" s="110"/>
      <c r="CP34" s="110"/>
      <c r="CQ34" s="110"/>
      <c r="CR34" s="110"/>
      <c r="CS34" s="110"/>
      <c r="CT34" s="110"/>
      <c r="CU34" s="110"/>
      <c r="CV34" s="110"/>
      <c r="CW34" s="110"/>
      <c r="CX34" s="110"/>
      <c r="CY34" s="110"/>
      <c r="CZ34" s="110"/>
      <c r="DA34" s="110"/>
      <c r="DB34" s="110"/>
      <c r="DC34" s="110"/>
      <c r="DD34" s="110"/>
      <c r="DE34" s="110"/>
      <c r="DF34" s="110"/>
      <c r="DG34" s="110"/>
      <c r="DH34" s="110"/>
      <c r="DI34" s="110"/>
      <c r="DJ34" s="110"/>
      <c r="DK34" s="110"/>
      <c r="DL34" s="110"/>
      <c r="DM34" s="110"/>
      <c r="DN34" s="110"/>
      <c r="DO34" s="110"/>
      <c r="DP34" s="110"/>
      <c r="DQ34" s="110"/>
      <c r="DR34" s="110"/>
      <c r="DS34" s="110"/>
      <c r="DT34" s="110"/>
      <c r="DU34" s="110"/>
      <c r="DV34" s="110"/>
      <c r="DW34" s="110"/>
      <c r="DX34" s="110"/>
      <c r="DY34" s="110"/>
      <c r="DZ34" s="110"/>
      <c r="EA34" s="110"/>
      <c r="EB34" s="110"/>
      <c r="EC34" s="110"/>
      <c r="ED34" s="110"/>
      <c r="EE34" s="110"/>
      <c r="EF34" s="110"/>
      <c r="EG34" s="110"/>
      <c r="EH34" s="110"/>
      <c r="EI34" s="110"/>
      <c r="EJ34" s="110"/>
      <c r="EK34" s="110"/>
      <c r="EL34" s="110"/>
      <c r="EM34" s="110"/>
      <c r="EN34" s="110"/>
      <c r="EO34" s="110"/>
      <c r="EP34" s="110"/>
      <c r="EQ34" s="110"/>
      <c r="ER34" s="110"/>
      <c r="ES34" s="110"/>
      <c r="ET34" s="110"/>
      <c r="EU34" s="110"/>
      <c r="EV34" s="110"/>
      <c r="EW34" s="110"/>
      <c r="EX34" s="110"/>
      <c r="EY34" s="110"/>
      <c r="EZ34" s="110"/>
      <c r="FA34" s="110"/>
      <c r="FB34" s="110"/>
      <c r="FC34" s="110"/>
      <c r="FD34" s="110"/>
      <c r="FE34" s="110"/>
      <c r="FF34" s="110"/>
      <c r="FG34" s="110"/>
      <c r="FH34" s="110"/>
      <c r="FI34" s="110"/>
      <c r="FJ34" s="110"/>
      <c r="FK34" s="110"/>
      <c r="FL34" s="110"/>
      <c r="FM34" s="110"/>
      <c r="FN34" s="110"/>
      <c r="FO34" s="110"/>
      <c r="FP34" s="110"/>
      <c r="FQ34" s="110"/>
      <c r="FR34" s="110"/>
      <c r="FS34" s="110"/>
      <c r="FT34" s="110"/>
      <c r="FU34" s="110"/>
      <c r="FV34" s="110"/>
      <c r="FW34" s="110"/>
      <c r="FX34" s="110"/>
      <c r="FY34" s="110"/>
      <c r="FZ34" s="110"/>
      <c r="GA34" s="110"/>
      <c r="GB34" s="110"/>
      <c r="GC34" s="110"/>
      <c r="GD34" s="110"/>
      <c r="GE34" s="110"/>
      <c r="GF34" s="110"/>
      <c r="GG34" s="110"/>
      <c r="GH34" s="110"/>
      <c r="GI34" s="110"/>
      <c r="GJ34" s="110"/>
      <c r="GK34" s="110"/>
      <c r="GL34" s="110"/>
      <c r="GM34" s="110"/>
      <c r="GN34" s="110"/>
      <c r="GO34" s="110"/>
      <c r="GP34" s="110"/>
      <c r="GQ34" s="110"/>
      <c r="GR34" s="110"/>
      <c r="GS34" s="110"/>
      <c r="GT34" s="110"/>
      <c r="GU34" s="110"/>
      <c r="GV34" s="110"/>
      <c r="GW34" s="110"/>
      <c r="GX34" s="110"/>
      <c r="GY34" s="110"/>
      <c r="GZ34" s="110"/>
      <c r="HA34" s="110"/>
      <c r="HB34" s="110"/>
      <c r="HC34" s="110"/>
      <c r="HD34" s="110"/>
      <c r="HE34" s="110"/>
      <c r="HF34" s="110"/>
      <c r="HG34" s="110"/>
      <c r="HH34" s="110"/>
      <c r="HI34" s="110"/>
      <c r="HJ34" s="110"/>
      <c r="HK34" s="110"/>
      <c r="HL34" s="110"/>
      <c r="HM34" s="110"/>
      <c r="HN34" s="110"/>
      <c r="HO34" s="110"/>
      <c r="HP34" s="110"/>
      <c r="HQ34" s="110"/>
      <c r="HR34" s="110"/>
      <c r="HS34" s="110"/>
      <c r="HT34" s="110"/>
      <c r="HU34" s="110"/>
      <c r="HV34" s="110"/>
      <c r="HW34" s="110"/>
      <c r="HX34" s="110"/>
      <c r="HY34" s="110"/>
      <c r="HZ34" s="110"/>
      <c r="IA34" s="110"/>
      <c r="IB34" s="110"/>
      <c r="IC34" s="110"/>
      <c r="ID34" s="110"/>
      <c r="IE34" s="110"/>
      <c r="IF34" s="110"/>
      <c r="IG34" s="110"/>
      <c r="IH34" s="110"/>
      <c r="II34" s="110"/>
      <c r="IJ34" s="110"/>
      <c r="IK34" s="110"/>
      <c r="IL34" s="110"/>
      <c r="IM34" s="110"/>
      <c r="IN34" s="110"/>
      <c r="IO34" s="110"/>
      <c r="IP34" s="110"/>
      <c r="IQ34" s="110"/>
      <c r="IR34" s="110"/>
      <c r="IS34" s="110"/>
      <c r="IT34" s="110"/>
      <c r="IU34" s="110"/>
      <c r="IV34" s="110"/>
      <c r="IW34" s="110"/>
    </row>
    <row r="35" spans="1:257" ht="15" thickBot="1" x14ac:dyDescent="0.35">
      <c r="A35" s="156"/>
      <c r="B35" s="115" t="str">
        <f>'Parameter Values'!B189</f>
        <v>c_ANC</v>
      </c>
      <c r="C35" s="168">
        <f>'Parameter Values'!G189</f>
        <v>36165.846734898558</v>
      </c>
      <c r="D35" s="169">
        <f>'Parameter Values'!H189</f>
        <v>36151.486140798574</v>
      </c>
      <c r="E35" s="170">
        <f t="shared" si="0"/>
        <v>14.360594099984155</v>
      </c>
      <c r="F35" s="156"/>
      <c r="G35" s="156"/>
      <c r="H35" s="156"/>
      <c r="I35" s="171" t="s">
        <v>763</v>
      </c>
      <c r="J35" s="168">
        <v>32210.019027050701</v>
      </c>
      <c r="K35" s="173">
        <v>32225.469808351409</v>
      </c>
      <c r="L35" s="170">
        <v>15.450781300707604</v>
      </c>
      <c r="M35" s="156"/>
      <c r="N35" s="156"/>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c r="BY35" s="110"/>
      <c r="BZ35" s="110"/>
      <c r="CA35" s="110"/>
      <c r="CB35" s="110"/>
      <c r="CC35" s="110"/>
      <c r="CD35" s="110"/>
      <c r="CE35" s="110"/>
      <c r="CF35" s="110"/>
      <c r="CG35" s="110"/>
      <c r="CH35" s="110"/>
      <c r="CI35" s="110"/>
      <c r="CJ35" s="110"/>
      <c r="CK35" s="110"/>
      <c r="CL35" s="110"/>
      <c r="CM35" s="110"/>
      <c r="CN35" s="110"/>
      <c r="CO35" s="110"/>
      <c r="CP35" s="110"/>
      <c r="CQ35" s="110"/>
      <c r="CR35" s="110"/>
      <c r="CS35" s="110"/>
      <c r="CT35" s="110"/>
      <c r="CU35" s="110"/>
      <c r="CV35" s="110"/>
      <c r="CW35" s="110"/>
      <c r="CX35" s="110"/>
      <c r="CY35" s="110"/>
      <c r="CZ35" s="110"/>
      <c r="DA35" s="110"/>
      <c r="DB35" s="110"/>
      <c r="DC35" s="110"/>
      <c r="DD35" s="110"/>
      <c r="DE35" s="110"/>
      <c r="DF35" s="110"/>
      <c r="DG35" s="110"/>
      <c r="DH35" s="110"/>
      <c r="DI35" s="110"/>
      <c r="DJ35" s="110"/>
      <c r="DK35" s="110"/>
      <c r="DL35" s="110"/>
      <c r="DM35" s="110"/>
      <c r="DN35" s="110"/>
      <c r="DO35" s="110"/>
      <c r="DP35" s="110"/>
      <c r="DQ35" s="110"/>
      <c r="DR35" s="110"/>
      <c r="DS35" s="110"/>
      <c r="DT35" s="110"/>
      <c r="DU35" s="110"/>
      <c r="DV35" s="110"/>
      <c r="DW35" s="110"/>
      <c r="DX35" s="110"/>
      <c r="DY35" s="110"/>
      <c r="DZ35" s="110"/>
      <c r="EA35" s="110"/>
      <c r="EB35" s="110"/>
      <c r="EC35" s="110"/>
      <c r="ED35" s="110"/>
      <c r="EE35" s="110"/>
      <c r="EF35" s="110"/>
      <c r="EG35" s="110"/>
      <c r="EH35" s="110"/>
      <c r="EI35" s="110"/>
      <c r="EJ35" s="110"/>
      <c r="EK35" s="110"/>
      <c r="EL35" s="110"/>
      <c r="EM35" s="110"/>
      <c r="EN35" s="110"/>
      <c r="EO35" s="110"/>
      <c r="EP35" s="110"/>
      <c r="EQ35" s="110"/>
      <c r="ER35" s="110"/>
      <c r="ES35" s="110"/>
      <c r="ET35" s="110"/>
      <c r="EU35" s="110"/>
      <c r="EV35" s="110"/>
      <c r="EW35" s="110"/>
      <c r="EX35" s="110"/>
      <c r="EY35" s="110"/>
      <c r="EZ35" s="110"/>
      <c r="FA35" s="110"/>
      <c r="FB35" s="110"/>
      <c r="FC35" s="110"/>
      <c r="FD35" s="110"/>
      <c r="FE35" s="110"/>
      <c r="FF35" s="110"/>
      <c r="FG35" s="110"/>
      <c r="FH35" s="110"/>
      <c r="FI35" s="110"/>
      <c r="FJ35" s="110"/>
      <c r="FK35" s="110"/>
      <c r="FL35" s="110"/>
      <c r="FM35" s="110"/>
      <c r="FN35" s="110"/>
      <c r="FO35" s="110"/>
      <c r="FP35" s="110"/>
      <c r="FQ35" s="110"/>
      <c r="FR35" s="110"/>
      <c r="FS35" s="110"/>
      <c r="FT35" s="110"/>
      <c r="FU35" s="110"/>
      <c r="FV35" s="110"/>
      <c r="FW35" s="110"/>
      <c r="FX35" s="110"/>
      <c r="FY35" s="110"/>
      <c r="FZ35" s="110"/>
      <c r="GA35" s="110"/>
      <c r="GB35" s="110"/>
      <c r="GC35" s="110"/>
      <c r="GD35" s="110"/>
      <c r="GE35" s="110"/>
      <c r="GF35" s="110"/>
      <c r="GG35" s="110"/>
      <c r="GH35" s="110"/>
      <c r="GI35" s="110"/>
      <c r="GJ35" s="110"/>
      <c r="GK35" s="110"/>
      <c r="GL35" s="110"/>
      <c r="GM35" s="110"/>
      <c r="GN35" s="110"/>
      <c r="GO35" s="110"/>
      <c r="GP35" s="110"/>
      <c r="GQ35" s="110"/>
      <c r="GR35" s="110"/>
      <c r="GS35" s="110"/>
      <c r="GT35" s="110"/>
      <c r="GU35" s="110"/>
      <c r="GV35" s="110"/>
      <c r="GW35" s="110"/>
      <c r="GX35" s="110"/>
      <c r="GY35" s="110"/>
      <c r="GZ35" s="110"/>
      <c r="HA35" s="110"/>
      <c r="HB35" s="110"/>
      <c r="HC35" s="110"/>
      <c r="HD35" s="110"/>
      <c r="HE35" s="110"/>
      <c r="HF35" s="110"/>
      <c r="HG35" s="110"/>
      <c r="HH35" s="110"/>
      <c r="HI35" s="110"/>
      <c r="HJ35" s="110"/>
      <c r="HK35" s="110"/>
      <c r="HL35" s="110"/>
      <c r="HM35" s="110"/>
      <c r="HN35" s="110"/>
      <c r="HO35" s="110"/>
      <c r="HP35" s="110"/>
      <c r="HQ35" s="110"/>
      <c r="HR35" s="110"/>
      <c r="HS35" s="110"/>
      <c r="HT35" s="110"/>
      <c r="HU35" s="110"/>
      <c r="HV35" s="110"/>
      <c r="HW35" s="110"/>
      <c r="HX35" s="110"/>
      <c r="HY35" s="110"/>
      <c r="HZ35" s="110"/>
      <c r="IA35" s="110"/>
      <c r="IB35" s="110"/>
      <c r="IC35" s="110"/>
      <c r="ID35" s="110"/>
      <c r="IE35" s="110"/>
      <c r="IF35" s="110"/>
      <c r="IG35" s="110"/>
      <c r="IH35" s="110"/>
      <c r="II35" s="110"/>
      <c r="IJ35" s="110"/>
      <c r="IK35" s="110"/>
      <c r="IL35" s="110"/>
      <c r="IM35" s="110"/>
      <c r="IN35" s="110"/>
      <c r="IO35" s="110"/>
      <c r="IP35" s="110"/>
      <c r="IQ35" s="110"/>
      <c r="IR35" s="110"/>
      <c r="IS35" s="110"/>
      <c r="IT35" s="110"/>
      <c r="IU35" s="110"/>
      <c r="IV35" s="110"/>
      <c r="IW35" s="110"/>
    </row>
    <row r="36" spans="1:257" ht="15" thickBot="1" x14ac:dyDescent="0.35">
      <c r="A36" s="156"/>
      <c r="B36" s="115" t="str">
        <f>'Parameter Values'!B190</f>
        <v>c_prem</v>
      </c>
      <c r="C36" s="168">
        <f>'Parameter Values'!G190</f>
        <v>36146.616428892172</v>
      </c>
      <c r="D36" s="169">
        <f>'Parameter Values'!H190</f>
        <v>36169.434426404492</v>
      </c>
      <c r="E36" s="170">
        <f t="shared" si="0"/>
        <v>22.817997512320289</v>
      </c>
      <c r="F36" s="156"/>
      <c r="G36" s="156"/>
      <c r="H36" s="156"/>
      <c r="I36" s="171" t="s">
        <v>279</v>
      </c>
      <c r="J36" s="168">
        <v>32225.172311201066</v>
      </c>
      <c r="K36" s="173">
        <v>32210.811717101111</v>
      </c>
      <c r="L36" s="170">
        <v>14.360594099955051</v>
      </c>
      <c r="M36" s="156"/>
      <c r="N36" s="156"/>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c r="BY36" s="110"/>
      <c r="BZ36" s="110"/>
      <c r="CA36" s="110"/>
      <c r="CB36" s="110"/>
      <c r="CC36" s="110"/>
      <c r="CD36" s="110"/>
      <c r="CE36" s="110"/>
      <c r="CF36" s="110"/>
      <c r="CG36" s="110"/>
      <c r="CH36" s="110"/>
      <c r="CI36" s="110"/>
      <c r="CJ36" s="110"/>
      <c r="CK36" s="110"/>
      <c r="CL36" s="110"/>
      <c r="CM36" s="110"/>
      <c r="CN36" s="110"/>
      <c r="CO36" s="110"/>
      <c r="CP36" s="110"/>
      <c r="CQ36" s="110"/>
      <c r="CR36" s="110"/>
      <c r="CS36" s="110"/>
      <c r="CT36" s="110"/>
      <c r="CU36" s="110"/>
      <c r="CV36" s="110"/>
      <c r="CW36" s="110"/>
      <c r="CX36" s="110"/>
      <c r="CY36" s="110"/>
      <c r="CZ36" s="110"/>
      <c r="DA36" s="110"/>
      <c r="DB36" s="110"/>
      <c r="DC36" s="110"/>
      <c r="DD36" s="110"/>
      <c r="DE36" s="110"/>
      <c r="DF36" s="110"/>
      <c r="DG36" s="110"/>
      <c r="DH36" s="110"/>
      <c r="DI36" s="110"/>
      <c r="DJ36" s="110"/>
      <c r="DK36" s="110"/>
      <c r="DL36" s="110"/>
      <c r="DM36" s="110"/>
      <c r="DN36" s="110"/>
      <c r="DO36" s="110"/>
      <c r="DP36" s="110"/>
      <c r="DQ36" s="110"/>
      <c r="DR36" s="110"/>
      <c r="DS36" s="110"/>
      <c r="DT36" s="110"/>
      <c r="DU36" s="110"/>
      <c r="DV36" s="110"/>
      <c r="DW36" s="110"/>
      <c r="DX36" s="110"/>
      <c r="DY36" s="110"/>
      <c r="DZ36" s="110"/>
      <c r="EA36" s="110"/>
      <c r="EB36" s="110"/>
      <c r="EC36" s="110"/>
      <c r="ED36" s="110"/>
      <c r="EE36" s="110"/>
      <c r="EF36" s="110"/>
      <c r="EG36" s="110"/>
      <c r="EH36" s="110"/>
      <c r="EI36" s="110"/>
      <c r="EJ36" s="110"/>
      <c r="EK36" s="110"/>
      <c r="EL36" s="110"/>
      <c r="EM36" s="110"/>
      <c r="EN36" s="110"/>
      <c r="EO36" s="110"/>
      <c r="EP36" s="110"/>
      <c r="EQ36" s="110"/>
      <c r="ER36" s="110"/>
      <c r="ES36" s="110"/>
      <c r="ET36" s="110"/>
      <c r="EU36" s="110"/>
      <c r="EV36" s="110"/>
      <c r="EW36" s="110"/>
      <c r="EX36" s="110"/>
      <c r="EY36" s="110"/>
      <c r="EZ36" s="110"/>
      <c r="FA36" s="110"/>
      <c r="FB36" s="110"/>
      <c r="FC36" s="110"/>
      <c r="FD36" s="110"/>
      <c r="FE36" s="110"/>
      <c r="FF36" s="110"/>
      <c r="FG36" s="110"/>
      <c r="FH36" s="110"/>
      <c r="FI36" s="110"/>
      <c r="FJ36" s="110"/>
      <c r="FK36" s="110"/>
      <c r="FL36" s="110"/>
      <c r="FM36" s="110"/>
      <c r="FN36" s="110"/>
      <c r="FO36" s="110"/>
      <c r="FP36" s="110"/>
      <c r="FQ36" s="110"/>
      <c r="FR36" s="110"/>
      <c r="FS36" s="110"/>
      <c r="FT36" s="110"/>
      <c r="FU36" s="110"/>
      <c r="FV36" s="110"/>
      <c r="FW36" s="110"/>
      <c r="FX36" s="110"/>
      <c r="FY36" s="110"/>
      <c r="FZ36" s="110"/>
      <c r="GA36" s="110"/>
      <c r="GB36" s="110"/>
      <c r="GC36" s="110"/>
      <c r="GD36" s="110"/>
      <c r="GE36" s="110"/>
      <c r="GF36" s="110"/>
      <c r="GG36" s="110"/>
      <c r="GH36" s="110"/>
      <c r="GI36" s="110"/>
      <c r="GJ36" s="110"/>
      <c r="GK36" s="110"/>
      <c r="GL36" s="110"/>
      <c r="GM36" s="110"/>
      <c r="GN36" s="110"/>
      <c r="GO36" s="110"/>
      <c r="GP36" s="110"/>
      <c r="GQ36" s="110"/>
      <c r="GR36" s="110"/>
      <c r="GS36" s="110"/>
      <c r="GT36" s="110"/>
      <c r="GU36" s="110"/>
      <c r="GV36" s="110"/>
      <c r="GW36" s="110"/>
      <c r="GX36" s="110"/>
      <c r="GY36" s="110"/>
      <c r="GZ36" s="110"/>
      <c r="HA36" s="110"/>
      <c r="HB36" s="110"/>
      <c r="HC36" s="110"/>
      <c r="HD36" s="110"/>
      <c r="HE36" s="110"/>
      <c r="HF36" s="110"/>
      <c r="HG36" s="110"/>
      <c r="HH36" s="110"/>
      <c r="HI36" s="110"/>
      <c r="HJ36" s="110"/>
      <c r="HK36" s="110"/>
      <c r="HL36" s="110"/>
      <c r="HM36" s="110"/>
      <c r="HN36" s="110"/>
      <c r="HO36" s="110"/>
      <c r="HP36" s="110"/>
      <c r="HQ36" s="110"/>
      <c r="HR36" s="110"/>
      <c r="HS36" s="110"/>
      <c r="HT36" s="110"/>
      <c r="HU36" s="110"/>
      <c r="HV36" s="110"/>
      <c r="HW36" s="110"/>
      <c r="HX36" s="110"/>
      <c r="HY36" s="110"/>
      <c r="HZ36" s="110"/>
      <c r="IA36" s="110"/>
      <c r="IB36" s="110"/>
      <c r="IC36" s="110"/>
      <c r="ID36" s="110"/>
      <c r="IE36" s="110"/>
      <c r="IF36" s="110"/>
      <c r="IG36" s="110"/>
      <c r="IH36" s="110"/>
      <c r="II36" s="110"/>
      <c r="IJ36" s="110"/>
      <c r="IK36" s="110"/>
      <c r="IL36" s="110"/>
      <c r="IM36" s="110"/>
      <c r="IN36" s="110"/>
      <c r="IO36" s="110"/>
      <c r="IP36" s="110"/>
      <c r="IQ36" s="110"/>
      <c r="IR36" s="110"/>
      <c r="IS36" s="110"/>
      <c r="IT36" s="110"/>
      <c r="IU36" s="110"/>
      <c r="IV36" s="110"/>
      <c r="IW36" s="110"/>
    </row>
    <row r="37" spans="1:257" ht="15" thickBot="1" x14ac:dyDescent="0.35">
      <c r="A37" s="156"/>
      <c r="B37" s="115" t="str">
        <f>'Parameter Values'!B191</f>
        <v>c_LBW</v>
      </c>
      <c r="C37" s="168">
        <f>'Parameter Values'!G191</f>
        <v>16759.535292792229</v>
      </c>
      <c r="D37" s="169">
        <f>'Parameter Values'!H191</f>
        <v>40734.770658003414</v>
      </c>
      <c r="E37" s="170">
        <f t="shared" si="0"/>
        <v>23975.235365211185</v>
      </c>
      <c r="F37" s="156"/>
      <c r="G37" s="156"/>
      <c r="H37" s="156"/>
      <c r="I37" s="171" t="s">
        <v>339</v>
      </c>
      <c r="J37" s="168">
        <v>32212.568294894561</v>
      </c>
      <c r="K37" s="173">
        <v>32222.920540507519</v>
      </c>
      <c r="L37" s="170">
        <v>10.352245612957631</v>
      </c>
      <c r="M37" s="156"/>
      <c r="N37" s="156"/>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c r="CY37" s="110"/>
      <c r="CZ37" s="110"/>
      <c r="DA37" s="110"/>
      <c r="DB37" s="110"/>
      <c r="DC37" s="110"/>
      <c r="DD37" s="110"/>
      <c r="DE37" s="110"/>
      <c r="DF37" s="110"/>
      <c r="DG37" s="110"/>
      <c r="DH37" s="110"/>
      <c r="DI37" s="110"/>
      <c r="DJ37" s="110"/>
      <c r="DK37" s="110"/>
      <c r="DL37" s="110"/>
      <c r="DM37" s="110"/>
      <c r="DN37" s="110"/>
      <c r="DO37" s="110"/>
      <c r="DP37" s="110"/>
      <c r="DQ37" s="110"/>
      <c r="DR37" s="110"/>
      <c r="DS37" s="110"/>
      <c r="DT37" s="110"/>
      <c r="DU37" s="110"/>
      <c r="DV37" s="110"/>
      <c r="DW37" s="110"/>
      <c r="DX37" s="110"/>
      <c r="DY37" s="110"/>
      <c r="DZ37" s="110"/>
      <c r="EA37" s="110"/>
      <c r="EB37" s="110"/>
      <c r="EC37" s="110"/>
      <c r="ED37" s="110"/>
      <c r="EE37" s="110"/>
      <c r="EF37" s="110"/>
      <c r="EG37" s="110"/>
      <c r="EH37" s="110"/>
      <c r="EI37" s="110"/>
      <c r="EJ37" s="110"/>
      <c r="EK37" s="110"/>
      <c r="EL37" s="110"/>
      <c r="EM37" s="110"/>
      <c r="EN37" s="110"/>
      <c r="EO37" s="110"/>
      <c r="EP37" s="110"/>
      <c r="EQ37" s="110"/>
      <c r="ER37" s="110"/>
      <c r="ES37" s="110"/>
      <c r="ET37" s="110"/>
      <c r="EU37" s="110"/>
      <c r="EV37" s="110"/>
      <c r="EW37" s="110"/>
      <c r="EX37" s="110"/>
      <c r="EY37" s="110"/>
      <c r="EZ37" s="110"/>
      <c r="FA37" s="110"/>
      <c r="FB37" s="110"/>
      <c r="FC37" s="110"/>
      <c r="FD37" s="110"/>
      <c r="FE37" s="110"/>
      <c r="FF37" s="110"/>
      <c r="FG37" s="110"/>
      <c r="FH37" s="110"/>
      <c r="FI37" s="110"/>
      <c r="FJ37" s="110"/>
      <c r="FK37" s="110"/>
      <c r="FL37" s="110"/>
      <c r="FM37" s="110"/>
      <c r="FN37" s="110"/>
      <c r="FO37" s="110"/>
      <c r="FP37" s="110"/>
      <c r="FQ37" s="110"/>
      <c r="FR37" s="110"/>
      <c r="FS37" s="110"/>
      <c r="FT37" s="110"/>
      <c r="FU37" s="110"/>
      <c r="FV37" s="110"/>
      <c r="FW37" s="110"/>
      <c r="FX37" s="110"/>
      <c r="FY37" s="110"/>
      <c r="FZ37" s="110"/>
      <c r="GA37" s="110"/>
      <c r="GB37" s="110"/>
      <c r="GC37" s="110"/>
      <c r="GD37" s="110"/>
      <c r="GE37" s="110"/>
      <c r="GF37" s="110"/>
      <c r="GG37" s="110"/>
      <c r="GH37" s="110"/>
      <c r="GI37" s="110"/>
      <c r="GJ37" s="110"/>
      <c r="GK37" s="110"/>
      <c r="GL37" s="110"/>
      <c r="GM37" s="110"/>
      <c r="GN37" s="110"/>
      <c r="GO37" s="110"/>
      <c r="GP37" s="110"/>
      <c r="GQ37" s="110"/>
      <c r="GR37" s="110"/>
      <c r="GS37" s="110"/>
      <c r="GT37" s="110"/>
      <c r="GU37" s="110"/>
      <c r="GV37" s="110"/>
      <c r="GW37" s="110"/>
      <c r="GX37" s="110"/>
      <c r="GY37" s="110"/>
      <c r="GZ37" s="110"/>
      <c r="HA37" s="110"/>
      <c r="HB37" s="110"/>
      <c r="HC37" s="110"/>
      <c r="HD37" s="110"/>
      <c r="HE37" s="110"/>
      <c r="HF37" s="110"/>
      <c r="HG37" s="110"/>
      <c r="HH37" s="110"/>
      <c r="HI37" s="110"/>
      <c r="HJ37" s="110"/>
      <c r="HK37" s="110"/>
      <c r="HL37" s="110"/>
      <c r="HM37" s="110"/>
      <c r="HN37" s="110"/>
      <c r="HO37" s="110"/>
      <c r="HP37" s="110"/>
      <c r="HQ37" s="110"/>
      <c r="HR37" s="110"/>
      <c r="HS37" s="110"/>
      <c r="HT37" s="110"/>
      <c r="HU37" s="110"/>
      <c r="HV37" s="110"/>
      <c r="HW37" s="110"/>
      <c r="HX37" s="110"/>
      <c r="HY37" s="110"/>
      <c r="HZ37" s="110"/>
      <c r="IA37" s="110"/>
      <c r="IB37" s="110"/>
      <c r="IC37" s="110"/>
      <c r="ID37" s="110"/>
      <c r="IE37" s="110"/>
      <c r="IF37" s="110"/>
      <c r="IG37" s="110"/>
      <c r="IH37" s="110"/>
      <c r="II37" s="110"/>
      <c r="IJ37" s="110"/>
      <c r="IK37" s="110"/>
      <c r="IL37" s="110"/>
      <c r="IM37" s="110"/>
      <c r="IN37" s="110"/>
      <c r="IO37" s="110"/>
      <c r="IP37" s="110"/>
      <c r="IQ37" s="110"/>
      <c r="IR37" s="110"/>
      <c r="IS37" s="110"/>
      <c r="IT37" s="110"/>
      <c r="IU37" s="110"/>
      <c r="IV37" s="110"/>
      <c r="IW37" s="110"/>
    </row>
    <row r="38" spans="1:257" ht="15" thickBot="1" x14ac:dyDescent="0.35">
      <c r="A38" s="156"/>
      <c r="B38" s="115" t="str">
        <f>'Parameter Values'!B192</f>
        <v>c_NICU_NBW</v>
      </c>
      <c r="C38" s="168">
        <f>'Parameter Values'!G192</f>
        <v>36121.30864627246</v>
      </c>
      <c r="D38" s="169">
        <f>'Parameter Values'!H192</f>
        <v>35730.471093688218</v>
      </c>
      <c r="E38" s="170">
        <f t="shared" si="0"/>
        <v>390.83755258424208</v>
      </c>
      <c r="F38" s="156"/>
      <c r="G38" s="156"/>
      <c r="H38" s="156"/>
      <c r="I38" s="171" t="s">
        <v>763</v>
      </c>
      <c r="J38" s="168">
        <v>32214.769156553753</v>
      </c>
      <c r="K38" s="173">
        <v>32220.521328105126</v>
      </c>
      <c r="L38" s="170">
        <v>5.7521715513721574</v>
      </c>
      <c r="M38" s="156"/>
      <c r="N38" s="156"/>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c r="BY38" s="110"/>
      <c r="BZ38" s="110"/>
      <c r="CA38" s="110"/>
      <c r="CB38" s="110"/>
      <c r="CC38" s="110"/>
      <c r="CD38" s="110"/>
      <c r="CE38" s="110"/>
      <c r="CF38" s="110"/>
      <c r="CG38" s="110"/>
      <c r="CH38" s="110"/>
      <c r="CI38" s="110"/>
      <c r="CJ38" s="110"/>
      <c r="CK38" s="110"/>
      <c r="CL38" s="110"/>
      <c r="CM38" s="110"/>
      <c r="CN38" s="110"/>
      <c r="CO38" s="110"/>
      <c r="CP38" s="110"/>
      <c r="CQ38" s="110"/>
      <c r="CR38" s="110"/>
      <c r="CS38" s="110"/>
      <c r="CT38" s="110"/>
      <c r="CU38" s="110"/>
      <c r="CV38" s="110"/>
      <c r="CW38" s="110"/>
      <c r="CX38" s="110"/>
      <c r="CY38" s="110"/>
      <c r="CZ38" s="110"/>
      <c r="DA38" s="110"/>
      <c r="DB38" s="110"/>
      <c r="DC38" s="110"/>
      <c r="DD38" s="110"/>
      <c r="DE38" s="110"/>
      <c r="DF38" s="110"/>
      <c r="DG38" s="110"/>
      <c r="DH38" s="110"/>
      <c r="DI38" s="110"/>
      <c r="DJ38" s="110"/>
      <c r="DK38" s="110"/>
      <c r="DL38" s="110"/>
      <c r="DM38" s="110"/>
      <c r="DN38" s="110"/>
      <c r="DO38" s="110"/>
      <c r="DP38" s="110"/>
      <c r="DQ38" s="110"/>
      <c r="DR38" s="110"/>
      <c r="DS38" s="110"/>
      <c r="DT38" s="110"/>
      <c r="DU38" s="110"/>
      <c r="DV38" s="110"/>
      <c r="DW38" s="110"/>
      <c r="DX38" s="110"/>
      <c r="DY38" s="110"/>
      <c r="DZ38" s="110"/>
      <c r="EA38" s="110"/>
      <c r="EB38" s="110"/>
      <c r="EC38" s="110"/>
      <c r="ED38" s="110"/>
      <c r="EE38" s="110"/>
      <c r="EF38" s="110"/>
      <c r="EG38" s="110"/>
      <c r="EH38" s="110"/>
      <c r="EI38" s="110"/>
      <c r="EJ38" s="110"/>
      <c r="EK38" s="110"/>
      <c r="EL38" s="110"/>
      <c r="EM38" s="110"/>
      <c r="EN38" s="110"/>
      <c r="EO38" s="110"/>
      <c r="EP38" s="110"/>
      <c r="EQ38" s="110"/>
      <c r="ER38" s="110"/>
      <c r="ES38" s="110"/>
      <c r="ET38" s="110"/>
      <c r="EU38" s="110"/>
      <c r="EV38" s="110"/>
      <c r="EW38" s="110"/>
      <c r="EX38" s="110"/>
      <c r="EY38" s="110"/>
      <c r="EZ38" s="110"/>
      <c r="FA38" s="110"/>
      <c r="FB38" s="110"/>
      <c r="FC38" s="110"/>
      <c r="FD38" s="110"/>
      <c r="FE38" s="110"/>
      <c r="FF38" s="110"/>
      <c r="FG38" s="110"/>
      <c r="FH38" s="110"/>
      <c r="FI38" s="110"/>
      <c r="FJ38" s="110"/>
      <c r="FK38" s="110"/>
      <c r="FL38" s="110"/>
      <c r="FM38" s="110"/>
      <c r="FN38" s="110"/>
      <c r="FO38" s="110"/>
      <c r="FP38" s="110"/>
      <c r="FQ38" s="110"/>
      <c r="FR38" s="110"/>
      <c r="FS38" s="110"/>
      <c r="FT38" s="110"/>
      <c r="FU38" s="110"/>
      <c r="FV38" s="110"/>
      <c r="FW38" s="110"/>
      <c r="FX38" s="110"/>
      <c r="FY38" s="110"/>
      <c r="FZ38" s="110"/>
      <c r="GA38" s="110"/>
      <c r="GB38" s="110"/>
      <c r="GC38" s="110"/>
      <c r="GD38" s="110"/>
      <c r="GE38" s="110"/>
      <c r="GF38" s="110"/>
      <c r="GG38" s="110"/>
      <c r="GH38" s="110"/>
      <c r="GI38" s="110"/>
      <c r="GJ38" s="110"/>
      <c r="GK38" s="110"/>
      <c r="GL38" s="110"/>
      <c r="GM38" s="110"/>
      <c r="GN38" s="110"/>
      <c r="GO38" s="110"/>
      <c r="GP38" s="110"/>
      <c r="GQ38" s="110"/>
      <c r="GR38" s="110"/>
      <c r="GS38" s="110"/>
      <c r="GT38" s="110"/>
      <c r="GU38" s="110"/>
      <c r="GV38" s="110"/>
      <c r="GW38" s="110"/>
      <c r="GX38" s="110"/>
      <c r="GY38" s="110"/>
      <c r="GZ38" s="110"/>
      <c r="HA38" s="110"/>
      <c r="HB38" s="110"/>
      <c r="HC38" s="110"/>
      <c r="HD38" s="110"/>
      <c r="HE38" s="110"/>
      <c r="HF38" s="110"/>
      <c r="HG38" s="110"/>
      <c r="HH38" s="110"/>
      <c r="HI38" s="110"/>
      <c r="HJ38" s="110"/>
      <c r="HK38" s="110"/>
      <c r="HL38" s="110"/>
      <c r="HM38" s="110"/>
      <c r="HN38" s="110"/>
      <c r="HO38" s="110"/>
      <c r="HP38" s="110"/>
      <c r="HQ38" s="110"/>
      <c r="HR38" s="110"/>
      <c r="HS38" s="110"/>
      <c r="HT38" s="110"/>
      <c r="HU38" s="110"/>
      <c r="HV38" s="110"/>
      <c r="HW38" s="110"/>
      <c r="HX38" s="110"/>
      <c r="HY38" s="110"/>
      <c r="HZ38" s="110"/>
      <c r="IA38" s="110"/>
      <c r="IB38" s="110"/>
      <c r="IC38" s="110"/>
      <c r="ID38" s="110"/>
      <c r="IE38" s="110"/>
      <c r="IF38" s="110"/>
      <c r="IG38" s="110"/>
      <c r="IH38" s="110"/>
      <c r="II38" s="110"/>
      <c r="IJ38" s="110"/>
      <c r="IK38" s="110"/>
      <c r="IL38" s="110"/>
      <c r="IM38" s="110"/>
      <c r="IN38" s="110"/>
      <c r="IO38" s="110"/>
      <c r="IP38" s="110"/>
      <c r="IQ38" s="110"/>
      <c r="IR38" s="110"/>
      <c r="IS38" s="110"/>
      <c r="IT38" s="110"/>
      <c r="IU38" s="110"/>
      <c r="IV38" s="110"/>
      <c r="IW38" s="110"/>
    </row>
    <row r="39" spans="1:257" ht="15" thickBot="1" x14ac:dyDescent="0.35">
      <c r="A39" s="156"/>
      <c r="B39" s="115" t="str">
        <f>'Parameter Values'!B193</f>
        <v>c_SB</v>
      </c>
      <c r="C39" s="168">
        <f>'Parameter Values'!G193</f>
        <v>36153.443979468269</v>
      </c>
      <c r="D39" s="169">
        <f>'Parameter Values'!H193</f>
        <v>36163.393703328838</v>
      </c>
      <c r="E39" s="170">
        <f t="shared" si="0"/>
        <v>9.9497238605690654</v>
      </c>
      <c r="F39" s="156"/>
      <c r="G39" s="156"/>
      <c r="H39" s="156"/>
      <c r="I39" s="171" t="s">
        <v>766</v>
      </c>
      <c r="J39" s="172">
        <v>32216.416682940544</v>
      </c>
      <c r="K39" s="169">
        <v>32219.072152461697</v>
      </c>
      <c r="L39" s="170">
        <v>2.6554695211525541</v>
      </c>
      <c r="M39" s="156"/>
      <c r="N39" s="156"/>
      <c r="O39" s="110"/>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c r="BY39" s="110"/>
      <c r="BZ39" s="110"/>
      <c r="CA39" s="110"/>
      <c r="CB39" s="110"/>
      <c r="CC39" s="110"/>
      <c r="CD39" s="110"/>
      <c r="CE39" s="110"/>
      <c r="CF39" s="110"/>
      <c r="CG39" s="110"/>
      <c r="CH39" s="110"/>
      <c r="CI39" s="110"/>
      <c r="CJ39" s="110"/>
      <c r="CK39" s="110"/>
      <c r="CL39" s="110"/>
      <c r="CM39" s="110"/>
      <c r="CN39" s="110"/>
      <c r="CO39" s="110"/>
      <c r="CP39" s="110"/>
      <c r="CQ39" s="110"/>
      <c r="CR39" s="110"/>
      <c r="CS39" s="110"/>
      <c r="CT39" s="110"/>
      <c r="CU39" s="110"/>
      <c r="CV39" s="110"/>
      <c r="CW39" s="110"/>
      <c r="CX39" s="110"/>
      <c r="CY39" s="110"/>
      <c r="CZ39" s="110"/>
      <c r="DA39" s="110"/>
      <c r="DB39" s="110"/>
      <c r="DC39" s="110"/>
      <c r="DD39" s="110"/>
      <c r="DE39" s="110"/>
      <c r="DF39" s="110"/>
      <c r="DG39" s="110"/>
      <c r="DH39" s="110"/>
      <c r="DI39" s="110"/>
      <c r="DJ39" s="110"/>
      <c r="DK39" s="110"/>
      <c r="DL39" s="110"/>
      <c r="DM39" s="110"/>
      <c r="DN39" s="110"/>
      <c r="DO39" s="110"/>
      <c r="DP39" s="110"/>
      <c r="DQ39" s="110"/>
      <c r="DR39" s="110"/>
      <c r="DS39" s="110"/>
      <c r="DT39" s="110"/>
      <c r="DU39" s="110"/>
      <c r="DV39" s="110"/>
      <c r="DW39" s="110"/>
      <c r="DX39" s="110"/>
      <c r="DY39" s="110"/>
      <c r="DZ39" s="110"/>
      <c r="EA39" s="110"/>
      <c r="EB39" s="110"/>
      <c r="EC39" s="110"/>
      <c r="ED39" s="110"/>
      <c r="EE39" s="110"/>
      <c r="EF39" s="110"/>
      <c r="EG39" s="110"/>
      <c r="EH39" s="110"/>
      <c r="EI39" s="110"/>
      <c r="EJ39" s="110"/>
      <c r="EK39" s="110"/>
      <c r="EL39" s="110"/>
      <c r="EM39" s="110"/>
      <c r="EN39" s="110"/>
      <c r="EO39" s="110"/>
      <c r="EP39" s="110"/>
      <c r="EQ39" s="110"/>
      <c r="ER39" s="110"/>
      <c r="ES39" s="110"/>
      <c r="ET39" s="110"/>
      <c r="EU39" s="110"/>
      <c r="EV39" s="110"/>
      <c r="EW39" s="110"/>
      <c r="EX39" s="110"/>
      <c r="EY39" s="110"/>
      <c r="EZ39" s="110"/>
      <c r="FA39" s="110"/>
      <c r="FB39" s="110"/>
      <c r="FC39" s="110"/>
      <c r="FD39" s="110"/>
      <c r="FE39" s="110"/>
      <c r="FF39" s="110"/>
      <c r="FG39" s="110"/>
      <c r="FH39" s="110"/>
      <c r="FI39" s="110"/>
      <c r="FJ39" s="110"/>
      <c r="FK39" s="110"/>
      <c r="FL39" s="110"/>
      <c r="FM39" s="110"/>
      <c r="FN39" s="110"/>
      <c r="FO39" s="110"/>
      <c r="FP39" s="110"/>
      <c r="FQ39" s="110"/>
      <c r="FR39" s="110"/>
      <c r="FS39" s="110"/>
      <c r="FT39" s="110"/>
      <c r="FU39" s="110"/>
      <c r="FV39" s="110"/>
      <c r="FW39" s="110"/>
      <c r="FX39" s="110"/>
      <c r="FY39" s="110"/>
      <c r="FZ39" s="110"/>
      <c r="GA39" s="110"/>
      <c r="GB39" s="110"/>
      <c r="GC39" s="110"/>
      <c r="GD39" s="110"/>
      <c r="GE39" s="110"/>
      <c r="GF39" s="110"/>
      <c r="GG39" s="110"/>
      <c r="GH39" s="110"/>
      <c r="GI39" s="110"/>
      <c r="GJ39" s="110"/>
      <c r="GK39" s="110"/>
      <c r="GL39" s="110"/>
      <c r="GM39" s="110"/>
      <c r="GN39" s="110"/>
      <c r="GO39" s="110"/>
      <c r="GP39" s="110"/>
      <c r="GQ39" s="110"/>
      <c r="GR39" s="110"/>
      <c r="GS39" s="110"/>
      <c r="GT39" s="110"/>
      <c r="GU39" s="110"/>
      <c r="GV39" s="110"/>
      <c r="GW39" s="110"/>
      <c r="GX39" s="110"/>
      <c r="GY39" s="110"/>
      <c r="GZ39" s="110"/>
      <c r="HA39" s="110"/>
      <c r="HB39" s="110"/>
      <c r="HC39" s="110"/>
      <c r="HD39" s="110"/>
      <c r="HE39" s="110"/>
      <c r="HF39" s="110"/>
      <c r="HG39" s="110"/>
      <c r="HH39" s="110"/>
      <c r="HI39" s="110"/>
      <c r="HJ39" s="110"/>
      <c r="HK39" s="110"/>
      <c r="HL39" s="110"/>
      <c r="HM39" s="110"/>
      <c r="HN39" s="110"/>
      <c r="HO39" s="110"/>
      <c r="HP39" s="110"/>
      <c r="HQ39" s="110"/>
      <c r="HR39" s="110"/>
      <c r="HS39" s="110"/>
      <c r="HT39" s="110"/>
      <c r="HU39" s="110"/>
      <c r="HV39" s="110"/>
      <c r="HW39" s="110"/>
      <c r="HX39" s="110"/>
      <c r="HY39" s="110"/>
      <c r="HZ39" s="110"/>
      <c r="IA39" s="110"/>
      <c r="IB39" s="110"/>
      <c r="IC39" s="110"/>
      <c r="ID39" s="110"/>
      <c r="IE39" s="110"/>
      <c r="IF39" s="110"/>
      <c r="IG39" s="110"/>
      <c r="IH39" s="110"/>
      <c r="II39" s="110"/>
      <c r="IJ39" s="110"/>
      <c r="IK39" s="110"/>
      <c r="IL39" s="110"/>
      <c r="IM39" s="110"/>
      <c r="IN39" s="110"/>
      <c r="IO39" s="110"/>
      <c r="IP39" s="110"/>
      <c r="IQ39" s="110"/>
      <c r="IR39" s="110"/>
      <c r="IS39" s="110"/>
      <c r="IT39" s="110"/>
      <c r="IU39" s="110"/>
      <c r="IV39" s="110"/>
      <c r="IW39" s="110"/>
    </row>
    <row r="40" spans="1:257" ht="15" thickBot="1" x14ac:dyDescent="0.35">
      <c r="A40" s="156"/>
      <c r="B40" s="115" t="str">
        <f>'Parameter Values'!B194</f>
        <v>c_RDS</v>
      </c>
      <c r="C40" s="168">
        <f>'Parameter Values'!G194</f>
        <v>35899.807745158992</v>
      </c>
      <c r="D40" s="169">
        <f>'Parameter Values'!H194</f>
        <v>36399.789197888764</v>
      </c>
      <c r="E40" s="170">
        <f t="shared" si="0"/>
        <v>499.98145272977126</v>
      </c>
      <c r="F40" s="156"/>
      <c r="G40" s="156"/>
      <c r="H40" s="156"/>
      <c r="I40" s="171" t="s">
        <v>761</v>
      </c>
      <c r="J40" s="168">
        <v>32216.57565867572</v>
      </c>
      <c r="K40" s="169">
        <v>32218.913176726463</v>
      </c>
      <c r="L40" s="170">
        <v>2.3375180507428013</v>
      </c>
      <c r="M40" s="156"/>
      <c r="N40" s="156"/>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c r="BY40" s="110"/>
      <c r="BZ40" s="110"/>
      <c r="CA40" s="110"/>
      <c r="CB40" s="110"/>
      <c r="CC40" s="110"/>
      <c r="CD40" s="110"/>
      <c r="CE40" s="110"/>
      <c r="CF40" s="110"/>
      <c r="CG40" s="110"/>
      <c r="CH40" s="110"/>
      <c r="CI40" s="110"/>
      <c r="CJ40" s="110"/>
      <c r="CK40" s="110"/>
      <c r="CL40" s="110"/>
      <c r="CM40" s="110"/>
      <c r="CN40" s="110"/>
      <c r="CO40" s="110"/>
      <c r="CP40" s="110"/>
      <c r="CQ40" s="110"/>
      <c r="CR40" s="110"/>
      <c r="CS40" s="110"/>
      <c r="CT40" s="110"/>
      <c r="CU40" s="110"/>
      <c r="CV40" s="110"/>
      <c r="CW40" s="110"/>
      <c r="CX40" s="110"/>
      <c r="CY40" s="110"/>
      <c r="CZ40" s="110"/>
      <c r="DA40" s="110"/>
      <c r="DB40" s="110"/>
      <c r="DC40" s="110"/>
      <c r="DD40" s="110"/>
      <c r="DE40" s="110"/>
      <c r="DF40" s="110"/>
      <c r="DG40" s="110"/>
      <c r="DH40" s="110"/>
      <c r="DI40" s="110"/>
      <c r="DJ40" s="110"/>
      <c r="DK40" s="110"/>
      <c r="DL40" s="110"/>
      <c r="DM40" s="110"/>
      <c r="DN40" s="110"/>
      <c r="DO40" s="110"/>
      <c r="DP40" s="110"/>
      <c r="DQ40" s="110"/>
      <c r="DR40" s="110"/>
      <c r="DS40" s="110"/>
      <c r="DT40" s="110"/>
      <c r="DU40" s="110"/>
      <c r="DV40" s="110"/>
      <c r="DW40" s="110"/>
      <c r="DX40" s="110"/>
      <c r="DY40" s="110"/>
      <c r="DZ40" s="110"/>
      <c r="EA40" s="110"/>
      <c r="EB40" s="110"/>
      <c r="EC40" s="110"/>
      <c r="ED40" s="110"/>
      <c r="EE40" s="110"/>
      <c r="EF40" s="110"/>
      <c r="EG40" s="110"/>
      <c r="EH40" s="110"/>
      <c r="EI40" s="110"/>
      <c r="EJ40" s="110"/>
      <c r="EK40" s="110"/>
      <c r="EL40" s="110"/>
      <c r="EM40" s="110"/>
      <c r="EN40" s="110"/>
      <c r="EO40" s="110"/>
      <c r="EP40" s="110"/>
      <c r="EQ40" s="110"/>
      <c r="ER40" s="110"/>
      <c r="ES40" s="110"/>
      <c r="ET40" s="110"/>
      <c r="EU40" s="110"/>
      <c r="EV40" s="110"/>
      <c r="EW40" s="110"/>
      <c r="EX40" s="110"/>
      <c r="EY40" s="110"/>
      <c r="EZ40" s="110"/>
      <c r="FA40" s="110"/>
      <c r="FB40" s="110"/>
      <c r="FC40" s="110"/>
      <c r="FD40" s="110"/>
      <c r="FE40" s="110"/>
      <c r="FF40" s="110"/>
      <c r="FG40" s="110"/>
      <c r="FH40" s="110"/>
      <c r="FI40" s="110"/>
      <c r="FJ40" s="110"/>
      <c r="FK40" s="110"/>
      <c r="FL40" s="110"/>
      <c r="FM40" s="110"/>
      <c r="FN40" s="110"/>
      <c r="FO40" s="110"/>
      <c r="FP40" s="110"/>
      <c r="FQ40" s="110"/>
      <c r="FR40" s="110"/>
      <c r="FS40" s="110"/>
      <c r="FT40" s="110"/>
      <c r="FU40" s="110"/>
      <c r="FV40" s="110"/>
      <c r="FW40" s="110"/>
      <c r="FX40" s="110"/>
      <c r="FY40" s="110"/>
      <c r="FZ40" s="110"/>
      <c r="GA40" s="110"/>
      <c r="GB40" s="110"/>
      <c r="GC40" s="110"/>
      <c r="GD40" s="110"/>
      <c r="GE40" s="110"/>
      <c r="GF40" s="110"/>
      <c r="GG40" s="110"/>
      <c r="GH40" s="110"/>
      <c r="GI40" s="110"/>
      <c r="GJ40" s="110"/>
      <c r="GK40" s="110"/>
      <c r="GL40" s="110"/>
      <c r="GM40" s="110"/>
      <c r="GN40" s="110"/>
      <c r="GO40" s="110"/>
      <c r="GP40" s="110"/>
      <c r="GQ40" s="110"/>
      <c r="GR40" s="110"/>
      <c r="GS40" s="110"/>
      <c r="GT40" s="110"/>
      <c r="GU40" s="110"/>
      <c r="GV40" s="110"/>
      <c r="GW40" s="110"/>
      <c r="GX40" s="110"/>
      <c r="GY40" s="110"/>
      <c r="GZ40" s="110"/>
      <c r="HA40" s="110"/>
      <c r="HB40" s="110"/>
      <c r="HC40" s="110"/>
      <c r="HD40" s="110"/>
      <c r="HE40" s="110"/>
      <c r="HF40" s="110"/>
      <c r="HG40" s="110"/>
      <c r="HH40" s="110"/>
      <c r="HI40" s="110"/>
      <c r="HJ40" s="110"/>
      <c r="HK40" s="110"/>
      <c r="HL40" s="110"/>
      <c r="HM40" s="110"/>
      <c r="HN40" s="110"/>
      <c r="HO40" s="110"/>
      <c r="HP40" s="110"/>
      <c r="HQ40" s="110"/>
      <c r="HR40" s="110"/>
      <c r="HS40" s="110"/>
      <c r="HT40" s="110"/>
      <c r="HU40" s="110"/>
      <c r="HV40" s="110"/>
      <c r="HW40" s="110"/>
      <c r="HX40" s="110"/>
      <c r="HY40" s="110"/>
      <c r="HZ40" s="110"/>
      <c r="IA40" s="110"/>
      <c r="IB40" s="110"/>
      <c r="IC40" s="110"/>
      <c r="ID40" s="110"/>
      <c r="IE40" s="110"/>
      <c r="IF40" s="110"/>
      <c r="IG40" s="110"/>
      <c r="IH40" s="110"/>
      <c r="II40" s="110"/>
      <c r="IJ40" s="110"/>
      <c r="IK40" s="110"/>
      <c r="IL40" s="110"/>
      <c r="IM40" s="110"/>
      <c r="IN40" s="110"/>
      <c r="IO40" s="110"/>
      <c r="IP40" s="110"/>
      <c r="IQ40" s="110"/>
      <c r="IR40" s="110"/>
      <c r="IS40" s="110"/>
      <c r="IT40" s="110"/>
      <c r="IU40" s="110"/>
      <c r="IV40" s="110"/>
      <c r="IW40" s="110"/>
    </row>
    <row r="41" spans="1:257" ht="15" thickBot="1" x14ac:dyDescent="0.35">
      <c r="A41" s="156"/>
      <c r="B41" s="115" t="str">
        <f>'Parameter Values'!B195</f>
        <v>c_hypo</v>
      </c>
      <c r="C41" s="168">
        <f>'Parameter Values'!G195</f>
        <v>36116.722788985149</v>
      </c>
      <c r="D41" s="169">
        <f>'Parameter Values'!H195</f>
        <v>36200.1148938119</v>
      </c>
      <c r="E41" s="170">
        <f t="shared" si="0"/>
        <v>83.392104826751165</v>
      </c>
      <c r="F41" s="156"/>
      <c r="G41" s="156"/>
      <c r="H41" s="156"/>
      <c r="I41" s="171" t="s">
        <v>285</v>
      </c>
      <c r="J41" s="172">
        <v>32217.120993363584</v>
      </c>
      <c r="K41" s="169">
        <v>32218.326280415946</v>
      </c>
      <c r="L41" s="170">
        <v>1.2052870523621095</v>
      </c>
      <c r="M41" s="156"/>
      <c r="N41" s="156"/>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c r="BY41" s="110"/>
      <c r="BZ41" s="110"/>
      <c r="CA41" s="110"/>
      <c r="CB41" s="110"/>
      <c r="CC41" s="110"/>
      <c r="CD41" s="110"/>
      <c r="CE41" s="110"/>
      <c r="CF41" s="110"/>
      <c r="CG41" s="110"/>
      <c r="CH41" s="110"/>
      <c r="CI41" s="110"/>
      <c r="CJ41" s="110"/>
      <c r="CK41" s="110"/>
      <c r="CL41" s="110"/>
      <c r="CM41" s="110"/>
      <c r="CN41" s="110"/>
      <c r="CO41" s="110"/>
      <c r="CP41" s="110"/>
      <c r="CQ41" s="110"/>
      <c r="CR41" s="110"/>
      <c r="CS41" s="110"/>
      <c r="CT41" s="110"/>
      <c r="CU41" s="110"/>
      <c r="CV41" s="110"/>
      <c r="CW41" s="110"/>
      <c r="CX41" s="110"/>
      <c r="CY41" s="110"/>
      <c r="CZ41" s="110"/>
      <c r="DA41" s="110"/>
      <c r="DB41" s="110"/>
      <c r="DC41" s="110"/>
      <c r="DD41" s="110"/>
      <c r="DE41" s="110"/>
      <c r="DF41" s="110"/>
      <c r="DG41" s="110"/>
      <c r="DH41" s="110"/>
      <c r="DI41" s="110"/>
      <c r="DJ41" s="110"/>
      <c r="DK41" s="110"/>
      <c r="DL41" s="110"/>
      <c r="DM41" s="110"/>
      <c r="DN41" s="110"/>
      <c r="DO41" s="110"/>
      <c r="DP41" s="110"/>
      <c r="DQ41" s="110"/>
      <c r="DR41" s="110"/>
      <c r="DS41" s="110"/>
      <c r="DT41" s="110"/>
      <c r="DU41" s="110"/>
      <c r="DV41" s="110"/>
      <c r="DW41" s="110"/>
      <c r="DX41" s="110"/>
      <c r="DY41" s="110"/>
      <c r="DZ41" s="110"/>
      <c r="EA41" s="110"/>
      <c r="EB41" s="110"/>
      <c r="EC41" s="110"/>
      <c r="ED41" s="110"/>
      <c r="EE41" s="110"/>
      <c r="EF41" s="110"/>
      <c r="EG41" s="110"/>
      <c r="EH41" s="110"/>
      <c r="EI41" s="110"/>
      <c r="EJ41" s="110"/>
      <c r="EK41" s="110"/>
      <c r="EL41" s="110"/>
      <c r="EM41" s="110"/>
      <c r="EN41" s="110"/>
      <c r="EO41" s="110"/>
      <c r="EP41" s="110"/>
      <c r="EQ41" s="110"/>
      <c r="ER41" s="110"/>
      <c r="ES41" s="110"/>
      <c r="ET41" s="110"/>
      <c r="EU41" s="110"/>
      <c r="EV41" s="110"/>
      <c r="EW41" s="110"/>
      <c r="EX41" s="110"/>
      <c r="EY41" s="110"/>
      <c r="EZ41" s="110"/>
      <c r="FA41" s="110"/>
      <c r="FB41" s="110"/>
      <c r="FC41" s="110"/>
      <c r="FD41" s="110"/>
      <c r="FE41" s="110"/>
      <c r="FF41" s="110"/>
      <c r="FG41" s="110"/>
      <c r="FH41" s="110"/>
      <c r="FI41" s="110"/>
      <c r="FJ41" s="110"/>
      <c r="FK41" s="110"/>
      <c r="FL41" s="110"/>
      <c r="FM41" s="110"/>
      <c r="FN41" s="110"/>
      <c r="FO41" s="110"/>
      <c r="FP41" s="110"/>
      <c r="FQ41" s="110"/>
      <c r="FR41" s="110"/>
      <c r="FS41" s="110"/>
      <c r="FT41" s="110"/>
      <c r="FU41" s="110"/>
      <c r="FV41" s="110"/>
      <c r="FW41" s="110"/>
      <c r="FX41" s="110"/>
      <c r="FY41" s="110"/>
      <c r="FZ41" s="110"/>
      <c r="GA41" s="110"/>
      <c r="GB41" s="110"/>
      <c r="GC41" s="110"/>
      <c r="GD41" s="110"/>
      <c r="GE41" s="110"/>
      <c r="GF41" s="110"/>
      <c r="GG41" s="110"/>
      <c r="GH41" s="110"/>
      <c r="GI41" s="110"/>
      <c r="GJ41" s="110"/>
      <c r="GK41" s="110"/>
      <c r="GL41" s="110"/>
      <c r="GM41" s="110"/>
      <c r="GN41" s="110"/>
      <c r="GO41" s="110"/>
      <c r="GP41" s="110"/>
      <c r="GQ41" s="110"/>
      <c r="GR41" s="110"/>
      <c r="GS41" s="110"/>
      <c r="GT41" s="110"/>
      <c r="GU41" s="110"/>
      <c r="GV41" s="110"/>
      <c r="GW41" s="110"/>
      <c r="GX41" s="110"/>
      <c r="GY41" s="110"/>
      <c r="GZ41" s="110"/>
      <c r="HA41" s="110"/>
      <c r="HB41" s="110"/>
      <c r="HC41" s="110"/>
      <c r="HD41" s="110"/>
      <c r="HE41" s="110"/>
      <c r="HF41" s="110"/>
      <c r="HG41" s="110"/>
      <c r="HH41" s="110"/>
      <c r="HI41" s="110"/>
      <c r="HJ41" s="110"/>
      <c r="HK41" s="110"/>
      <c r="HL41" s="110"/>
      <c r="HM41" s="110"/>
      <c r="HN41" s="110"/>
      <c r="HO41" s="110"/>
      <c r="HP41" s="110"/>
      <c r="HQ41" s="110"/>
      <c r="HR41" s="110"/>
      <c r="HS41" s="110"/>
      <c r="HT41" s="110"/>
      <c r="HU41" s="110"/>
      <c r="HV41" s="110"/>
      <c r="HW41" s="110"/>
      <c r="HX41" s="110"/>
      <c r="HY41" s="110"/>
      <c r="HZ41" s="110"/>
      <c r="IA41" s="110"/>
      <c r="IB41" s="110"/>
      <c r="IC41" s="110"/>
      <c r="ID41" s="110"/>
      <c r="IE41" s="110"/>
      <c r="IF41" s="110"/>
      <c r="IG41" s="110"/>
      <c r="IH41" s="110"/>
      <c r="II41" s="110"/>
      <c r="IJ41" s="110"/>
      <c r="IK41" s="110"/>
      <c r="IL41" s="110"/>
      <c r="IM41" s="110"/>
      <c r="IN41" s="110"/>
      <c r="IO41" s="110"/>
      <c r="IP41" s="110"/>
      <c r="IQ41" s="110"/>
      <c r="IR41" s="110"/>
      <c r="IS41" s="110"/>
      <c r="IT41" s="110"/>
      <c r="IU41" s="110"/>
      <c r="IV41" s="110"/>
      <c r="IW41" s="110"/>
    </row>
    <row r="42" spans="1:257" ht="15" thickBot="1" x14ac:dyDescent="0.35">
      <c r="A42" s="156"/>
      <c r="B42" s="115" t="str">
        <f>'Parameter Values'!B196</f>
        <v xml:space="preserve">c_lung </v>
      </c>
      <c r="C42" s="168">
        <f>'Parameter Values'!G196</f>
        <v>35474.047109205276</v>
      </c>
      <c r="D42" s="169">
        <f>'Parameter Values'!H196</f>
        <v>36797.165791445688</v>
      </c>
      <c r="E42" s="170">
        <f t="shared" si="0"/>
        <v>1323.1186822404125</v>
      </c>
      <c r="F42" s="156"/>
      <c r="G42" s="156"/>
      <c r="H42" s="156"/>
      <c r="I42" s="171" t="s">
        <v>767</v>
      </c>
      <c r="J42" s="168">
        <v>32217.425352245788</v>
      </c>
      <c r="K42" s="173">
        <v>32218.042212125962</v>
      </c>
      <c r="L42" s="170">
        <v>0.61685988017416093</v>
      </c>
      <c r="M42" s="156"/>
      <c r="N42" s="156"/>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c r="BY42" s="110"/>
      <c r="BZ42" s="110"/>
      <c r="CA42" s="110"/>
      <c r="CB42" s="110"/>
      <c r="CC42" s="110"/>
      <c r="CD42" s="110"/>
      <c r="CE42" s="110"/>
      <c r="CF42" s="110"/>
      <c r="CG42" s="110"/>
      <c r="CH42" s="110"/>
      <c r="CI42" s="110"/>
      <c r="CJ42" s="110"/>
      <c r="CK42" s="110"/>
      <c r="CL42" s="110"/>
      <c r="CM42" s="110"/>
      <c r="CN42" s="110"/>
      <c r="CO42" s="110"/>
      <c r="CP42" s="110"/>
      <c r="CQ42" s="110"/>
      <c r="CR42" s="110"/>
      <c r="CS42" s="110"/>
      <c r="CT42" s="110"/>
      <c r="CU42" s="110"/>
      <c r="CV42" s="110"/>
      <c r="CW42" s="110"/>
      <c r="CX42" s="110"/>
      <c r="CY42" s="110"/>
      <c r="CZ42" s="110"/>
      <c r="DA42" s="110"/>
      <c r="DB42" s="110"/>
      <c r="DC42" s="110"/>
      <c r="DD42" s="110"/>
      <c r="DE42" s="110"/>
      <c r="DF42" s="110"/>
      <c r="DG42" s="110"/>
      <c r="DH42" s="110"/>
      <c r="DI42" s="110"/>
      <c r="DJ42" s="110"/>
      <c r="DK42" s="110"/>
      <c r="DL42" s="110"/>
      <c r="DM42" s="110"/>
      <c r="DN42" s="110"/>
      <c r="DO42" s="110"/>
      <c r="DP42" s="110"/>
      <c r="DQ42" s="110"/>
      <c r="DR42" s="110"/>
      <c r="DS42" s="110"/>
      <c r="DT42" s="110"/>
      <c r="DU42" s="110"/>
      <c r="DV42" s="110"/>
      <c r="DW42" s="110"/>
      <c r="DX42" s="110"/>
      <c r="DY42" s="110"/>
      <c r="DZ42" s="110"/>
      <c r="EA42" s="110"/>
      <c r="EB42" s="110"/>
      <c r="EC42" s="110"/>
      <c r="ED42" s="110"/>
      <c r="EE42" s="110"/>
      <c r="EF42" s="110"/>
      <c r="EG42" s="110"/>
      <c r="EH42" s="110"/>
      <c r="EI42" s="110"/>
      <c r="EJ42" s="110"/>
      <c r="EK42" s="110"/>
      <c r="EL42" s="110"/>
      <c r="EM42" s="110"/>
      <c r="EN42" s="110"/>
      <c r="EO42" s="110"/>
      <c r="EP42" s="110"/>
      <c r="EQ42" s="110"/>
      <c r="ER42" s="110"/>
      <c r="ES42" s="110"/>
      <c r="ET42" s="110"/>
      <c r="EU42" s="110"/>
      <c r="EV42" s="110"/>
      <c r="EW42" s="110"/>
      <c r="EX42" s="110"/>
      <c r="EY42" s="110"/>
      <c r="EZ42" s="110"/>
      <c r="FA42" s="110"/>
      <c r="FB42" s="110"/>
      <c r="FC42" s="110"/>
      <c r="FD42" s="110"/>
      <c r="FE42" s="110"/>
      <c r="FF42" s="110"/>
      <c r="FG42" s="110"/>
      <c r="FH42" s="110"/>
      <c r="FI42" s="110"/>
      <c r="FJ42" s="110"/>
      <c r="FK42" s="110"/>
      <c r="FL42" s="110"/>
      <c r="FM42" s="110"/>
      <c r="FN42" s="110"/>
      <c r="FO42" s="110"/>
      <c r="FP42" s="110"/>
      <c r="FQ42" s="110"/>
      <c r="FR42" s="110"/>
      <c r="FS42" s="110"/>
      <c r="FT42" s="110"/>
      <c r="FU42" s="110"/>
      <c r="FV42" s="110"/>
      <c r="FW42" s="110"/>
      <c r="FX42" s="110"/>
      <c r="FY42" s="110"/>
      <c r="FZ42" s="110"/>
      <c r="GA42" s="110"/>
      <c r="GB42" s="110"/>
      <c r="GC42" s="110"/>
      <c r="GD42" s="110"/>
      <c r="GE42" s="110"/>
      <c r="GF42" s="110"/>
      <c r="GG42" s="110"/>
      <c r="GH42" s="110"/>
      <c r="GI42" s="110"/>
      <c r="GJ42" s="110"/>
      <c r="GK42" s="110"/>
      <c r="GL42" s="110"/>
      <c r="GM42" s="110"/>
      <c r="GN42" s="110"/>
      <c r="GO42" s="110"/>
      <c r="GP42" s="110"/>
      <c r="GQ42" s="110"/>
      <c r="GR42" s="110"/>
      <c r="GS42" s="110"/>
      <c r="GT42" s="110"/>
      <c r="GU42" s="110"/>
      <c r="GV42" s="110"/>
      <c r="GW42" s="110"/>
      <c r="GX42" s="110"/>
      <c r="GY42" s="110"/>
      <c r="GZ42" s="110"/>
      <c r="HA42" s="110"/>
      <c r="HB42" s="110"/>
      <c r="HC42" s="110"/>
      <c r="HD42" s="110"/>
      <c r="HE42" s="110"/>
      <c r="HF42" s="110"/>
      <c r="HG42" s="110"/>
      <c r="HH42" s="110"/>
      <c r="HI42" s="110"/>
      <c r="HJ42" s="110"/>
      <c r="HK42" s="110"/>
      <c r="HL42" s="110"/>
      <c r="HM42" s="110"/>
      <c r="HN42" s="110"/>
      <c r="HO42" s="110"/>
      <c r="HP42" s="110"/>
      <c r="HQ42" s="110"/>
      <c r="HR42" s="110"/>
      <c r="HS42" s="110"/>
      <c r="HT42" s="110"/>
      <c r="HU42" s="110"/>
      <c r="HV42" s="110"/>
      <c r="HW42" s="110"/>
      <c r="HX42" s="110"/>
      <c r="HY42" s="110"/>
      <c r="HZ42" s="110"/>
      <c r="IA42" s="110"/>
      <c r="IB42" s="110"/>
      <c r="IC42" s="110"/>
      <c r="ID42" s="110"/>
      <c r="IE42" s="110"/>
      <c r="IF42" s="110"/>
      <c r="IG42" s="110"/>
      <c r="IH42" s="110"/>
      <c r="II42" s="110"/>
      <c r="IJ42" s="110"/>
      <c r="IK42" s="110"/>
      <c r="IL42" s="110"/>
      <c r="IM42" s="110"/>
      <c r="IN42" s="110"/>
      <c r="IO42" s="110"/>
      <c r="IP42" s="110"/>
      <c r="IQ42" s="110"/>
      <c r="IR42" s="110"/>
      <c r="IS42" s="110"/>
      <c r="IT42" s="110"/>
      <c r="IU42" s="110"/>
      <c r="IV42" s="110"/>
      <c r="IW42" s="110"/>
    </row>
    <row r="43" spans="1:257" ht="15" thickBot="1" x14ac:dyDescent="0.35">
      <c r="A43" s="156"/>
      <c r="B43" s="115" t="str">
        <f>'Parameter Values'!B197</f>
        <v>c_cog</v>
      </c>
      <c r="C43" s="168">
        <f>'Parameter Values'!G197</f>
        <v>36157.780019019119</v>
      </c>
      <c r="D43" s="169">
        <f>'Parameter Values'!H197</f>
        <v>36159.015075619318</v>
      </c>
      <c r="E43" s="170">
        <f t="shared" si="0"/>
        <v>1.2350566001987318</v>
      </c>
      <c r="F43" s="156"/>
      <c r="G43" s="156"/>
      <c r="H43" s="156"/>
      <c r="I43" s="171" t="s">
        <v>750</v>
      </c>
      <c r="J43" s="172">
        <v>32217.744417701077</v>
      </c>
      <c r="K43" s="169">
        <v>32217.744417701077</v>
      </c>
      <c r="L43" s="170">
        <v>0</v>
      </c>
      <c r="M43" s="156"/>
      <c r="N43" s="156"/>
      <c r="O43" s="110"/>
      <c r="P43" s="110"/>
      <c r="Q43" s="110"/>
      <c r="R43" s="110"/>
      <c r="S43" s="110"/>
      <c r="T43" s="110"/>
      <c r="U43" s="110"/>
      <c r="V43" s="110"/>
      <c r="W43" s="110"/>
      <c r="X43" s="110"/>
      <c r="Y43" s="110"/>
      <c r="Z43" s="110"/>
      <c r="AA43" s="110"/>
      <c r="AB43" s="110"/>
      <c r="AC43" s="110"/>
      <c r="AD43" s="110"/>
      <c r="AE43" s="110"/>
      <c r="AF43" s="110"/>
      <c r="AG43" s="110"/>
      <c r="AH43" s="110"/>
      <c r="AI43" s="110"/>
      <c r="AJ43" s="110"/>
      <c r="AK43" s="110"/>
      <c r="AL43" s="110"/>
      <c r="AM43" s="110"/>
      <c r="AN43" s="110"/>
      <c r="AO43" s="110"/>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10"/>
      <c r="BL43" s="110"/>
      <c r="BM43" s="110"/>
      <c r="BN43" s="110"/>
      <c r="BO43" s="110"/>
      <c r="BP43" s="110"/>
      <c r="BQ43" s="110"/>
      <c r="BR43" s="110"/>
      <c r="BS43" s="110"/>
      <c r="BT43" s="110"/>
      <c r="BU43" s="110"/>
      <c r="BV43" s="110"/>
      <c r="BW43" s="110"/>
      <c r="BX43" s="110"/>
      <c r="BY43" s="110"/>
      <c r="BZ43" s="110"/>
      <c r="CA43" s="110"/>
      <c r="CB43" s="110"/>
      <c r="CC43" s="110"/>
      <c r="CD43" s="110"/>
      <c r="CE43" s="110"/>
      <c r="CF43" s="110"/>
      <c r="CG43" s="110"/>
      <c r="CH43" s="110"/>
      <c r="CI43" s="110"/>
      <c r="CJ43" s="110"/>
      <c r="CK43" s="110"/>
      <c r="CL43" s="110"/>
      <c r="CM43" s="110"/>
      <c r="CN43" s="110"/>
      <c r="CO43" s="110"/>
      <c r="CP43" s="110"/>
      <c r="CQ43" s="110"/>
      <c r="CR43" s="110"/>
      <c r="CS43" s="110"/>
      <c r="CT43" s="110"/>
      <c r="CU43" s="110"/>
      <c r="CV43" s="110"/>
      <c r="CW43" s="110"/>
      <c r="CX43" s="110"/>
      <c r="CY43" s="110"/>
      <c r="CZ43" s="110"/>
      <c r="DA43" s="110"/>
      <c r="DB43" s="110"/>
      <c r="DC43" s="110"/>
      <c r="DD43" s="110"/>
      <c r="DE43" s="110"/>
      <c r="DF43" s="110"/>
      <c r="DG43" s="110"/>
      <c r="DH43" s="110"/>
      <c r="DI43" s="110"/>
      <c r="DJ43" s="110"/>
      <c r="DK43" s="110"/>
      <c r="DL43" s="110"/>
      <c r="DM43" s="110"/>
      <c r="DN43" s="110"/>
      <c r="DO43" s="110"/>
      <c r="DP43" s="110"/>
      <c r="DQ43" s="110"/>
      <c r="DR43" s="110"/>
      <c r="DS43" s="110"/>
      <c r="DT43" s="110"/>
      <c r="DU43" s="110"/>
      <c r="DV43" s="110"/>
      <c r="DW43" s="110"/>
      <c r="DX43" s="110"/>
      <c r="DY43" s="110"/>
      <c r="DZ43" s="110"/>
      <c r="EA43" s="110"/>
      <c r="EB43" s="110"/>
      <c r="EC43" s="110"/>
      <c r="ED43" s="110"/>
      <c r="EE43" s="110"/>
      <c r="EF43" s="110"/>
      <c r="EG43" s="110"/>
      <c r="EH43" s="110"/>
      <c r="EI43" s="110"/>
      <c r="EJ43" s="110"/>
      <c r="EK43" s="110"/>
      <c r="EL43" s="110"/>
      <c r="EM43" s="110"/>
      <c r="EN43" s="110"/>
      <c r="EO43" s="110"/>
      <c r="EP43" s="110"/>
      <c r="EQ43" s="110"/>
      <c r="ER43" s="110"/>
      <c r="ES43" s="110"/>
      <c r="ET43" s="110"/>
      <c r="EU43" s="110"/>
      <c r="EV43" s="110"/>
      <c r="EW43" s="110"/>
      <c r="EX43" s="110"/>
      <c r="EY43" s="110"/>
      <c r="EZ43" s="110"/>
      <c r="FA43" s="110"/>
      <c r="FB43" s="110"/>
      <c r="FC43" s="110"/>
      <c r="FD43" s="110"/>
      <c r="FE43" s="110"/>
      <c r="FF43" s="110"/>
      <c r="FG43" s="110"/>
      <c r="FH43" s="110"/>
      <c r="FI43" s="110"/>
      <c r="FJ43" s="110"/>
      <c r="FK43" s="110"/>
      <c r="FL43" s="110"/>
      <c r="FM43" s="110"/>
      <c r="FN43" s="110"/>
      <c r="FO43" s="110"/>
      <c r="FP43" s="110"/>
      <c r="FQ43" s="110"/>
      <c r="FR43" s="110"/>
      <c r="FS43" s="110"/>
      <c r="FT43" s="110"/>
      <c r="FU43" s="110"/>
      <c r="FV43" s="110"/>
      <c r="FW43" s="110"/>
      <c r="FX43" s="110"/>
      <c r="FY43" s="110"/>
      <c r="FZ43" s="110"/>
      <c r="GA43" s="110"/>
      <c r="GB43" s="110"/>
      <c r="GC43" s="110"/>
      <c r="GD43" s="110"/>
      <c r="GE43" s="110"/>
      <c r="GF43" s="110"/>
      <c r="GG43" s="110"/>
      <c r="GH43" s="110"/>
      <c r="GI43" s="110"/>
      <c r="GJ43" s="110"/>
      <c r="GK43" s="110"/>
      <c r="GL43" s="110"/>
      <c r="GM43" s="110"/>
      <c r="GN43" s="110"/>
      <c r="GO43" s="110"/>
      <c r="GP43" s="110"/>
      <c r="GQ43" s="110"/>
      <c r="GR43" s="110"/>
      <c r="GS43" s="110"/>
      <c r="GT43" s="110"/>
      <c r="GU43" s="110"/>
      <c r="GV43" s="110"/>
      <c r="GW43" s="110"/>
      <c r="GX43" s="110"/>
      <c r="GY43" s="110"/>
      <c r="GZ43" s="110"/>
      <c r="HA43" s="110"/>
      <c r="HB43" s="110"/>
      <c r="HC43" s="110"/>
      <c r="HD43" s="110"/>
      <c r="HE43" s="110"/>
      <c r="HF43" s="110"/>
      <c r="HG43" s="110"/>
      <c r="HH43" s="110"/>
      <c r="HI43" s="110"/>
      <c r="HJ43" s="110"/>
      <c r="HK43" s="110"/>
      <c r="HL43" s="110"/>
      <c r="HM43" s="110"/>
      <c r="HN43" s="110"/>
      <c r="HO43" s="110"/>
      <c r="HP43" s="110"/>
      <c r="HQ43" s="110"/>
      <c r="HR43" s="110"/>
      <c r="HS43" s="110"/>
      <c r="HT43" s="110"/>
      <c r="HU43" s="110"/>
      <c r="HV43" s="110"/>
      <c r="HW43" s="110"/>
      <c r="HX43" s="110"/>
      <c r="HY43" s="110"/>
      <c r="HZ43" s="110"/>
      <c r="IA43" s="110"/>
      <c r="IB43" s="110"/>
      <c r="IC43" s="110"/>
      <c r="ID43" s="110"/>
      <c r="IE43" s="110"/>
      <c r="IF43" s="110"/>
      <c r="IG43" s="110"/>
      <c r="IH43" s="110"/>
      <c r="II43" s="110"/>
      <c r="IJ43" s="110"/>
      <c r="IK43" s="110"/>
      <c r="IL43" s="110"/>
      <c r="IM43" s="110"/>
      <c r="IN43" s="110"/>
      <c r="IO43" s="110"/>
      <c r="IP43" s="110"/>
      <c r="IQ43" s="110"/>
      <c r="IR43" s="110"/>
      <c r="IS43" s="110"/>
      <c r="IT43" s="110"/>
      <c r="IU43" s="110"/>
      <c r="IV43" s="110"/>
      <c r="IW43" s="110"/>
    </row>
    <row r="44" spans="1:257" ht="15" thickBot="1" x14ac:dyDescent="0.35">
      <c r="A44" s="156"/>
      <c r="B44" s="115" t="str">
        <f>'Parameter Values'!B198</f>
        <v>c_hosp fu</v>
      </c>
      <c r="C44" s="168">
        <f>'Parameter Values'!G198</f>
        <v>36144.216471872191</v>
      </c>
      <c r="D44" s="169">
        <f>'Parameter Values'!H198</f>
        <v>36171.674386289917</v>
      </c>
      <c r="E44" s="170">
        <f t="shared" si="0"/>
        <v>27.457914417725988</v>
      </c>
      <c r="F44" s="156"/>
      <c r="G44" s="156"/>
      <c r="H44" s="156"/>
      <c r="I44" s="174" t="s">
        <v>751</v>
      </c>
      <c r="J44" s="168">
        <v>32217.744417701077</v>
      </c>
      <c r="K44" s="169">
        <v>32217.744417701077</v>
      </c>
      <c r="L44" s="170">
        <v>0</v>
      </c>
      <c r="M44" s="156"/>
      <c r="N44" s="156"/>
      <c r="O44" s="110"/>
      <c r="P44" s="110"/>
      <c r="Q44" s="110"/>
      <c r="R44" s="110"/>
      <c r="S44" s="110"/>
      <c r="T44" s="110"/>
      <c r="U44" s="110"/>
      <c r="V44" s="110"/>
      <c r="W44" s="110"/>
      <c r="X44" s="110"/>
      <c r="Y44" s="110"/>
      <c r="Z44" s="110"/>
      <c r="AA44" s="110"/>
      <c r="AB44" s="110"/>
      <c r="AC44" s="110"/>
      <c r="AD44" s="110"/>
      <c r="AE44" s="110"/>
      <c r="AF44" s="110"/>
      <c r="AG44" s="110"/>
      <c r="AH44" s="110"/>
      <c r="AI44" s="110"/>
      <c r="AJ44" s="110"/>
      <c r="AK44" s="110"/>
      <c r="AL44" s="110"/>
      <c r="AM44" s="110"/>
      <c r="AN44" s="110"/>
      <c r="AO44" s="110"/>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10"/>
      <c r="BL44" s="110"/>
      <c r="BM44" s="110"/>
      <c r="BN44" s="110"/>
      <c r="BO44" s="110"/>
      <c r="BP44" s="110"/>
      <c r="BQ44" s="110"/>
      <c r="BR44" s="110"/>
      <c r="BS44" s="110"/>
      <c r="BT44" s="110"/>
      <c r="BU44" s="110"/>
      <c r="BV44" s="110"/>
      <c r="BW44" s="110"/>
      <c r="BX44" s="110"/>
      <c r="BY44" s="110"/>
      <c r="BZ44" s="110"/>
      <c r="CA44" s="110"/>
      <c r="CB44" s="110"/>
      <c r="CC44" s="110"/>
      <c r="CD44" s="110"/>
      <c r="CE44" s="110"/>
      <c r="CF44" s="110"/>
      <c r="CG44" s="110"/>
      <c r="CH44" s="110"/>
      <c r="CI44" s="110"/>
      <c r="CJ44" s="110"/>
      <c r="CK44" s="110"/>
      <c r="CL44" s="110"/>
      <c r="CM44" s="110"/>
      <c r="CN44" s="110"/>
      <c r="CO44" s="110"/>
      <c r="CP44" s="110"/>
      <c r="CQ44" s="110"/>
      <c r="CR44" s="110"/>
      <c r="CS44" s="110"/>
      <c r="CT44" s="110"/>
      <c r="CU44" s="110"/>
      <c r="CV44" s="110"/>
      <c r="CW44" s="110"/>
      <c r="CX44" s="110"/>
      <c r="CY44" s="110"/>
      <c r="CZ44" s="110"/>
      <c r="DA44" s="110"/>
      <c r="DB44" s="110"/>
      <c r="DC44" s="110"/>
      <c r="DD44" s="110"/>
      <c r="DE44" s="110"/>
      <c r="DF44" s="110"/>
      <c r="DG44" s="110"/>
      <c r="DH44" s="110"/>
      <c r="DI44" s="110"/>
      <c r="DJ44" s="110"/>
      <c r="DK44" s="110"/>
      <c r="DL44" s="110"/>
      <c r="DM44" s="110"/>
      <c r="DN44" s="110"/>
      <c r="DO44" s="110"/>
      <c r="DP44" s="110"/>
      <c r="DQ44" s="110"/>
      <c r="DR44" s="110"/>
      <c r="DS44" s="110"/>
      <c r="DT44" s="110"/>
      <c r="DU44" s="110"/>
      <c r="DV44" s="110"/>
      <c r="DW44" s="110"/>
      <c r="DX44" s="110"/>
      <c r="DY44" s="110"/>
      <c r="DZ44" s="110"/>
      <c r="EA44" s="110"/>
      <c r="EB44" s="110"/>
      <c r="EC44" s="110"/>
      <c r="ED44" s="110"/>
      <c r="EE44" s="110"/>
      <c r="EF44" s="110"/>
      <c r="EG44" s="110"/>
      <c r="EH44" s="110"/>
      <c r="EI44" s="110"/>
      <c r="EJ44" s="110"/>
      <c r="EK44" s="110"/>
      <c r="EL44" s="110"/>
      <c r="EM44" s="110"/>
      <c r="EN44" s="110"/>
      <c r="EO44" s="110"/>
      <c r="EP44" s="110"/>
      <c r="EQ44" s="110"/>
      <c r="ER44" s="110"/>
      <c r="ES44" s="110"/>
      <c r="ET44" s="110"/>
      <c r="EU44" s="110"/>
      <c r="EV44" s="110"/>
      <c r="EW44" s="110"/>
      <c r="EX44" s="110"/>
      <c r="EY44" s="110"/>
      <c r="EZ44" s="110"/>
      <c r="FA44" s="110"/>
      <c r="FB44" s="110"/>
      <c r="FC44" s="110"/>
      <c r="FD44" s="110"/>
      <c r="FE44" s="110"/>
      <c r="FF44" s="110"/>
      <c r="FG44" s="110"/>
      <c r="FH44" s="110"/>
      <c r="FI44" s="110"/>
      <c r="FJ44" s="110"/>
      <c r="FK44" s="110"/>
      <c r="FL44" s="110"/>
      <c r="FM44" s="110"/>
      <c r="FN44" s="110"/>
      <c r="FO44" s="110"/>
      <c r="FP44" s="110"/>
      <c r="FQ44" s="110"/>
      <c r="FR44" s="110"/>
      <c r="FS44" s="110"/>
      <c r="FT44" s="110"/>
      <c r="FU44" s="110"/>
      <c r="FV44" s="110"/>
      <c r="FW44" s="110"/>
      <c r="FX44" s="110"/>
      <c r="FY44" s="110"/>
      <c r="FZ44" s="110"/>
      <c r="GA44" s="110"/>
      <c r="GB44" s="110"/>
      <c r="GC44" s="110"/>
      <c r="GD44" s="110"/>
      <c r="GE44" s="110"/>
      <c r="GF44" s="110"/>
      <c r="GG44" s="110"/>
      <c r="GH44" s="110"/>
      <c r="GI44" s="110"/>
      <c r="GJ44" s="110"/>
      <c r="GK44" s="110"/>
      <c r="GL44" s="110"/>
      <c r="GM44" s="110"/>
      <c r="GN44" s="110"/>
      <c r="GO44" s="110"/>
      <c r="GP44" s="110"/>
      <c r="GQ44" s="110"/>
      <c r="GR44" s="110"/>
      <c r="GS44" s="110"/>
      <c r="GT44" s="110"/>
      <c r="GU44" s="110"/>
      <c r="GV44" s="110"/>
      <c r="GW44" s="110"/>
      <c r="GX44" s="110"/>
      <c r="GY44" s="110"/>
      <c r="GZ44" s="110"/>
      <c r="HA44" s="110"/>
      <c r="HB44" s="110"/>
      <c r="HC44" s="110"/>
      <c r="HD44" s="110"/>
      <c r="HE44" s="110"/>
      <c r="HF44" s="110"/>
      <c r="HG44" s="110"/>
      <c r="HH44" s="110"/>
      <c r="HI44" s="110"/>
      <c r="HJ44" s="110"/>
      <c r="HK44" s="110"/>
      <c r="HL44" s="110"/>
      <c r="HM44" s="110"/>
      <c r="HN44" s="110"/>
      <c r="HO44" s="110"/>
      <c r="HP44" s="110"/>
      <c r="HQ44" s="110"/>
      <c r="HR44" s="110"/>
      <c r="HS44" s="110"/>
      <c r="HT44" s="110"/>
      <c r="HU44" s="110"/>
      <c r="HV44" s="110"/>
      <c r="HW44" s="110"/>
      <c r="HX44" s="110"/>
      <c r="HY44" s="110"/>
      <c r="HZ44" s="110"/>
      <c r="IA44" s="110"/>
      <c r="IB44" s="110"/>
      <c r="IC44" s="110"/>
      <c r="ID44" s="110"/>
      <c r="IE44" s="110"/>
      <c r="IF44" s="110"/>
      <c r="IG44" s="110"/>
      <c r="IH44" s="110"/>
      <c r="II44" s="110"/>
      <c r="IJ44" s="110"/>
      <c r="IK44" s="110"/>
      <c r="IL44" s="110"/>
      <c r="IM44" s="110"/>
      <c r="IN44" s="110"/>
      <c r="IO44" s="110"/>
      <c r="IP44" s="110"/>
      <c r="IQ44" s="110"/>
      <c r="IR44" s="110"/>
      <c r="IS44" s="110"/>
      <c r="IT44" s="110"/>
      <c r="IU44" s="110"/>
      <c r="IV44" s="110"/>
      <c r="IW44" s="110"/>
    </row>
    <row r="45" spans="1:257" x14ac:dyDescent="0.3">
      <c r="A45" s="156"/>
      <c r="B45" s="115" t="str">
        <f>'Parameter Values'!B199</f>
        <v>c_clinic fu</v>
      </c>
      <c r="C45" s="168">
        <f>'Parameter Values'!G199</f>
        <v>36220.414979428489</v>
      </c>
      <c r="D45" s="169">
        <f>'Parameter Values'!H199</f>
        <v>36100.555779237344</v>
      </c>
      <c r="E45" s="170">
        <f t="shared" si="0"/>
        <v>119.85920019114565</v>
      </c>
      <c r="F45" s="156"/>
      <c r="G45" s="156"/>
      <c r="H45" s="156"/>
      <c r="I45" s="174" t="s">
        <v>739</v>
      </c>
      <c r="J45" s="168">
        <v>32249.633031419507</v>
      </c>
      <c r="K45" s="169">
        <v>32249.633031419507</v>
      </c>
      <c r="L45" s="170">
        <v>0</v>
      </c>
      <c r="M45" s="156"/>
      <c r="N45" s="156"/>
      <c r="O45" s="110"/>
      <c r="P45" s="110"/>
      <c r="Q45" s="110"/>
      <c r="R45" s="110"/>
      <c r="S45" s="110"/>
      <c r="T45" s="110"/>
      <c r="U45" s="110"/>
      <c r="V45" s="110"/>
      <c r="W45" s="110"/>
      <c r="X45" s="110"/>
      <c r="Y45" s="110"/>
      <c r="Z45" s="110"/>
      <c r="AA45" s="110"/>
      <c r="AB45" s="110"/>
      <c r="AC45" s="110"/>
      <c r="AD45" s="110"/>
      <c r="AE45" s="110"/>
      <c r="AF45" s="110"/>
      <c r="AG45" s="110"/>
      <c r="AH45" s="110"/>
      <c r="AI45" s="110"/>
      <c r="AJ45" s="110"/>
      <c r="AK45" s="110"/>
      <c r="AL45" s="110"/>
      <c r="AM45" s="110"/>
      <c r="AN45" s="110"/>
      <c r="AO45" s="110"/>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10"/>
      <c r="BL45" s="110"/>
      <c r="BM45" s="110"/>
      <c r="BN45" s="110"/>
      <c r="BO45" s="110"/>
      <c r="BP45" s="110"/>
      <c r="BQ45" s="110"/>
      <c r="BR45" s="110"/>
      <c r="BS45" s="110"/>
      <c r="BT45" s="110"/>
      <c r="BU45" s="110"/>
      <c r="BV45" s="110"/>
      <c r="BW45" s="110"/>
      <c r="BX45" s="110"/>
      <c r="BY45" s="110"/>
      <c r="BZ45" s="110"/>
      <c r="CA45" s="110"/>
      <c r="CB45" s="110"/>
      <c r="CC45" s="110"/>
      <c r="CD45" s="110"/>
      <c r="CE45" s="110"/>
      <c r="CF45" s="110"/>
      <c r="CG45" s="110"/>
      <c r="CH45" s="110"/>
      <c r="CI45" s="110"/>
      <c r="CJ45" s="110"/>
      <c r="CK45" s="110"/>
      <c r="CL45" s="110"/>
      <c r="CM45" s="110"/>
      <c r="CN45" s="110"/>
      <c r="CO45" s="110"/>
      <c r="CP45" s="110"/>
      <c r="CQ45" s="110"/>
      <c r="CR45" s="110"/>
      <c r="CS45" s="110"/>
      <c r="CT45" s="110"/>
      <c r="CU45" s="110"/>
      <c r="CV45" s="110"/>
      <c r="CW45" s="110"/>
      <c r="CX45" s="110"/>
      <c r="CY45" s="110"/>
      <c r="CZ45" s="110"/>
      <c r="DA45" s="110"/>
      <c r="DB45" s="110"/>
      <c r="DC45" s="110"/>
      <c r="DD45" s="110"/>
      <c r="DE45" s="110"/>
      <c r="DF45" s="110"/>
      <c r="DG45" s="110"/>
      <c r="DH45" s="110"/>
      <c r="DI45" s="110"/>
      <c r="DJ45" s="110"/>
      <c r="DK45" s="110"/>
      <c r="DL45" s="110"/>
      <c r="DM45" s="110"/>
      <c r="DN45" s="110"/>
      <c r="DO45" s="110"/>
      <c r="DP45" s="110"/>
      <c r="DQ45" s="110"/>
      <c r="DR45" s="110"/>
      <c r="DS45" s="110"/>
      <c r="DT45" s="110"/>
      <c r="DU45" s="110"/>
      <c r="DV45" s="110"/>
      <c r="DW45" s="110"/>
      <c r="DX45" s="110"/>
      <c r="DY45" s="110"/>
      <c r="DZ45" s="110"/>
      <c r="EA45" s="110"/>
      <c r="EB45" s="110"/>
      <c r="EC45" s="110"/>
      <c r="ED45" s="110"/>
      <c r="EE45" s="110"/>
      <c r="EF45" s="110"/>
      <c r="EG45" s="110"/>
      <c r="EH45" s="110"/>
      <c r="EI45" s="110"/>
      <c r="EJ45" s="110"/>
      <c r="EK45" s="110"/>
      <c r="EL45" s="110"/>
      <c r="EM45" s="110"/>
      <c r="EN45" s="110"/>
      <c r="EO45" s="110"/>
      <c r="EP45" s="110"/>
      <c r="EQ45" s="110"/>
      <c r="ER45" s="110"/>
      <c r="ES45" s="110"/>
      <c r="ET45" s="110"/>
      <c r="EU45" s="110"/>
      <c r="EV45" s="110"/>
      <c r="EW45" s="110"/>
      <c r="EX45" s="110"/>
      <c r="EY45" s="110"/>
      <c r="EZ45" s="110"/>
      <c r="FA45" s="110"/>
      <c r="FB45" s="110"/>
      <c r="FC45" s="110"/>
      <c r="FD45" s="110"/>
      <c r="FE45" s="110"/>
      <c r="FF45" s="110"/>
      <c r="FG45" s="110"/>
      <c r="FH45" s="110"/>
      <c r="FI45" s="110"/>
      <c r="FJ45" s="110"/>
      <c r="FK45" s="110"/>
      <c r="FL45" s="110"/>
      <c r="FM45" s="110"/>
      <c r="FN45" s="110"/>
      <c r="FO45" s="110"/>
      <c r="FP45" s="110"/>
      <c r="FQ45" s="110"/>
      <c r="FR45" s="110"/>
      <c r="FS45" s="110"/>
      <c r="FT45" s="110"/>
      <c r="FU45" s="110"/>
      <c r="FV45" s="110"/>
      <c r="FW45" s="110"/>
      <c r="FX45" s="110"/>
      <c r="FY45" s="110"/>
      <c r="FZ45" s="110"/>
      <c r="GA45" s="110"/>
      <c r="GB45" s="110"/>
      <c r="GC45" s="110"/>
      <c r="GD45" s="110"/>
      <c r="GE45" s="110"/>
      <c r="GF45" s="110"/>
      <c r="GG45" s="110"/>
      <c r="GH45" s="110"/>
      <c r="GI45" s="110"/>
      <c r="GJ45" s="110"/>
      <c r="GK45" s="110"/>
      <c r="GL45" s="110"/>
      <c r="GM45" s="110"/>
      <c r="GN45" s="110"/>
      <c r="GO45" s="110"/>
      <c r="GP45" s="110"/>
      <c r="GQ45" s="110"/>
      <c r="GR45" s="110"/>
      <c r="GS45" s="110"/>
      <c r="GT45" s="110"/>
      <c r="GU45" s="110"/>
      <c r="GV45" s="110"/>
      <c r="GW45" s="110"/>
      <c r="GX45" s="110"/>
      <c r="GY45" s="110"/>
      <c r="GZ45" s="110"/>
      <c r="HA45" s="110"/>
      <c r="HB45" s="110"/>
      <c r="HC45" s="110"/>
      <c r="HD45" s="110"/>
      <c r="HE45" s="110"/>
      <c r="HF45" s="110"/>
      <c r="HG45" s="110"/>
      <c r="HH45" s="110"/>
      <c r="HI45" s="110"/>
      <c r="HJ45" s="110"/>
      <c r="HK45" s="110"/>
      <c r="HL45" s="110"/>
      <c r="HM45" s="110"/>
      <c r="HN45" s="110"/>
      <c r="HO45" s="110"/>
      <c r="HP45" s="110"/>
      <c r="HQ45" s="110"/>
      <c r="HR45" s="110"/>
      <c r="HS45" s="110"/>
      <c r="HT45" s="110"/>
      <c r="HU45" s="110"/>
      <c r="HV45" s="110"/>
      <c r="HW45" s="110"/>
      <c r="HX45" s="110"/>
      <c r="HY45" s="110"/>
      <c r="HZ45" s="110"/>
      <c r="IA45" s="110"/>
      <c r="IB45" s="110"/>
      <c r="IC45" s="110"/>
      <c r="ID45" s="110"/>
      <c r="IE45" s="110"/>
      <c r="IF45" s="110"/>
      <c r="IG45" s="110"/>
      <c r="IH45" s="110"/>
      <c r="II45" s="110"/>
      <c r="IJ45" s="110"/>
      <c r="IK45" s="110"/>
      <c r="IL45" s="110"/>
      <c r="IM45" s="110"/>
      <c r="IN45" s="110"/>
      <c r="IO45" s="110"/>
      <c r="IP45" s="110"/>
      <c r="IQ45" s="110"/>
      <c r="IR45" s="110"/>
      <c r="IS45" s="110"/>
      <c r="IT45" s="110"/>
      <c r="IU45" s="110"/>
      <c r="IV45" s="110"/>
      <c r="IW45" s="110"/>
    </row>
    <row r="46" spans="1:257" x14ac:dyDescent="0.3">
      <c r="A46" s="156"/>
      <c r="B46" s="156"/>
      <c r="C46" s="156"/>
      <c r="D46" s="156"/>
      <c r="E46" s="156"/>
      <c r="F46" s="156"/>
      <c r="G46" s="156"/>
      <c r="H46" s="156"/>
      <c r="I46" s="174"/>
      <c r="J46" s="168"/>
      <c r="K46" s="169"/>
      <c r="L46" s="170"/>
      <c r="M46" s="156"/>
      <c r="N46" s="156"/>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c r="BY46" s="110"/>
      <c r="BZ46" s="110"/>
      <c r="CA46" s="110"/>
      <c r="CB46" s="110"/>
      <c r="CC46" s="110"/>
      <c r="CD46" s="110"/>
      <c r="CE46" s="110"/>
      <c r="CF46" s="110"/>
      <c r="CG46" s="110"/>
      <c r="CH46" s="110"/>
      <c r="CI46" s="110"/>
      <c r="CJ46" s="110"/>
      <c r="CK46" s="110"/>
      <c r="CL46" s="110"/>
      <c r="CM46" s="110"/>
      <c r="CN46" s="110"/>
      <c r="CO46" s="110"/>
      <c r="CP46" s="110"/>
      <c r="CQ46" s="110"/>
      <c r="CR46" s="110"/>
      <c r="CS46" s="110"/>
      <c r="CT46" s="110"/>
      <c r="CU46" s="110"/>
      <c r="CV46" s="110"/>
      <c r="CW46" s="110"/>
      <c r="CX46" s="110"/>
      <c r="CY46" s="110"/>
      <c r="CZ46" s="110"/>
      <c r="DA46" s="110"/>
      <c r="DB46" s="110"/>
      <c r="DC46" s="110"/>
      <c r="DD46" s="110"/>
      <c r="DE46" s="110"/>
      <c r="DF46" s="110"/>
      <c r="DG46" s="110"/>
      <c r="DH46" s="110"/>
      <c r="DI46" s="110"/>
      <c r="DJ46" s="110"/>
      <c r="DK46" s="110"/>
      <c r="DL46" s="110"/>
      <c r="DM46" s="110"/>
      <c r="DN46" s="110"/>
      <c r="DO46" s="110"/>
      <c r="DP46" s="110"/>
      <c r="DQ46" s="110"/>
      <c r="DR46" s="110"/>
      <c r="DS46" s="110"/>
      <c r="DT46" s="110"/>
      <c r="DU46" s="110"/>
      <c r="DV46" s="110"/>
      <c r="DW46" s="110"/>
      <c r="DX46" s="110"/>
      <c r="DY46" s="110"/>
      <c r="DZ46" s="110"/>
      <c r="EA46" s="110"/>
      <c r="EB46" s="110"/>
      <c r="EC46" s="110"/>
      <c r="ED46" s="110"/>
      <c r="EE46" s="110"/>
      <c r="EF46" s="110"/>
      <c r="EG46" s="110"/>
      <c r="EH46" s="110"/>
      <c r="EI46" s="110"/>
      <c r="EJ46" s="110"/>
      <c r="EK46" s="110"/>
      <c r="EL46" s="110"/>
      <c r="EM46" s="110"/>
      <c r="EN46" s="110"/>
      <c r="EO46" s="110"/>
      <c r="EP46" s="110"/>
      <c r="EQ46" s="110"/>
      <c r="ER46" s="110"/>
      <c r="ES46" s="110"/>
      <c r="ET46" s="110"/>
      <c r="EU46" s="110"/>
      <c r="EV46" s="110"/>
      <c r="EW46" s="110"/>
      <c r="EX46" s="110"/>
      <c r="EY46" s="110"/>
      <c r="EZ46" s="110"/>
      <c r="FA46" s="110"/>
      <c r="FB46" s="110"/>
      <c r="FC46" s="110"/>
      <c r="FD46" s="110"/>
      <c r="FE46" s="110"/>
      <c r="FF46" s="110"/>
      <c r="FG46" s="110"/>
      <c r="FH46" s="110"/>
      <c r="FI46" s="110"/>
      <c r="FJ46" s="110"/>
      <c r="FK46" s="110"/>
      <c r="FL46" s="110"/>
      <c r="FM46" s="110"/>
      <c r="FN46" s="110"/>
      <c r="FO46" s="110"/>
      <c r="FP46" s="110"/>
      <c r="FQ46" s="110"/>
      <c r="FR46" s="110"/>
      <c r="FS46" s="110"/>
      <c r="FT46" s="110"/>
      <c r="FU46" s="110"/>
      <c r="FV46" s="110"/>
      <c r="FW46" s="110"/>
      <c r="FX46" s="110"/>
      <c r="FY46" s="110"/>
      <c r="FZ46" s="110"/>
      <c r="GA46" s="110"/>
      <c r="GB46" s="110"/>
      <c r="GC46" s="110"/>
      <c r="GD46" s="110"/>
      <c r="GE46" s="110"/>
      <c r="GF46" s="110"/>
      <c r="GG46" s="110"/>
      <c r="GH46" s="110"/>
      <c r="GI46" s="110"/>
      <c r="GJ46" s="110"/>
      <c r="GK46" s="110"/>
      <c r="GL46" s="110"/>
      <c r="GM46" s="110"/>
      <c r="GN46" s="110"/>
      <c r="GO46" s="110"/>
      <c r="GP46" s="110"/>
      <c r="GQ46" s="110"/>
      <c r="GR46" s="110"/>
      <c r="GS46" s="110"/>
      <c r="GT46" s="110"/>
      <c r="GU46" s="110"/>
      <c r="GV46" s="110"/>
      <c r="GW46" s="110"/>
      <c r="GX46" s="110"/>
      <c r="GY46" s="110"/>
      <c r="GZ46" s="110"/>
      <c r="HA46" s="110"/>
      <c r="HB46" s="110"/>
      <c r="HC46" s="110"/>
      <c r="HD46" s="110"/>
      <c r="HE46" s="110"/>
      <c r="HF46" s="110"/>
      <c r="HG46" s="110"/>
      <c r="HH46" s="110"/>
      <c r="HI46" s="110"/>
      <c r="HJ46" s="110"/>
      <c r="HK46" s="110"/>
      <c r="HL46" s="110"/>
      <c r="HM46" s="110"/>
      <c r="HN46" s="110"/>
      <c r="HO46" s="110"/>
      <c r="HP46" s="110"/>
      <c r="HQ46" s="110"/>
      <c r="HR46" s="110"/>
      <c r="HS46" s="110"/>
      <c r="HT46" s="110"/>
      <c r="HU46" s="110"/>
      <c r="HV46" s="110"/>
      <c r="HW46" s="110"/>
      <c r="HX46" s="110"/>
      <c r="HY46" s="110"/>
      <c r="HZ46" s="110"/>
      <c r="IA46" s="110"/>
      <c r="IB46" s="110"/>
      <c r="IC46" s="110"/>
      <c r="ID46" s="110"/>
      <c r="IE46" s="110"/>
      <c r="IF46" s="110"/>
      <c r="IG46" s="110"/>
      <c r="IH46" s="110"/>
      <c r="II46" s="110"/>
      <c r="IJ46" s="110"/>
      <c r="IK46" s="110"/>
      <c r="IL46" s="110"/>
      <c r="IM46" s="110"/>
      <c r="IN46" s="110"/>
      <c r="IO46" s="110"/>
      <c r="IP46" s="110"/>
      <c r="IQ46" s="110"/>
      <c r="IR46" s="110"/>
      <c r="IS46" s="110"/>
      <c r="IT46" s="110"/>
      <c r="IU46" s="110"/>
      <c r="IV46" s="110"/>
      <c r="IW46" s="110"/>
    </row>
    <row r="47" spans="1:257" x14ac:dyDescent="0.3">
      <c r="A47" s="156"/>
      <c r="B47" s="156"/>
      <c r="C47" s="156"/>
      <c r="D47" s="156"/>
      <c r="E47" s="156"/>
      <c r="F47" s="156"/>
      <c r="G47" s="156"/>
      <c r="H47" s="156"/>
      <c r="I47" s="174"/>
      <c r="J47" s="168"/>
      <c r="K47" s="169"/>
      <c r="L47" s="170"/>
      <c r="M47" s="156"/>
      <c r="N47" s="156"/>
      <c r="O47" s="110"/>
      <c r="P47" s="110"/>
      <c r="Q47" s="110"/>
      <c r="R47" s="110"/>
      <c r="S47" s="110"/>
      <c r="T47" s="110"/>
      <c r="U47" s="110"/>
      <c r="V47" s="110"/>
      <c r="W47" s="110"/>
      <c r="X47" s="110"/>
      <c r="Y47" s="110"/>
      <c r="Z47" s="110"/>
      <c r="AA47" s="110"/>
      <c r="AB47" s="110"/>
      <c r="AC47" s="110"/>
      <c r="AD47" s="110"/>
      <c r="AE47" s="110"/>
      <c r="AF47" s="110"/>
      <c r="AG47" s="110"/>
      <c r="AH47" s="110"/>
      <c r="AI47" s="110"/>
      <c r="AJ47" s="110"/>
      <c r="AK47" s="110"/>
      <c r="AL47" s="110"/>
      <c r="AM47" s="110"/>
      <c r="AN47" s="110"/>
      <c r="AO47" s="110"/>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10"/>
      <c r="BL47" s="110"/>
      <c r="BM47" s="110"/>
      <c r="BN47" s="110"/>
      <c r="BO47" s="110"/>
      <c r="BP47" s="110"/>
      <c r="BQ47" s="110"/>
      <c r="BR47" s="110"/>
      <c r="BS47" s="110"/>
      <c r="BT47" s="110"/>
      <c r="BU47" s="110"/>
      <c r="BV47" s="110"/>
      <c r="BW47" s="110"/>
      <c r="BX47" s="110"/>
      <c r="BY47" s="110"/>
      <c r="BZ47" s="110"/>
      <c r="CA47" s="110"/>
      <c r="CB47" s="110"/>
      <c r="CC47" s="110"/>
      <c r="CD47" s="110"/>
      <c r="CE47" s="110"/>
      <c r="CF47" s="110"/>
      <c r="CG47" s="110"/>
      <c r="CH47" s="110"/>
      <c r="CI47" s="110"/>
      <c r="CJ47" s="110"/>
      <c r="CK47" s="110"/>
      <c r="CL47" s="110"/>
      <c r="CM47" s="110"/>
      <c r="CN47" s="110"/>
      <c r="CO47" s="110"/>
      <c r="CP47" s="110"/>
      <c r="CQ47" s="110"/>
      <c r="CR47" s="110"/>
      <c r="CS47" s="110"/>
      <c r="CT47" s="110"/>
      <c r="CU47" s="110"/>
      <c r="CV47" s="110"/>
      <c r="CW47" s="110"/>
      <c r="CX47" s="110"/>
      <c r="CY47" s="110"/>
      <c r="CZ47" s="110"/>
      <c r="DA47" s="110"/>
      <c r="DB47" s="110"/>
      <c r="DC47" s="110"/>
      <c r="DD47" s="110"/>
      <c r="DE47" s="110"/>
      <c r="DF47" s="110"/>
      <c r="DG47" s="110"/>
      <c r="DH47" s="110"/>
      <c r="DI47" s="110"/>
      <c r="DJ47" s="110"/>
      <c r="DK47" s="110"/>
      <c r="DL47" s="110"/>
      <c r="DM47" s="110"/>
      <c r="DN47" s="110"/>
      <c r="DO47" s="110"/>
      <c r="DP47" s="110"/>
      <c r="DQ47" s="110"/>
      <c r="DR47" s="110"/>
      <c r="DS47" s="110"/>
      <c r="DT47" s="110"/>
      <c r="DU47" s="110"/>
      <c r="DV47" s="110"/>
      <c r="DW47" s="110"/>
      <c r="DX47" s="110"/>
      <c r="DY47" s="110"/>
      <c r="DZ47" s="110"/>
      <c r="EA47" s="110"/>
      <c r="EB47" s="110"/>
      <c r="EC47" s="110"/>
      <c r="ED47" s="110"/>
      <c r="EE47" s="110"/>
      <c r="EF47" s="110"/>
      <c r="EG47" s="110"/>
      <c r="EH47" s="110"/>
      <c r="EI47" s="110"/>
      <c r="EJ47" s="110"/>
      <c r="EK47" s="110"/>
      <c r="EL47" s="110"/>
      <c r="EM47" s="110"/>
      <c r="EN47" s="110"/>
      <c r="EO47" s="110"/>
      <c r="EP47" s="110"/>
      <c r="EQ47" s="110"/>
      <c r="ER47" s="110"/>
      <c r="ES47" s="110"/>
      <c r="ET47" s="110"/>
      <c r="EU47" s="110"/>
      <c r="EV47" s="110"/>
      <c r="EW47" s="110"/>
      <c r="EX47" s="110"/>
      <c r="EY47" s="110"/>
      <c r="EZ47" s="110"/>
      <c r="FA47" s="110"/>
      <c r="FB47" s="110"/>
      <c r="FC47" s="110"/>
      <c r="FD47" s="110"/>
      <c r="FE47" s="110"/>
      <c r="FF47" s="110"/>
      <c r="FG47" s="110"/>
      <c r="FH47" s="110"/>
      <c r="FI47" s="110"/>
      <c r="FJ47" s="110"/>
      <c r="FK47" s="110"/>
      <c r="FL47" s="110"/>
      <c r="FM47" s="110"/>
      <c r="FN47" s="110"/>
      <c r="FO47" s="110"/>
      <c r="FP47" s="110"/>
      <c r="FQ47" s="110"/>
      <c r="FR47" s="110"/>
      <c r="FS47" s="110"/>
      <c r="FT47" s="110"/>
      <c r="FU47" s="110"/>
      <c r="FV47" s="110"/>
      <c r="FW47" s="110"/>
      <c r="FX47" s="110"/>
      <c r="FY47" s="110"/>
      <c r="FZ47" s="110"/>
      <c r="GA47" s="110"/>
      <c r="GB47" s="110"/>
      <c r="GC47" s="110"/>
      <c r="GD47" s="110"/>
      <c r="GE47" s="110"/>
      <c r="GF47" s="110"/>
      <c r="GG47" s="110"/>
      <c r="GH47" s="110"/>
      <c r="GI47" s="110"/>
      <c r="GJ47" s="110"/>
      <c r="GK47" s="110"/>
      <c r="GL47" s="110"/>
      <c r="GM47" s="110"/>
      <c r="GN47" s="110"/>
      <c r="GO47" s="110"/>
      <c r="GP47" s="110"/>
      <c r="GQ47" s="110"/>
      <c r="GR47" s="110"/>
      <c r="GS47" s="110"/>
      <c r="GT47" s="110"/>
      <c r="GU47" s="110"/>
      <c r="GV47" s="110"/>
      <c r="GW47" s="110"/>
      <c r="GX47" s="110"/>
      <c r="GY47" s="110"/>
      <c r="GZ47" s="110"/>
      <c r="HA47" s="110"/>
      <c r="HB47" s="110"/>
      <c r="HC47" s="110"/>
      <c r="HD47" s="110"/>
      <c r="HE47" s="110"/>
      <c r="HF47" s="110"/>
      <c r="HG47" s="110"/>
      <c r="HH47" s="110"/>
      <c r="HI47" s="110"/>
      <c r="HJ47" s="110"/>
      <c r="HK47" s="110"/>
      <c r="HL47" s="110"/>
      <c r="HM47" s="110"/>
      <c r="HN47" s="110"/>
      <c r="HO47" s="110"/>
      <c r="HP47" s="110"/>
      <c r="HQ47" s="110"/>
      <c r="HR47" s="110"/>
      <c r="HS47" s="110"/>
      <c r="HT47" s="110"/>
      <c r="HU47" s="110"/>
      <c r="HV47" s="110"/>
      <c r="HW47" s="110"/>
      <c r="HX47" s="110"/>
      <c r="HY47" s="110"/>
      <c r="HZ47" s="110"/>
      <c r="IA47" s="110"/>
      <c r="IB47" s="110"/>
      <c r="IC47" s="110"/>
      <c r="ID47" s="110"/>
      <c r="IE47" s="110"/>
      <c r="IF47" s="110"/>
      <c r="IG47" s="110"/>
      <c r="IH47" s="110"/>
      <c r="II47" s="110"/>
      <c r="IJ47" s="110"/>
      <c r="IK47" s="110"/>
      <c r="IL47" s="110"/>
      <c r="IM47" s="110"/>
      <c r="IN47" s="110"/>
      <c r="IO47" s="110"/>
      <c r="IP47" s="110"/>
      <c r="IQ47" s="110"/>
      <c r="IR47" s="110"/>
      <c r="IS47" s="110"/>
      <c r="IT47" s="110"/>
      <c r="IU47" s="110"/>
      <c r="IV47" s="110"/>
      <c r="IW47" s="110"/>
    </row>
    <row r="48" spans="1:257" x14ac:dyDescent="0.3">
      <c r="A48" s="156"/>
      <c r="B48" s="156"/>
      <c r="C48" s="156"/>
      <c r="D48" s="156"/>
      <c r="E48" s="156"/>
      <c r="F48" s="156"/>
      <c r="G48" s="156"/>
      <c r="H48" s="156"/>
      <c r="I48" s="174"/>
      <c r="J48" s="168"/>
      <c r="K48" s="169"/>
      <c r="L48" s="170"/>
      <c r="M48" s="156"/>
      <c r="N48" s="156"/>
      <c r="O48" s="110"/>
      <c r="P48" s="110"/>
      <c r="Q48" s="110"/>
      <c r="R48" s="110"/>
      <c r="S48" s="110"/>
      <c r="T48" s="110"/>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10"/>
      <c r="BL48" s="110"/>
      <c r="BM48" s="110"/>
      <c r="BN48" s="110"/>
      <c r="BO48" s="110"/>
      <c r="BP48" s="110"/>
      <c r="BQ48" s="110"/>
      <c r="BR48" s="110"/>
      <c r="BS48" s="110"/>
      <c r="BT48" s="110"/>
      <c r="BU48" s="110"/>
      <c r="BV48" s="110"/>
      <c r="BW48" s="110"/>
      <c r="BX48" s="110"/>
      <c r="BY48" s="110"/>
      <c r="BZ48" s="110"/>
      <c r="CA48" s="110"/>
      <c r="CB48" s="110"/>
      <c r="CC48" s="110"/>
      <c r="CD48" s="110"/>
      <c r="CE48" s="110"/>
      <c r="CF48" s="110"/>
      <c r="CG48" s="110"/>
      <c r="CH48" s="110"/>
      <c r="CI48" s="110"/>
      <c r="CJ48" s="110"/>
      <c r="CK48" s="110"/>
      <c r="CL48" s="110"/>
      <c r="CM48" s="110"/>
      <c r="CN48" s="110"/>
      <c r="CO48" s="110"/>
      <c r="CP48" s="110"/>
      <c r="CQ48" s="110"/>
      <c r="CR48" s="110"/>
      <c r="CS48" s="110"/>
      <c r="CT48" s="110"/>
      <c r="CU48" s="110"/>
      <c r="CV48" s="110"/>
      <c r="CW48" s="110"/>
      <c r="CX48" s="110"/>
      <c r="CY48" s="110"/>
      <c r="CZ48" s="110"/>
      <c r="DA48" s="110"/>
      <c r="DB48" s="110"/>
      <c r="DC48" s="110"/>
      <c r="DD48" s="110"/>
      <c r="DE48" s="110"/>
      <c r="DF48" s="110"/>
      <c r="DG48" s="110"/>
      <c r="DH48" s="110"/>
      <c r="DI48" s="110"/>
      <c r="DJ48" s="110"/>
      <c r="DK48" s="110"/>
      <c r="DL48" s="110"/>
      <c r="DM48" s="110"/>
      <c r="DN48" s="110"/>
      <c r="DO48" s="110"/>
      <c r="DP48" s="110"/>
      <c r="DQ48" s="110"/>
      <c r="DR48" s="110"/>
      <c r="DS48" s="110"/>
      <c r="DT48" s="110"/>
      <c r="DU48" s="110"/>
      <c r="DV48" s="110"/>
      <c r="DW48" s="110"/>
      <c r="DX48" s="110"/>
      <c r="DY48" s="110"/>
      <c r="DZ48" s="110"/>
      <c r="EA48" s="110"/>
      <c r="EB48" s="110"/>
      <c r="EC48" s="110"/>
      <c r="ED48" s="110"/>
      <c r="EE48" s="110"/>
      <c r="EF48" s="110"/>
      <c r="EG48" s="110"/>
      <c r="EH48" s="110"/>
      <c r="EI48" s="110"/>
      <c r="EJ48" s="110"/>
      <c r="EK48" s="110"/>
      <c r="EL48" s="110"/>
      <c r="EM48" s="110"/>
      <c r="EN48" s="110"/>
      <c r="EO48" s="110"/>
      <c r="EP48" s="110"/>
      <c r="EQ48" s="110"/>
      <c r="ER48" s="110"/>
      <c r="ES48" s="110"/>
      <c r="ET48" s="110"/>
      <c r="EU48" s="110"/>
      <c r="EV48" s="110"/>
      <c r="EW48" s="110"/>
      <c r="EX48" s="110"/>
      <c r="EY48" s="110"/>
      <c r="EZ48" s="110"/>
      <c r="FA48" s="110"/>
      <c r="FB48" s="110"/>
      <c r="FC48" s="110"/>
      <c r="FD48" s="110"/>
      <c r="FE48" s="110"/>
      <c r="FF48" s="110"/>
      <c r="FG48" s="110"/>
      <c r="FH48" s="110"/>
      <c r="FI48" s="110"/>
      <c r="FJ48" s="110"/>
      <c r="FK48" s="110"/>
      <c r="FL48" s="110"/>
      <c r="FM48" s="110"/>
      <c r="FN48" s="110"/>
      <c r="FO48" s="110"/>
      <c r="FP48" s="110"/>
      <c r="FQ48" s="110"/>
      <c r="FR48" s="110"/>
      <c r="FS48" s="110"/>
      <c r="FT48" s="110"/>
      <c r="FU48" s="110"/>
      <c r="FV48" s="110"/>
      <c r="FW48" s="110"/>
      <c r="FX48" s="110"/>
      <c r="FY48" s="110"/>
      <c r="FZ48" s="110"/>
      <c r="GA48" s="110"/>
      <c r="GB48" s="110"/>
      <c r="GC48" s="110"/>
      <c r="GD48" s="110"/>
      <c r="GE48" s="110"/>
      <c r="GF48" s="110"/>
      <c r="GG48" s="110"/>
      <c r="GH48" s="110"/>
      <c r="GI48" s="110"/>
      <c r="GJ48" s="110"/>
      <c r="GK48" s="110"/>
      <c r="GL48" s="110"/>
      <c r="GM48" s="110"/>
      <c r="GN48" s="110"/>
      <c r="GO48" s="110"/>
      <c r="GP48" s="110"/>
      <c r="GQ48" s="110"/>
      <c r="GR48" s="110"/>
      <c r="GS48" s="110"/>
      <c r="GT48" s="110"/>
      <c r="GU48" s="110"/>
      <c r="GV48" s="110"/>
      <c r="GW48" s="110"/>
      <c r="GX48" s="110"/>
      <c r="GY48" s="110"/>
      <c r="GZ48" s="110"/>
      <c r="HA48" s="110"/>
      <c r="HB48" s="110"/>
      <c r="HC48" s="110"/>
      <c r="HD48" s="110"/>
      <c r="HE48" s="110"/>
      <c r="HF48" s="110"/>
      <c r="HG48" s="110"/>
      <c r="HH48" s="110"/>
      <c r="HI48" s="110"/>
      <c r="HJ48" s="110"/>
      <c r="HK48" s="110"/>
      <c r="HL48" s="110"/>
      <c r="HM48" s="110"/>
      <c r="HN48" s="110"/>
      <c r="HO48" s="110"/>
      <c r="HP48" s="110"/>
      <c r="HQ48" s="110"/>
      <c r="HR48" s="110"/>
      <c r="HS48" s="110"/>
      <c r="HT48" s="110"/>
      <c r="HU48" s="110"/>
      <c r="HV48" s="110"/>
      <c r="HW48" s="110"/>
      <c r="HX48" s="110"/>
      <c r="HY48" s="110"/>
      <c r="HZ48" s="110"/>
      <c r="IA48" s="110"/>
      <c r="IB48" s="110"/>
      <c r="IC48" s="110"/>
      <c r="ID48" s="110"/>
      <c r="IE48" s="110"/>
      <c r="IF48" s="110"/>
      <c r="IG48" s="110"/>
      <c r="IH48" s="110"/>
      <c r="II48" s="110"/>
      <c r="IJ48" s="110"/>
      <c r="IK48" s="110"/>
      <c r="IL48" s="110"/>
      <c r="IM48" s="110"/>
      <c r="IN48" s="110"/>
      <c r="IO48" s="110"/>
      <c r="IP48" s="110"/>
      <c r="IQ48" s="110"/>
      <c r="IR48" s="110"/>
      <c r="IS48" s="110"/>
      <c r="IT48" s="110"/>
      <c r="IU48" s="110"/>
      <c r="IV48" s="110"/>
      <c r="IW48" s="110"/>
    </row>
    <row r="49" spans="1:257" x14ac:dyDescent="0.3">
      <c r="A49" s="156"/>
      <c r="B49" s="156"/>
      <c r="C49" s="156"/>
      <c r="D49" s="156"/>
      <c r="E49" s="156"/>
      <c r="F49" s="156"/>
      <c r="G49" s="156"/>
      <c r="H49" s="156"/>
      <c r="I49" s="174"/>
      <c r="J49" s="168"/>
      <c r="K49" s="169"/>
      <c r="L49" s="170"/>
      <c r="M49" s="156"/>
      <c r="N49" s="156"/>
      <c r="O49" s="110"/>
      <c r="P49" s="110"/>
      <c r="Q49" s="110"/>
      <c r="R49" s="110"/>
      <c r="S49" s="110"/>
      <c r="T49" s="110"/>
      <c r="U49" s="110"/>
      <c r="V49" s="110"/>
      <c r="W49" s="110"/>
      <c r="X49" s="110"/>
      <c r="Y49" s="110"/>
      <c r="Z49" s="110"/>
      <c r="AA49" s="110"/>
      <c r="AB49" s="110"/>
      <c r="AC49" s="110"/>
      <c r="AD49" s="110"/>
      <c r="AE49" s="110"/>
      <c r="AF49" s="110"/>
      <c r="AG49" s="110"/>
      <c r="AH49" s="110"/>
      <c r="AI49" s="110"/>
      <c r="AJ49" s="110"/>
      <c r="AK49" s="110"/>
      <c r="AL49" s="110"/>
      <c r="AM49" s="110"/>
      <c r="AN49" s="110"/>
      <c r="AO49" s="110"/>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10"/>
      <c r="BL49" s="110"/>
      <c r="BM49" s="110"/>
      <c r="BN49" s="110"/>
      <c r="BO49" s="110"/>
      <c r="BP49" s="110"/>
      <c r="BQ49" s="110"/>
      <c r="BR49" s="110"/>
      <c r="BS49" s="110"/>
      <c r="BT49" s="110"/>
      <c r="BU49" s="110"/>
      <c r="BV49" s="110"/>
      <c r="BW49" s="110"/>
      <c r="BX49" s="110"/>
      <c r="BY49" s="110"/>
      <c r="BZ49" s="110"/>
      <c r="CA49" s="110"/>
      <c r="CB49" s="110"/>
      <c r="CC49" s="110"/>
      <c r="CD49" s="110"/>
      <c r="CE49" s="110"/>
      <c r="CF49" s="110"/>
      <c r="CG49" s="110"/>
      <c r="CH49" s="110"/>
      <c r="CI49" s="110"/>
      <c r="CJ49" s="110"/>
      <c r="CK49" s="110"/>
      <c r="CL49" s="110"/>
      <c r="CM49" s="110"/>
      <c r="CN49" s="110"/>
      <c r="CO49" s="110"/>
      <c r="CP49" s="110"/>
      <c r="CQ49" s="110"/>
      <c r="CR49" s="110"/>
      <c r="CS49" s="110"/>
      <c r="CT49" s="110"/>
      <c r="CU49" s="110"/>
      <c r="CV49" s="110"/>
      <c r="CW49" s="110"/>
      <c r="CX49" s="110"/>
      <c r="CY49" s="110"/>
      <c r="CZ49" s="110"/>
      <c r="DA49" s="110"/>
      <c r="DB49" s="110"/>
      <c r="DC49" s="110"/>
      <c r="DD49" s="110"/>
      <c r="DE49" s="110"/>
      <c r="DF49" s="110"/>
      <c r="DG49" s="110"/>
      <c r="DH49" s="110"/>
      <c r="DI49" s="110"/>
      <c r="DJ49" s="110"/>
      <c r="DK49" s="110"/>
      <c r="DL49" s="110"/>
      <c r="DM49" s="110"/>
      <c r="DN49" s="110"/>
      <c r="DO49" s="110"/>
      <c r="DP49" s="110"/>
      <c r="DQ49" s="110"/>
      <c r="DR49" s="110"/>
      <c r="DS49" s="110"/>
      <c r="DT49" s="110"/>
      <c r="DU49" s="110"/>
      <c r="DV49" s="110"/>
      <c r="DW49" s="110"/>
      <c r="DX49" s="110"/>
      <c r="DY49" s="110"/>
      <c r="DZ49" s="110"/>
      <c r="EA49" s="110"/>
      <c r="EB49" s="110"/>
      <c r="EC49" s="110"/>
      <c r="ED49" s="110"/>
      <c r="EE49" s="110"/>
      <c r="EF49" s="110"/>
      <c r="EG49" s="110"/>
      <c r="EH49" s="110"/>
      <c r="EI49" s="110"/>
      <c r="EJ49" s="110"/>
      <c r="EK49" s="110"/>
      <c r="EL49" s="110"/>
      <c r="EM49" s="110"/>
      <c r="EN49" s="110"/>
      <c r="EO49" s="110"/>
      <c r="EP49" s="110"/>
      <c r="EQ49" s="110"/>
      <c r="ER49" s="110"/>
      <c r="ES49" s="110"/>
      <c r="ET49" s="110"/>
      <c r="EU49" s="110"/>
      <c r="EV49" s="110"/>
      <c r="EW49" s="110"/>
      <c r="EX49" s="110"/>
      <c r="EY49" s="110"/>
      <c r="EZ49" s="110"/>
      <c r="FA49" s="110"/>
      <c r="FB49" s="110"/>
      <c r="FC49" s="110"/>
      <c r="FD49" s="110"/>
      <c r="FE49" s="110"/>
      <c r="FF49" s="110"/>
      <c r="FG49" s="110"/>
      <c r="FH49" s="110"/>
      <c r="FI49" s="110"/>
      <c r="FJ49" s="110"/>
      <c r="FK49" s="110"/>
      <c r="FL49" s="110"/>
      <c r="FM49" s="110"/>
      <c r="FN49" s="110"/>
      <c r="FO49" s="110"/>
      <c r="FP49" s="110"/>
      <c r="FQ49" s="110"/>
      <c r="FR49" s="110"/>
      <c r="FS49" s="110"/>
      <c r="FT49" s="110"/>
      <c r="FU49" s="110"/>
      <c r="FV49" s="110"/>
      <c r="FW49" s="110"/>
      <c r="FX49" s="110"/>
      <c r="FY49" s="110"/>
      <c r="FZ49" s="110"/>
      <c r="GA49" s="110"/>
      <c r="GB49" s="110"/>
      <c r="GC49" s="110"/>
      <c r="GD49" s="110"/>
      <c r="GE49" s="110"/>
      <c r="GF49" s="110"/>
      <c r="GG49" s="110"/>
      <c r="GH49" s="110"/>
      <c r="GI49" s="110"/>
      <c r="GJ49" s="110"/>
      <c r="GK49" s="110"/>
      <c r="GL49" s="110"/>
      <c r="GM49" s="110"/>
      <c r="GN49" s="110"/>
      <c r="GO49" s="110"/>
      <c r="GP49" s="110"/>
      <c r="GQ49" s="110"/>
      <c r="GR49" s="110"/>
      <c r="GS49" s="110"/>
      <c r="GT49" s="110"/>
      <c r="GU49" s="110"/>
      <c r="GV49" s="110"/>
      <c r="GW49" s="110"/>
      <c r="GX49" s="110"/>
      <c r="GY49" s="110"/>
      <c r="GZ49" s="110"/>
      <c r="HA49" s="110"/>
      <c r="HB49" s="110"/>
      <c r="HC49" s="110"/>
      <c r="HD49" s="110"/>
      <c r="HE49" s="110"/>
      <c r="HF49" s="110"/>
      <c r="HG49" s="110"/>
      <c r="HH49" s="110"/>
      <c r="HI49" s="110"/>
      <c r="HJ49" s="110"/>
      <c r="HK49" s="110"/>
      <c r="HL49" s="110"/>
      <c r="HM49" s="110"/>
      <c r="HN49" s="110"/>
      <c r="HO49" s="110"/>
      <c r="HP49" s="110"/>
      <c r="HQ49" s="110"/>
      <c r="HR49" s="110"/>
      <c r="HS49" s="110"/>
      <c r="HT49" s="110"/>
      <c r="HU49" s="110"/>
      <c r="HV49" s="110"/>
      <c r="HW49" s="110"/>
      <c r="HX49" s="110"/>
      <c r="HY49" s="110"/>
      <c r="HZ49" s="110"/>
      <c r="IA49" s="110"/>
      <c r="IB49" s="110"/>
      <c r="IC49" s="110"/>
      <c r="ID49" s="110"/>
      <c r="IE49" s="110"/>
      <c r="IF49" s="110"/>
      <c r="IG49" s="110"/>
      <c r="IH49" s="110"/>
      <c r="II49" s="110"/>
      <c r="IJ49" s="110"/>
      <c r="IK49" s="110"/>
      <c r="IL49" s="110"/>
      <c r="IM49" s="110"/>
      <c r="IN49" s="110"/>
      <c r="IO49" s="110"/>
      <c r="IP49" s="110"/>
      <c r="IQ49" s="110"/>
      <c r="IR49" s="110"/>
      <c r="IS49" s="110"/>
      <c r="IT49" s="110"/>
      <c r="IU49" s="110"/>
      <c r="IV49" s="110"/>
      <c r="IW49" s="110"/>
    </row>
    <row r="50" spans="1:257" x14ac:dyDescent="0.3">
      <c r="A50" s="156"/>
      <c r="B50" s="156"/>
      <c r="C50" s="156"/>
      <c r="D50" s="156"/>
      <c r="E50" s="156"/>
      <c r="F50" s="156"/>
      <c r="G50" s="156"/>
      <c r="H50" s="156"/>
      <c r="I50" s="174"/>
      <c r="J50" s="168"/>
      <c r="K50" s="169"/>
      <c r="L50" s="170"/>
      <c r="M50" s="156"/>
      <c r="N50" s="156"/>
      <c r="O50" s="110"/>
      <c r="P50" s="110"/>
      <c r="Q50" s="110"/>
      <c r="R50" s="110"/>
      <c r="S50" s="110"/>
      <c r="T50" s="110"/>
      <c r="U50" s="110"/>
      <c r="V50" s="110"/>
      <c r="W50" s="110"/>
      <c r="X50" s="110"/>
      <c r="Y50" s="110"/>
      <c r="Z50" s="110"/>
      <c r="AA50" s="110"/>
      <c r="AB50" s="110"/>
      <c r="AC50" s="110"/>
      <c r="AD50" s="110"/>
      <c r="AE50" s="110"/>
      <c r="AF50" s="110"/>
      <c r="AG50" s="110"/>
      <c r="AH50" s="110"/>
      <c r="AI50" s="110"/>
      <c r="AJ50" s="110"/>
      <c r="AK50" s="110"/>
      <c r="AL50" s="110"/>
      <c r="AM50" s="110"/>
      <c r="AN50" s="110"/>
      <c r="AO50" s="110"/>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10"/>
      <c r="BL50" s="110"/>
      <c r="BM50" s="110"/>
      <c r="BN50" s="110"/>
      <c r="BO50" s="110"/>
      <c r="BP50" s="110"/>
      <c r="BQ50" s="110"/>
      <c r="BR50" s="110"/>
      <c r="BS50" s="110"/>
      <c r="BT50" s="110"/>
      <c r="BU50" s="110"/>
      <c r="BV50" s="110"/>
      <c r="BW50" s="110"/>
      <c r="BX50" s="110"/>
      <c r="BY50" s="110"/>
      <c r="BZ50" s="110"/>
      <c r="CA50" s="110"/>
      <c r="CB50" s="110"/>
      <c r="CC50" s="110"/>
      <c r="CD50" s="110"/>
      <c r="CE50" s="110"/>
      <c r="CF50" s="110"/>
      <c r="CG50" s="110"/>
      <c r="CH50" s="110"/>
      <c r="CI50" s="110"/>
      <c r="CJ50" s="110"/>
      <c r="CK50" s="110"/>
      <c r="CL50" s="110"/>
      <c r="CM50" s="110"/>
      <c r="CN50" s="110"/>
      <c r="CO50" s="110"/>
      <c r="CP50" s="110"/>
      <c r="CQ50" s="110"/>
      <c r="CR50" s="110"/>
      <c r="CS50" s="110"/>
      <c r="CT50" s="110"/>
      <c r="CU50" s="110"/>
      <c r="CV50" s="110"/>
      <c r="CW50" s="110"/>
      <c r="CX50" s="110"/>
      <c r="CY50" s="110"/>
      <c r="CZ50" s="110"/>
      <c r="DA50" s="110"/>
      <c r="DB50" s="110"/>
      <c r="DC50" s="110"/>
      <c r="DD50" s="110"/>
      <c r="DE50" s="110"/>
      <c r="DF50" s="110"/>
      <c r="DG50" s="110"/>
      <c r="DH50" s="110"/>
      <c r="DI50" s="110"/>
      <c r="DJ50" s="110"/>
      <c r="DK50" s="110"/>
      <c r="DL50" s="110"/>
      <c r="DM50" s="110"/>
      <c r="DN50" s="110"/>
      <c r="DO50" s="110"/>
      <c r="DP50" s="110"/>
      <c r="DQ50" s="110"/>
      <c r="DR50" s="110"/>
      <c r="DS50" s="110"/>
      <c r="DT50" s="110"/>
      <c r="DU50" s="110"/>
      <c r="DV50" s="110"/>
      <c r="DW50" s="110"/>
      <c r="DX50" s="110"/>
      <c r="DY50" s="110"/>
      <c r="DZ50" s="110"/>
      <c r="EA50" s="110"/>
      <c r="EB50" s="110"/>
      <c r="EC50" s="110"/>
      <c r="ED50" s="110"/>
      <c r="EE50" s="110"/>
      <c r="EF50" s="110"/>
      <c r="EG50" s="110"/>
      <c r="EH50" s="110"/>
      <c r="EI50" s="110"/>
      <c r="EJ50" s="110"/>
      <c r="EK50" s="110"/>
      <c r="EL50" s="110"/>
      <c r="EM50" s="110"/>
      <c r="EN50" s="110"/>
      <c r="EO50" s="110"/>
      <c r="EP50" s="110"/>
      <c r="EQ50" s="110"/>
      <c r="ER50" s="110"/>
      <c r="ES50" s="110"/>
      <c r="ET50" s="110"/>
      <c r="EU50" s="110"/>
      <c r="EV50" s="110"/>
      <c r="EW50" s="110"/>
      <c r="EX50" s="110"/>
      <c r="EY50" s="110"/>
      <c r="EZ50" s="110"/>
      <c r="FA50" s="110"/>
      <c r="FB50" s="110"/>
      <c r="FC50" s="110"/>
      <c r="FD50" s="110"/>
      <c r="FE50" s="110"/>
      <c r="FF50" s="110"/>
      <c r="FG50" s="110"/>
      <c r="FH50" s="110"/>
      <c r="FI50" s="110"/>
      <c r="FJ50" s="110"/>
      <c r="FK50" s="110"/>
      <c r="FL50" s="110"/>
      <c r="FM50" s="110"/>
      <c r="FN50" s="110"/>
      <c r="FO50" s="110"/>
      <c r="FP50" s="110"/>
      <c r="FQ50" s="110"/>
      <c r="FR50" s="110"/>
      <c r="FS50" s="110"/>
      <c r="FT50" s="110"/>
      <c r="FU50" s="110"/>
      <c r="FV50" s="110"/>
      <c r="FW50" s="110"/>
      <c r="FX50" s="110"/>
      <c r="FY50" s="110"/>
      <c r="FZ50" s="110"/>
      <c r="GA50" s="110"/>
      <c r="GB50" s="110"/>
      <c r="GC50" s="110"/>
      <c r="GD50" s="110"/>
      <c r="GE50" s="110"/>
      <c r="GF50" s="110"/>
      <c r="GG50" s="110"/>
      <c r="GH50" s="110"/>
      <c r="GI50" s="110"/>
      <c r="GJ50" s="110"/>
      <c r="GK50" s="110"/>
      <c r="GL50" s="110"/>
      <c r="GM50" s="110"/>
      <c r="GN50" s="110"/>
      <c r="GO50" s="110"/>
      <c r="GP50" s="110"/>
      <c r="GQ50" s="110"/>
      <c r="GR50" s="110"/>
      <c r="GS50" s="110"/>
      <c r="GT50" s="110"/>
      <c r="GU50" s="110"/>
      <c r="GV50" s="110"/>
      <c r="GW50" s="110"/>
      <c r="GX50" s="110"/>
      <c r="GY50" s="110"/>
      <c r="GZ50" s="110"/>
      <c r="HA50" s="110"/>
      <c r="HB50" s="110"/>
      <c r="HC50" s="110"/>
      <c r="HD50" s="110"/>
      <c r="HE50" s="110"/>
      <c r="HF50" s="110"/>
      <c r="HG50" s="110"/>
      <c r="HH50" s="110"/>
      <c r="HI50" s="110"/>
      <c r="HJ50" s="110"/>
      <c r="HK50" s="110"/>
      <c r="HL50" s="110"/>
      <c r="HM50" s="110"/>
      <c r="HN50" s="110"/>
      <c r="HO50" s="110"/>
      <c r="HP50" s="110"/>
      <c r="HQ50" s="110"/>
      <c r="HR50" s="110"/>
      <c r="HS50" s="110"/>
      <c r="HT50" s="110"/>
      <c r="HU50" s="110"/>
      <c r="HV50" s="110"/>
      <c r="HW50" s="110"/>
      <c r="HX50" s="110"/>
      <c r="HY50" s="110"/>
      <c r="HZ50" s="110"/>
      <c r="IA50" s="110"/>
      <c r="IB50" s="110"/>
      <c r="IC50" s="110"/>
      <c r="ID50" s="110"/>
      <c r="IE50" s="110"/>
      <c r="IF50" s="110"/>
      <c r="IG50" s="110"/>
      <c r="IH50" s="110"/>
      <c r="II50" s="110"/>
      <c r="IJ50" s="110"/>
      <c r="IK50" s="110"/>
      <c r="IL50" s="110"/>
      <c r="IM50" s="110"/>
      <c r="IN50" s="110"/>
      <c r="IO50" s="110"/>
      <c r="IP50" s="110"/>
      <c r="IQ50" s="110"/>
      <c r="IR50" s="110"/>
      <c r="IS50" s="110"/>
      <c r="IT50" s="110"/>
      <c r="IU50" s="110"/>
      <c r="IV50" s="110"/>
      <c r="IW50" s="110"/>
    </row>
    <row r="51" spans="1:257" x14ac:dyDescent="0.3">
      <c r="A51" s="156"/>
      <c r="B51" s="156"/>
      <c r="C51" s="156"/>
      <c r="D51" s="156"/>
      <c r="E51" s="156"/>
      <c r="F51" s="156"/>
      <c r="G51" s="156"/>
      <c r="H51" s="156"/>
      <c r="I51" s="174"/>
      <c r="J51" s="168"/>
      <c r="K51" s="169"/>
      <c r="L51" s="170"/>
      <c r="M51" s="156"/>
      <c r="N51" s="156"/>
      <c r="O51" s="110"/>
      <c r="P51" s="110"/>
      <c r="Q51" s="110"/>
      <c r="R51" s="110"/>
      <c r="S51" s="110"/>
      <c r="T51" s="110"/>
      <c r="U51" s="110"/>
      <c r="V51" s="110"/>
      <c r="W51" s="110"/>
      <c r="X51" s="110"/>
      <c r="Y51" s="110"/>
      <c r="Z51" s="110"/>
      <c r="AA51" s="110"/>
      <c r="AB51" s="110"/>
      <c r="AC51" s="110"/>
      <c r="AD51" s="110"/>
      <c r="AE51" s="110"/>
      <c r="AF51" s="110"/>
      <c r="AG51" s="110"/>
      <c r="AH51" s="110"/>
      <c r="AI51" s="110"/>
      <c r="AJ51" s="110"/>
      <c r="AK51" s="110"/>
      <c r="AL51" s="110"/>
      <c r="AM51" s="110"/>
      <c r="AN51" s="110"/>
      <c r="AO51" s="110"/>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10"/>
      <c r="BL51" s="110"/>
      <c r="BM51" s="110"/>
      <c r="BN51" s="110"/>
      <c r="BO51" s="110"/>
      <c r="BP51" s="110"/>
      <c r="BQ51" s="110"/>
      <c r="BR51" s="110"/>
      <c r="BS51" s="110"/>
      <c r="BT51" s="110"/>
      <c r="BU51" s="110"/>
      <c r="BV51" s="110"/>
      <c r="BW51" s="110"/>
      <c r="BX51" s="110"/>
      <c r="BY51" s="110"/>
      <c r="BZ51" s="110"/>
      <c r="CA51" s="110"/>
      <c r="CB51" s="110"/>
      <c r="CC51" s="110"/>
      <c r="CD51" s="110"/>
      <c r="CE51" s="110"/>
      <c r="CF51" s="110"/>
      <c r="CG51" s="110"/>
      <c r="CH51" s="110"/>
      <c r="CI51" s="110"/>
      <c r="CJ51" s="110"/>
      <c r="CK51" s="110"/>
      <c r="CL51" s="110"/>
      <c r="CM51" s="110"/>
      <c r="CN51" s="110"/>
      <c r="CO51" s="110"/>
      <c r="CP51" s="110"/>
      <c r="CQ51" s="110"/>
      <c r="CR51" s="110"/>
      <c r="CS51" s="110"/>
      <c r="CT51" s="110"/>
      <c r="CU51" s="110"/>
      <c r="CV51" s="110"/>
      <c r="CW51" s="110"/>
      <c r="CX51" s="110"/>
      <c r="CY51" s="110"/>
      <c r="CZ51" s="110"/>
      <c r="DA51" s="110"/>
      <c r="DB51" s="110"/>
      <c r="DC51" s="110"/>
      <c r="DD51" s="110"/>
      <c r="DE51" s="110"/>
      <c r="DF51" s="110"/>
      <c r="DG51" s="110"/>
      <c r="DH51" s="110"/>
      <c r="DI51" s="110"/>
      <c r="DJ51" s="110"/>
      <c r="DK51" s="110"/>
      <c r="DL51" s="110"/>
      <c r="DM51" s="110"/>
      <c r="DN51" s="110"/>
      <c r="DO51" s="110"/>
      <c r="DP51" s="110"/>
      <c r="DQ51" s="110"/>
      <c r="DR51" s="110"/>
      <c r="DS51" s="110"/>
      <c r="DT51" s="110"/>
      <c r="DU51" s="110"/>
      <c r="DV51" s="110"/>
      <c r="DW51" s="110"/>
      <c r="DX51" s="110"/>
      <c r="DY51" s="110"/>
      <c r="DZ51" s="110"/>
      <c r="EA51" s="110"/>
      <c r="EB51" s="110"/>
      <c r="EC51" s="110"/>
      <c r="ED51" s="110"/>
      <c r="EE51" s="110"/>
      <c r="EF51" s="110"/>
      <c r="EG51" s="110"/>
      <c r="EH51" s="110"/>
      <c r="EI51" s="110"/>
      <c r="EJ51" s="110"/>
      <c r="EK51" s="110"/>
      <c r="EL51" s="110"/>
      <c r="EM51" s="110"/>
      <c r="EN51" s="110"/>
      <c r="EO51" s="110"/>
      <c r="EP51" s="110"/>
      <c r="EQ51" s="110"/>
      <c r="ER51" s="110"/>
      <c r="ES51" s="110"/>
      <c r="ET51" s="110"/>
      <c r="EU51" s="110"/>
      <c r="EV51" s="110"/>
      <c r="EW51" s="110"/>
      <c r="EX51" s="110"/>
      <c r="EY51" s="110"/>
      <c r="EZ51" s="110"/>
      <c r="FA51" s="110"/>
      <c r="FB51" s="110"/>
      <c r="FC51" s="110"/>
      <c r="FD51" s="110"/>
      <c r="FE51" s="110"/>
      <c r="FF51" s="110"/>
      <c r="FG51" s="110"/>
      <c r="FH51" s="110"/>
      <c r="FI51" s="110"/>
      <c r="FJ51" s="110"/>
      <c r="FK51" s="110"/>
      <c r="FL51" s="110"/>
      <c r="FM51" s="110"/>
      <c r="FN51" s="110"/>
      <c r="FO51" s="110"/>
      <c r="FP51" s="110"/>
      <c r="FQ51" s="110"/>
      <c r="FR51" s="110"/>
      <c r="FS51" s="110"/>
      <c r="FT51" s="110"/>
      <c r="FU51" s="110"/>
      <c r="FV51" s="110"/>
      <c r="FW51" s="110"/>
      <c r="FX51" s="110"/>
      <c r="FY51" s="110"/>
      <c r="FZ51" s="110"/>
      <c r="GA51" s="110"/>
      <c r="GB51" s="110"/>
      <c r="GC51" s="110"/>
      <c r="GD51" s="110"/>
      <c r="GE51" s="110"/>
      <c r="GF51" s="110"/>
      <c r="GG51" s="110"/>
      <c r="GH51" s="110"/>
      <c r="GI51" s="110"/>
      <c r="GJ51" s="110"/>
      <c r="GK51" s="110"/>
      <c r="GL51" s="110"/>
      <c r="GM51" s="110"/>
      <c r="GN51" s="110"/>
      <c r="GO51" s="110"/>
      <c r="GP51" s="110"/>
      <c r="GQ51" s="110"/>
      <c r="GR51" s="110"/>
      <c r="GS51" s="110"/>
      <c r="GT51" s="110"/>
      <c r="GU51" s="110"/>
      <c r="GV51" s="110"/>
      <c r="GW51" s="110"/>
      <c r="GX51" s="110"/>
      <c r="GY51" s="110"/>
      <c r="GZ51" s="110"/>
      <c r="HA51" s="110"/>
      <c r="HB51" s="110"/>
      <c r="HC51" s="110"/>
      <c r="HD51" s="110"/>
      <c r="HE51" s="110"/>
      <c r="HF51" s="110"/>
      <c r="HG51" s="110"/>
      <c r="HH51" s="110"/>
      <c r="HI51" s="110"/>
      <c r="HJ51" s="110"/>
      <c r="HK51" s="110"/>
      <c r="HL51" s="110"/>
      <c r="HM51" s="110"/>
      <c r="HN51" s="110"/>
      <c r="HO51" s="110"/>
      <c r="HP51" s="110"/>
      <c r="HQ51" s="110"/>
      <c r="HR51" s="110"/>
      <c r="HS51" s="110"/>
      <c r="HT51" s="110"/>
      <c r="HU51" s="110"/>
      <c r="HV51" s="110"/>
      <c r="HW51" s="110"/>
      <c r="HX51" s="110"/>
      <c r="HY51" s="110"/>
      <c r="HZ51" s="110"/>
      <c r="IA51" s="110"/>
      <c r="IB51" s="110"/>
      <c r="IC51" s="110"/>
      <c r="ID51" s="110"/>
      <c r="IE51" s="110"/>
      <c r="IF51" s="110"/>
      <c r="IG51" s="110"/>
      <c r="IH51" s="110"/>
      <c r="II51" s="110"/>
      <c r="IJ51" s="110"/>
      <c r="IK51" s="110"/>
      <c r="IL51" s="110"/>
      <c r="IM51" s="110"/>
      <c r="IN51" s="110"/>
      <c r="IO51" s="110"/>
      <c r="IP51" s="110"/>
      <c r="IQ51" s="110"/>
      <c r="IR51" s="110"/>
      <c r="IS51" s="110"/>
      <c r="IT51" s="110"/>
      <c r="IU51" s="110"/>
      <c r="IV51" s="110"/>
      <c r="IW51" s="110"/>
    </row>
    <row r="52" spans="1:257" x14ac:dyDescent="0.3">
      <c r="A52" s="156"/>
      <c r="B52" s="156"/>
      <c r="C52" s="156"/>
      <c r="D52" s="156"/>
      <c r="E52" s="156"/>
      <c r="F52" s="156"/>
      <c r="G52" s="156"/>
      <c r="H52" s="156"/>
      <c r="I52" s="174"/>
      <c r="J52" s="168"/>
      <c r="K52" s="169"/>
      <c r="L52" s="170"/>
      <c r="M52" s="156"/>
      <c r="N52" s="156"/>
      <c r="O52" s="110"/>
      <c r="P52" s="110"/>
      <c r="Q52" s="110"/>
      <c r="R52" s="110"/>
      <c r="S52" s="110"/>
      <c r="T52" s="110"/>
      <c r="U52" s="110"/>
      <c r="V52" s="110"/>
      <c r="W52" s="110"/>
      <c r="X52" s="110"/>
      <c r="Y52" s="110"/>
      <c r="Z52" s="110"/>
      <c r="AA52" s="110"/>
      <c r="AB52" s="110"/>
      <c r="AC52" s="110"/>
      <c r="AD52" s="110"/>
      <c r="AE52" s="110"/>
      <c r="AF52" s="110"/>
      <c r="AG52" s="110"/>
      <c r="AH52" s="110"/>
      <c r="AI52" s="110"/>
      <c r="AJ52" s="110"/>
      <c r="AK52" s="110"/>
      <c r="AL52" s="110"/>
      <c r="AM52" s="110"/>
      <c r="AN52" s="110"/>
      <c r="AO52" s="110"/>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10"/>
      <c r="BL52" s="110"/>
      <c r="BM52" s="110"/>
      <c r="BN52" s="110"/>
      <c r="BO52" s="110"/>
      <c r="BP52" s="110"/>
      <c r="BQ52" s="110"/>
      <c r="BR52" s="110"/>
      <c r="BS52" s="110"/>
      <c r="BT52" s="110"/>
      <c r="BU52" s="110"/>
      <c r="BV52" s="110"/>
      <c r="BW52" s="110"/>
      <c r="BX52" s="110"/>
      <c r="BY52" s="110"/>
      <c r="BZ52" s="110"/>
      <c r="CA52" s="110"/>
      <c r="CB52" s="110"/>
      <c r="CC52" s="110"/>
      <c r="CD52" s="110"/>
      <c r="CE52" s="110"/>
      <c r="CF52" s="110"/>
      <c r="CG52" s="110"/>
      <c r="CH52" s="110"/>
      <c r="CI52" s="110"/>
      <c r="CJ52" s="110"/>
      <c r="CK52" s="110"/>
      <c r="CL52" s="110"/>
      <c r="CM52" s="110"/>
      <c r="CN52" s="110"/>
      <c r="CO52" s="110"/>
      <c r="CP52" s="110"/>
      <c r="CQ52" s="110"/>
      <c r="CR52" s="110"/>
      <c r="CS52" s="110"/>
      <c r="CT52" s="110"/>
      <c r="CU52" s="110"/>
      <c r="CV52" s="110"/>
      <c r="CW52" s="110"/>
      <c r="CX52" s="110"/>
      <c r="CY52" s="110"/>
      <c r="CZ52" s="110"/>
      <c r="DA52" s="110"/>
      <c r="DB52" s="110"/>
      <c r="DC52" s="110"/>
      <c r="DD52" s="110"/>
      <c r="DE52" s="110"/>
      <c r="DF52" s="110"/>
      <c r="DG52" s="110"/>
      <c r="DH52" s="110"/>
      <c r="DI52" s="110"/>
      <c r="DJ52" s="110"/>
      <c r="DK52" s="110"/>
      <c r="DL52" s="110"/>
      <c r="DM52" s="110"/>
      <c r="DN52" s="110"/>
      <c r="DO52" s="110"/>
      <c r="DP52" s="110"/>
      <c r="DQ52" s="110"/>
      <c r="DR52" s="110"/>
      <c r="DS52" s="110"/>
      <c r="DT52" s="110"/>
      <c r="DU52" s="110"/>
      <c r="DV52" s="110"/>
      <c r="DW52" s="110"/>
      <c r="DX52" s="110"/>
      <c r="DY52" s="110"/>
      <c r="DZ52" s="110"/>
      <c r="EA52" s="110"/>
      <c r="EB52" s="110"/>
      <c r="EC52" s="110"/>
      <c r="ED52" s="110"/>
      <c r="EE52" s="110"/>
      <c r="EF52" s="110"/>
      <c r="EG52" s="110"/>
      <c r="EH52" s="110"/>
      <c r="EI52" s="110"/>
      <c r="EJ52" s="110"/>
      <c r="EK52" s="110"/>
      <c r="EL52" s="110"/>
      <c r="EM52" s="110"/>
      <c r="EN52" s="110"/>
      <c r="EO52" s="110"/>
      <c r="EP52" s="110"/>
      <c r="EQ52" s="110"/>
      <c r="ER52" s="110"/>
      <c r="ES52" s="110"/>
      <c r="ET52" s="110"/>
      <c r="EU52" s="110"/>
      <c r="EV52" s="110"/>
      <c r="EW52" s="110"/>
      <c r="EX52" s="110"/>
      <c r="EY52" s="110"/>
      <c r="EZ52" s="110"/>
      <c r="FA52" s="110"/>
      <c r="FB52" s="110"/>
      <c r="FC52" s="110"/>
      <c r="FD52" s="110"/>
      <c r="FE52" s="110"/>
      <c r="FF52" s="110"/>
      <c r="FG52" s="110"/>
      <c r="FH52" s="110"/>
      <c r="FI52" s="110"/>
      <c r="FJ52" s="110"/>
      <c r="FK52" s="110"/>
      <c r="FL52" s="110"/>
      <c r="FM52" s="110"/>
      <c r="FN52" s="110"/>
      <c r="FO52" s="110"/>
      <c r="FP52" s="110"/>
      <c r="FQ52" s="110"/>
      <c r="FR52" s="110"/>
      <c r="FS52" s="110"/>
      <c r="FT52" s="110"/>
      <c r="FU52" s="110"/>
      <c r="FV52" s="110"/>
      <c r="FW52" s="110"/>
      <c r="FX52" s="110"/>
      <c r="FY52" s="110"/>
      <c r="FZ52" s="110"/>
      <c r="GA52" s="110"/>
      <c r="GB52" s="110"/>
      <c r="GC52" s="110"/>
      <c r="GD52" s="110"/>
      <c r="GE52" s="110"/>
      <c r="GF52" s="110"/>
      <c r="GG52" s="110"/>
      <c r="GH52" s="110"/>
      <c r="GI52" s="110"/>
      <c r="GJ52" s="110"/>
      <c r="GK52" s="110"/>
      <c r="GL52" s="110"/>
      <c r="GM52" s="110"/>
      <c r="GN52" s="110"/>
      <c r="GO52" s="110"/>
      <c r="GP52" s="110"/>
      <c r="GQ52" s="110"/>
      <c r="GR52" s="110"/>
      <c r="GS52" s="110"/>
      <c r="GT52" s="110"/>
      <c r="GU52" s="110"/>
      <c r="GV52" s="110"/>
      <c r="GW52" s="110"/>
      <c r="GX52" s="110"/>
      <c r="GY52" s="110"/>
      <c r="GZ52" s="110"/>
      <c r="HA52" s="110"/>
      <c r="HB52" s="110"/>
      <c r="HC52" s="110"/>
      <c r="HD52" s="110"/>
      <c r="HE52" s="110"/>
      <c r="HF52" s="110"/>
      <c r="HG52" s="110"/>
      <c r="HH52" s="110"/>
      <c r="HI52" s="110"/>
      <c r="HJ52" s="110"/>
      <c r="HK52" s="110"/>
      <c r="HL52" s="110"/>
      <c r="HM52" s="110"/>
      <c r="HN52" s="110"/>
      <c r="HO52" s="110"/>
      <c r="HP52" s="110"/>
      <c r="HQ52" s="110"/>
      <c r="HR52" s="110"/>
      <c r="HS52" s="110"/>
      <c r="HT52" s="110"/>
      <c r="HU52" s="110"/>
      <c r="HV52" s="110"/>
      <c r="HW52" s="110"/>
      <c r="HX52" s="110"/>
      <c r="HY52" s="110"/>
      <c r="HZ52" s="110"/>
      <c r="IA52" s="110"/>
      <c r="IB52" s="110"/>
      <c r="IC52" s="110"/>
      <c r="ID52" s="110"/>
      <c r="IE52" s="110"/>
      <c r="IF52" s="110"/>
      <c r="IG52" s="110"/>
      <c r="IH52" s="110"/>
      <c r="II52" s="110"/>
      <c r="IJ52" s="110"/>
      <c r="IK52" s="110"/>
      <c r="IL52" s="110"/>
      <c r="IM52" s="110"/>
      <c r="IN52" s="110"/>
      <c r="IO52" s="110"/>
      <c r="IP52" s="110"/>
      <c r="IQ52" s="110"/>
      <c r="IR52" s="110"/>
      <c r="IS52" s="110"/>
      <c r="IT52" s="110"/>
      <c r="IU52" s="110"/>
      <c r="IV52" s="110"/>
      <c r="IW52" s="110"/>
    </row>
    <row r="53" spans="1:257" x14ac:dyDescent="0.3">
      <c r="A53" s="156"/>
      <c r="B53" s="156"/>
      <c r="C53" s="156"/>
      <c r="D53" s="156"/>
      <c r="E53" s="156"/>
      <c r="F53" s="156"/>
      <c r="G53" s="156"/>
      <c r="H53" s="156"/>
      <c r="I53" s="156"/>
      <c r="J53" s="156"/>
      <c r="K53" s="156"/>
      <c r="L53" s="156"/>
      <c r="M53" s="156"/>
      <c r="N53" s="156"/>
      <c r="O53" s="110"/>
      <c r="P53" s="110"/>
      <c r="Q53" s="110"/>
      <c r="R53" s="110"/>
      <c r="S53" s="110"/>
      <c r="T53" s="110"/>
      <c r="U53" s="110"/>
      <c r="V53" s="110"/>
      <c r="W53" s="110"/>
      <c r="X53" s="110"/>
      <c r="Y53" s="110"/>
      <c r="Z53" s="110"/>
      <c r="AA53" s="110"/>
      <c r="AB53" s="110"/>
      <c r="AC53" s="110"/>
      <c r="AD53" s="110"/>
      <c r="AE53" s="110"/>
      <c r="AF53" s="110"/>
      <c r="AG53" s="110"/>
      <c r="AH53" s="110"/>
      <c r="AI53" s="110"/>
      <c r="AJ53" s="110"/>
      <c r="AK53" s="110"/>
      <c r="AL53" s="110"/>
      <c r="AM53" s="110"/>
      <c r="AN53" s="110"/>
      <c r="AO53" s="110"/>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10"/>
      <c r="BL53" s="110"/>
      <c r="BM53" s="110"/>
      <c r="BN53" s="110"/>
      <c r="BO53" s="110"/>
      <c r="BP53" s="110"/>
      <c r="BQ53" s="110"/>
      <c r="BR53" s="110"/>
      <c r="BS53" s="110"/>
      <c r="BT53" s="110"/>
      <c r="BU53" s="110"/>
      <c r="BV53" s="110"/>
      <c r="BW53" s="110"/>
      <c r="BX53" s="110"/>
      <c r="BY53" s="110"/>
      <c r="BZ53" s="110"/>
      <c r="CA53" s="110"/>
      <c r="CB53" s="110"/>
      <c r="CC53" s="110"/>
      <c r="CD53" s="110"/>
      <c r="CE53" s="110"/>
      <c r="CF53" s="110"/>
      <c r="CG53" s="110"/>
      <c r="CH53" s="110"/>
      <c r="CI53" s="110"/>
      <c r="CJ53" s="110"/>
      <c r="CK53" s="110"/>
      <c r="CL53" s="110"/>
      <c r="CM53" s="110"/>
      <c r="CN53" s="110"/>
      <c r="CO53" s="110"/>
      <c r="CP53" s="110"/>
      <c r="CQ53" s="110"/>
      <c r="CR53" s="110"/>
      <c r="CS53" s="110"/>
      <c r="CT53" s="110"/>
      <c r="CU53" s="110"/>
      <c r="CV53" s="110"/>
      <c r="CW53" s="110"/>
      <c r="CX53" s="110"/>
      <c r="CY53" s="110"/>
      <c r="CZ53" s="110"/>
      <c r="DA53" s="110"/>
      <c r="DB53" s="110"/>
      <c r="DC53" s="110"/>
      <c r="DD53" s="110"/>
      <c r="DE53" s="110"/>
      <c r="DF53" s="110"/>
      <c r="DG53" s="110"/>
      <c r="DH53" s="110"/>
      <c r="DI53" s="110"/>
      <c r="DJ53" s="110"/>
      <c r="DK53" s="110"/>
      <c r="DL53" s="110"/>
      <c r="DM53" s="110"/>
      <c r="DN53" s="110"/>
      <c r="DO53" s="110"/>
      <c r="DP53" s="110"/>
      <c r="DQ53" s="110"/>
      <c r="DR53" s="110"/>
      <c r="DS53" s="110"/>
      <c r="DT53" s="110"/>
      <c r="DU53" s="110"/>
      <c r="DV53" s="110"/>
      <c r="DW53" s="110"/>
      <c r="DX53" s="110"/>
      <c r="DY53" s="110"/>
      <c r="DZ53" s="110"/>
      <c r="EA53" s="110"/>
      <c r="EB53" s="110"/>
      <c r="EC53" s="110"/>
      <c r="ED53" s="110"/>
      <c r="EE53" s="110"/>
      <c r="EF53" s="110"/>
      <c r="EG53" s="110"/>
      <c r="EH53" s="110"/>
      <c r="EI53" s="110"/>
      <c r="EJ53" s="110"/>
      <c r="EK53" s="110"/>
      <c r="EL53" s="110"/>
      <c r="EM53" s="110"/>
      <c r="EN53" s="110"/>
      <c r="EO53" s="110"/>
      <c r="EP53" s="110"/>
      <c r="EQ53" s="110"/>
      <c r="ER53" s="110"/>
      <c r="ES53" s="110"/>
      <c r="ET53" s="110"/>
      <c r="EU53" s="110"/>
      <c r="EV53" s="110"/>
      <c r="EW53" s="110"/>
      <c r="EX53" s="110"/>
      <c r="EY53" s="110"/>
      <c r="EZ53" s="110"/>
      <c r="FA53" s="110"/>
      <c r="FB53" s="110"/>
      <c r="FC53" s="110"/>
      <c r="FD53" s="110"/>
      <c r="FE53" s="110"/>
      <c r="FF53" s="110"/>
      <c r="FG53" s="110"/>
      <c r="FH53" s="110"/>
      <c r="FI53" s="110"/>
      <c r="FJ53" s="110"/>
      <c r="FK53" s="110"/>
      <c r="FL53" s="110"/>
      <c r="FM53" s="110"/>
      <c r="FN53" s="110"/>
      <c r="FO53" s="110"/>
      <c r="FP53" s="110"/>
      <c r="FQ53" s="110"/>
      <c r="FR53" s="110"/>
      <c r="FS53" s="110"/>
      <c r="FT53" s="110"/>
      <c r="FU53" s="110"/>
      <c r="FV53" s="110"/>
      <c r="FW53" s="110"/>
      <c r="FX53" s="110"/>
      <c r="FY53" s="110"/>
      <c r="FZ53" s="110"/>
      <c r="GA53" s="110"/>
      <c r="GB53" s="110"/>
      <c r="GC53" s="110"/>
      <c r="GD53" s="110"/>
      <c r="GE53" s="110"/>
      <c r="GF53" s="110"/>
      <c r="GG53" s="110"/>
      <c r="GH53" s="110"/>
      <c r="GI53" s="110"/>
      <c r="GJ53" s="110"/>
      <c r="GK53" s="110"/>
      <c r="GL53" s="110"/>
      <c r="GM53" s="110"/>
      <c r="GN53" s="110"/>
      <c r="GO53" s="110"/>
      <c r="GP53" s="110"/>
      <c r="GQ53" s="110"/>
      <c r="GR53" s="110"/>
      <c r="GS53" s="110"/>
      <c r="GT53" s="110"/>
      <c r="GU53" s="110"/>
      <c r="GV53" s="110"/>
      <c r="GW53" s="110"/>
      <c r="GX53" s="110"/>
      <c r="GY53" s="110"/>
      <c r="GZ53" s="110"/>
      <c r="HA53" s="110"/>
      <c r="HB53" s="110"/>
      <c r="HC53" s="110"/>
      <c r="HD53" s="110"/>
      <c r="HE53" s="110"/>
      <c r="HF53" s="110"/>
      <c r="HG53" s="110"/>
      <c r="HH53" s="110"/>
      <c r="HI53" s="110"/>
      <c r="HJ53" s="110"/>
      <c r="HK53" s="110"/>
      <c r="HL53" s="110"/>
      <c r="HM53" s="110"/>
      <c r="HN53" s="110"/>
      <c r="HO53" s="110"/>
      <c r="HP53" s="110"/>
      <c r="HQ53" s="110"/>
      <c r="HR53" s="110"/>
      <c r="HS53" s="110"/>
      <c r="HT53" s="110"/>
      <c r="HU53" s="110"/>
      <c r="HV53" s="110"/>
      <c r="HW53" s="110"/>
      <c r="HX53" s="110"/>
      <c r="HY53" s="110"/>
      <c r="HZ53" s="110"/>
      <c r="IA53" s="110"/>
      <c r="IB53" s="110"/>
      <c r="IC53" s="110"/>
      <c r="ID53" s="110"/>
      <c r="IE53" s="110"/>
      <c r="IF53" s="110"/>
      <c r="IG53" s="110"/>
      <c r="IH53" s="110"/>
      <c r="II53" s="110"/>
      <c r="IJ53" s="110"/>
      <c r="IK53" s="110"/>
      <c r="IL53" s="110"/>
      <c r="IM53" s="110"/>
      <c r="IN53" s="110"/>
      <c r="IO53" s="110"/>
      <c r="IP53" s="110"/>
      <c r="IQ53" s="110"/>
      <c r="IR53" s="110"/>
      <c r="IS53" s="110"/>
      <c r="IT53" s="110"/>
      <c r="IU53" s="110"/>
      <c r="IV53" s="110"/>
      <c r="IW53" s="110"/>
    </row>
    <row r="54" spans="1:257" x14ac:dyDescent="0.3">
      <c r="A54" s="156"/>
      <c r="B54" s="156"/>
      <c r="C54" s="156"/>
      <c r="D54" s="156"/>
      <c r="E54" s="156"/>
      <c r="F54" s="156"/>
      <c r="G54" s="156"/>
      <c r="H54" s="156"/>
      <c r="I54" s="156"/>
      <c r="J54" s="156"/>
      <c r="K54" s="156"/>
      <c r="L54" s="156"/>
      <c r="M54" s="156"/>
      <c r="N54" s="156"/>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c r="BY54" s="110"/>
      <c r="BZ54" s="110"/>
      <c r="CA54" s="110"/>
      <c r="CB54" s="110"/>
      <c r="CC54" s="110"/>
      <c r="CD54" s="110"/>
      <c r="CE54" s="110"/>
      <c r="CF54" s="110"/>
      <c r="CG54" s="110"/>
      <c r="CH54" s="110"/>
      <c r="CI54" s="110"/>
      <c r="CJ54" s="110"/>
      <c r="CK54" s="110"/>
      <c r="CL54" s="110"/>
      <c r="CM54" s="110"/>
      <c r="CN54" s="110"/>
      <c r="CO54" s="110"/>
      <c r="CP54" s="110"/>
      <c r="CQ54" s="110"/>
      <c r="CR54" s="110"/>
      <c r="CS54" s="110"/>
      <c r="CT54" s="110"/>
      <c r="CU54" s="110"/>
      <c r="CV54" s="110"/>
      <c r="CW54" s="110"/>
      <c r="CX54" s="110"/>
      <c r="CY54" s="110"/>
      <c r="CZ54" s="110"/>
      <c r="DA54" s="110"/>
      <c r="DB54" s="110"/>
      <c r="DC54" s="110"/>
      <c r="DD54" s="110"/>
      <c r="DE54" s="110"/>
      <c r="DF54" s="110"/>
      <c r="DG54" s="110"/>
      <c r="DH54" s="110"/>
      <c r="DI54" s="110"/>
      <c r="DJ54" s="110"/>
      <c r="DK54" s="110"/>
      <c r="DL54" s="110"/>
      <c r="DM54" s="110"/>
      <c r="DN54" s="110"/>
      <c r="DO54" s="110"/>
      <c r="DP54" s="110"/>
      <c r="DQ54" s="110"/>
      <c r="DR54" s="110"/>
      <c r="DS54" s="110"/>
      <c r="DT54" s="110"/>
      <c r="DU54" s="110"/>
      <c r="DV54" s="110"/>
      <c r="DW54" s="110"/>
      <c r="DX54" s="110"/>
      <c r="DY54" s="110"/>
      <c r="DZ54" s="110"/>
      <c r="EA54" s="110"/>
      <c r="EB54" s="110"/>
      <c r="EC54" s="110"/>
      <c r="ED54" s="110"/>
      <c r="EE54" s="110"/>
      <c r="EF54" s="110"/>
      <c r="EG54" s="110"/>
      <c r="EH54" s="110"/>
      <c r="EI54" s="110"/>
      <c r="EJ54" s="110"/>
      <c r="EK54" s="110"/>
      <c r="EL54" s="110"/>
      <c r="EM54" s="110"/>
      <c r="EN54" s="110"/>
      <c r="EO54" s="110"/>
      <c r="EP54" s="110"/>
      <c r="EQ54" s="110"/>
      <c r="ER54" s="110"/>
      <c r="ES54" s="110"/>
      <c r="ET54" s="110"/>
      <c r="EU54" s="110"/>
      <c r="EV54" s="110"/>
      <c r="EW54" s="110"/>
      <c r="EX54" s="110"/>
      <c r="EY54" s="110"/>
      <c r="EZ54" s="110"/>
      <c r="FA54" s="110"/>
      <c r="FB54" s="110"/>
      <c r="FC54" s="110"/>
      <c r="FD54" s="110"/>
      <c r="FE54" s="110"/>
      <c r="FF54" s="110"/>
      <c r="FG54" s="110"/>
      <c r="FH54" s="110"/>
      <c r="FI54" s="110"/>
      <c r="FJ54" s="110"/>
      <c r="FK54" s="110"/>
      <c r="FL54" s="110"/>
      <c r="FM54" s="110"/>
      <c r="FN54" s="110"/>
      <c r="FO54" s="110"/>
      <c r="FP54" s="110"/>
      <c r="FQ54" s="110"/>
      <c r="FR54" s="110"/>
      <c r="FS54" s="110"/>
      <c r="FT54" s="110"/>
      <c r="FU54" s="110"/>
      <c r="FV54" s="110"/>
      <c r="FW54" s="110"/>
      <c r="FX54" s="110"/>
      <c r="FY54" s="110"/>
      <c r="FZ54" s="110"/>
      <c r="GA54" s="110"/>
      <c r="GB54" s="110"/>
      <c r="GC54" s="110"/>
      <c r="GD54" s="110"/>
      <c r="GE54" s="110"/>
      <c r="GF54" s="110"/>
      <c r="GG54" s="110"/>
      <c r="GH54" s="110"/>
      <c r="GI54" s="110"/>
      <c r="GJ54" s="110"/>
      <c r="GK54" s="110"/>
      <c r="GL54" s="110"/>
      <c r="GM54" s="110"/>
      <c r="GN54" s="110"/>
      <c r="GO54" s="110"/>
      <c r="GP54" s="110"/>
      <c r="GQ54" s="110"/>
      <c r="GR54" s="110"/>
      <c r="GS54" s="110"/>
      <c r="GT54" s="110"/>
      <c r="GU54" s="110"/>
      <c r="GV54" s="110"/>
      <c r="GW54" s="110"/>
      <c r="GX54" s="110"/>
      <c r="GY54" s="110"/>
      <c r="GZ54" s="110"/>
      <c r="HA54" s="110"/>
      <c r="HB54" s="110"/>
      <c r="HC54" s="110"/>
      <c r="HD54" s="110"/>
      <c r="HE54" s="110"/>
      <c r="HF54" s="110"/>
      <c r="HG54" s="110"/>
      <c r="HH54" s="110"/>
      <c r="HI54" s="110"/>
      <c r="HJ54" s="110"/>
      <c r="HK54" s="110"/>
      <c r="HL54" s="110"/>
      <c r="HM54" s="110"/>
      <c r="HN54" s="110"/>
      <c r="HO54" s="110"/>
      <c r="HP54" s="110"/>
      <c r="HQ54" s="110"/>
      <c r="HR54" s="110"/>
      <c r="HS54" s="110"/>
      <c r="HT54" s="110"/>
      <c r="HU54" s="110"/>
      <c r="HV54" s="110"/>
      <c r="HW54" s="110"/>
      <c r="HX54" s="110"/>
      <c r="HY54" s="110"/>
      <c r="HZ54" s="110"/>
      <c r="IA54" s="110"/>
      <c r="IB54" s="110"/>
      <c r="IC54" s="110"/>
      <c r="ID54" s="110"/>
      <c r="IE54" s="110"/>
      <c r="IF54" s="110"/>
      <c r="IG54" s="110"/>
      <c r="IH54" s="110"/>
      <c r="II54" s="110"/>
      <c r="IJ54" s="110"/>
      <c r="IK54" s="110"/>
      <c r="IL54" s="110"/>
      <c r="IM54" s="110"/>
      <c r="IN54" s="110"/>
      <c r="IO54" s="110"/>
      <c r="IP54" s="110"/>
      <c r="IQ54" s="110"/>
      <c r="IR54" s="110"/>
      <c r="IS54" s="110"/>
      <c r="IT54" s="110"/>
      <c r="IU54" s="110"/>
      <c r="IV54" s="110"/>
      <c r="IW54" s="110"/>
    </row>
    <row r="55" spans="1:257" x14ac:dyDescent="0.3">
      <c r="A55" s="156"/>
      <c r="B55" s="156"/>
      <c r="C55" s="156"/>
      <c r="D55" s="156"/>
      <c r="E55" s="156"/>
      <c r="F55" s="156"/>
      <c r="G55" s="156"/>
      <c r="H55" s="156"/>
      <c r="I55" s="156"/>
      <c r="J55" s="156"/>
      <c r="K55" s="156"/>
      <c r="L55" s="156"/>
      <c r="M55" s="156"/>
      <c r="N55" s="156"/>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c r="BY55" s="110"/>
      <c r="BZ55" s="110"/>
      <c r="CA55" s="110"/>
      <c r="CB55" s="110"/>
      <c r="CC55" s="110"/>
      <c r="CD55" s="110"/>
      <c r="CE55" s="110"/>
      <c r="CF55" s="110"/>
      <c r="CG55" s="110"/>
      <c r="CH55" s="110"/>
      <c r="CI55" s="110"/>
      <c r="CJ55" s="110"/>
      <c r="CK55" s="110"/>
      <c r="CL55" s="110"/>
      <c r="CM55" s="110"/>
      <c r="CN55" s="110"/>
      <c r="CO55" s="110"/>
      <c r="CP55" s="110"/>
      <c r="CQ55" s="110"/>
      <c r="CR55" s="110"/>
      <c r="CS55" s="110"/>
      <c r="CT55" s="110"/>
      <c r="CU55" s="110"/>
      <c r="CV55" s="110"/>
      <c r="CW55" s="110"/>
      <c r="CX55" s="110"/>
      <c r="CY55" s="110"/>
      <c r="CZ55" s="110"/>
      <c r="DA55" s="110"/>
      <c r="DB55" s="110"/>
      <c r="DC55" s="110"/>
      <c r="DD55" s="110"/>
      <c r="DE55" s="110"/>
      <c r="DF55" s="110"/>
      <c r="DG55" s="110"/>
      <c r="DH55" s="110"/>
      <c r="DI55" s="110"/>
      <c r="DJ55" s="110"/>
      <c r="DK55" s="110"/>
      <c r="DL55" s="110"/>
      <c r="DM55" s="110"/>
      <c r="DN55" s="110"/>
      <c r="DO55" s="110"/>
      <c r="DP55" s="110"/>
      <c r="DQ55" s="110"/>
      <c r="DR55" s="110"/>
      <c r="DS55" s="110"/>
      <c r="DT55" s="110"/>
      <c r="DU55" s="110"/>
      <c r="DV55" s="110"/>
      <c r="DW55" s="110"/>
      <c r="DX55" s="110"/>
      <c r="DY55" s="110"/>
      <c r="DZ55" s="110"/>
      <c r="EA55" s="110"/>
      <c r="EB55" s="110"/>
      <c r="EC55" s="110"/>
      <c r="ED55" s="110"/>
      <c r="EE55" s="110"/>
      <c r="EF55" s="110"/>
      <c r="EG55" s="110"/>
      <c r="EH55" s="110"/>
      <c r="EI55" s="110"/>
      <c r="EJ55" s="110"/>
      <c r="EK55" s="110"/>
      <c r="EL55" s="110"/>
      <c r="EM55" s="110"/>
      <c r="EN55" s="110"/>
      <c r="EO55" s="110"/>
      <c r="EP55" s="110"/>
      <c r="EQ55" s="110"/>
      <c r="ER55" s="110"/>
      <c r="ES55" s="110"/>
      <c r="ET55" s="110"/>
      <c r="EU55" s="110"/>
      <c r="EV55" s="110"/>
      <c r="EW55" s="110"/>
      <c r="EX55" s="110"/>
      <c r="EY55" s="110"/>
      <c r="EZ55" s="110"/>
      <c r="FA55" s="110"/>
      <c r="FB55" s="110"/>
      <c r="FC55" s="110"/>
      <c r="FD55" s="110"/>
      <c r="FE55" s="110"/>
      <c r="FF55" s="110"/>
      <c r="FG55" s="110"/>
      <c r="FH55" s="110"/>
      <c r="FI55" s="110"/>
      <c r="FJ55" s="110"/>
      <c r="FK55" s="110"/>
      <c r="FL55" s="110"/>
      <c r="FM55" s="110"/>
      <c r="FN55" s="110"/>
      <c r="FO55" s="110"/>
      <c r="FP55" s="110"/>
      <c r="FQ55" s="110"/>
      <c r="FR55" s="110"/>
      <c r="FS55" s="110"/>
      <c r="FT55" s="110"/>
      <c r="FU55" s="110"/>
      <c r="FV55" s="110"/>
      <c r="FW55" s="110"/>
      <c r="FX55" s="110"/>
      <c r="FY55" s="110"/>
      <c r="FZ55" s="110"/>
      <c r="GA55" s="110"/>
      <c r="GB55" s="110"/>
      <c r="GC55" s="110"/>
      <c r="GD55" s="110"/>
      <c r="GE55" s="110"/>
      <c r="GF55" s="110"/>
      <c r="GG55" s="110"/>
      <c r="GH55" s="110"/>
      <c r="GI55" s="110"/>
      <c r="GJ55" s="110"/>
      <c r="GK55" s="110"/>
      <c r="GL55" s="110"/>
      <c r="GM55" s="110"/>
      <c r="GN55" s="110"/>
      <c r="GO55" s="110"/>
      <c r="GP55" s="110"/>
      <c r="GQ55" s="110"/>
      <c r="GR55" s="110"/>
      <c r="GS55" s="110"/>
      <c r="GT55" s="110"/>
      <c r="GU55" s="110"/>
      <c r="GV55" s="110"/>
      <c r="GW55" s="110"/>
      <c r="GX55" s="110"/>
      <c r="GY55" s="110"/>
      <c r="GZ55" s="110"/>
      <c r="HA55" s="110"/>
      <c r="HB55" s="110"/>
      <c r="HC55" s="110"/>
      <c r="HD55" s="110"/>
      <c r="HE55" s="110"/>
      <c r="HF55" s="110"/>
      <c r="HG55" s="110"/>
      <c r="HH55" s="110"/>
      <c r="HI55" s="110"/>
      <c r="HJ55" s="110"/>
      <c r="HK55" s="110"/>
      <c r="HL55" s="110"/>
      <c r="HM55" s="110"/>
      <c r="HN55" s="110"/>
      <c r="HO55" s="110"/>
      <c r="HP55" s="110"/>
      <c r="HQ55" s="110"/>
      <c r="HR55" s="110"/>
      <c r="HS55" s="110"/>
      <c r="HT55" s="110"/>
      <c r="HU55" s="110"/>
      <c r="HV55" s="110"/>
      <c r="HW55" s="110"/>
      <c r="HX55" s="110"/>
      <c r="HY55" s="110"/>
      <c r="HZ55" s="110"/>
      <c r="IA55" s="110"/>
      <c r="IB55" s="110"/>
      <c r="IC55" s="110"/>
      <c r="ID55" s="110"/>
      <c r="IE55" s="110"/>
      <c r="IF55" s="110"/>
      <c r="IG55" s="110"/>
      <c r="IH55" s="110"/>
      <c r="II55" s="110"/>
      <c r="IJ55" s="110"/>
      <c r="IK55" s="110"/>
      <c r="IL55" s="110"/>
      <c r="IM55" s="110"/>
      <c r="IN55" s="110"/>
      <c r="IO55" s="110"/>
      <c r="IP55" s="110"/>
      <c r="IQ55" s="110"/>
      <c r="IR55" s="110"/>
      <c r="IS55" s="110"/>
      <c r="IT55" s="110"/>
      <c r="IU55" s="110"/>
      <c r="IV55" s="110"/>
      <c r="IW55" s="110"/>
    </row>
    <row r="56" spans="1:257" x14ac:dyDescent="0.3">
      <c r="A56" s="156"/>
      <c r="B56" s="156"/>
      <c r="C56" s="156"/>
      <c r="D56" s="156"/>
      <c r="E56" s="156"/>
      <c r="F56" s="156"/>
      <c r="G56" s="156"/>
      <c r="H56" s="156"/>
      <c r="I56" s="156"/>
      <c r="J56" s="156"/>
      <c r="K56" s="156"/>
      <c r="L56" s="156"/>
      <c r="M56" s="156"/>
      <c r="N56" s="156"/>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c r="BY56" s="110"/>
      <c r="BZ56" s="110"/>
      <c r="CA56" s="110"/>
      <c r="CB56" s="110"/>
      <c r="CC56" s="110"/>
      <c r="CD56" s="110"/>
      <c r="CE56" s="110"/>
      <c r="CF56" s="110"/>
      <c r="CG56" s="110"/>
      <c r="CH56" s="110"/>
      <c r="CI56" s="110"/>
      <c r="CJ56" s="110"/>
      <c r="CK56" s="110"/>
      <c r="CL56" s="110"/>
      <c r="CM56" s="110"/>
      <c r="CN56" s="110"/>
      <c r="CO56" s="110"/>
      <c r="CP56" s="110"/>
      <c r="CQ56" s="110"/>
      <c r="CR56" s="110"/>
      <c r="CS56" s="110"/>
      <c r="CT56" s="110"/>
      <c r="CU56" s="110"/>
      <c r="CV56" s="110"/>
      <c r="CW56" s="110"/>
      <c r="CX56" s="110"/>
      <c r="CY56" s="110"/>
      <c r="CZ56" s="110"/>
      <c r="DA56" s="110"/>
      <c r="DB56" s="110"/>
      <c r="DC56" s="110"/>
      <c r="DD56" s="110"/>
      <c r="DE56" s="110"/>
      <c r="DF56" s="110"/>
      <c r="DG56" s="110"/>
      <c r="DH56" s="110"/>
      <c r="DI56" s="110"/>
      <c r="DJ56" s="110"/>
      <c r="DK56" s="110"/>
      <c r="DL56" s="110"/>
      <c r="DM56" s="110"/>
      <c r="DN56" s="110"/>
      <c r="DO56" s="110"/>
      <c r="DP56" s="110"/>
      <c r="DQ56" s="110"/>
      <c r="DR56" s="110"/>
      <c r="DS56" s="110"/>
      <c r="DT56" s="110"/>
      <c r="DU56" s="110"/>
      <c r="DV56" s="110"/>
      <c r="DW56" s="110"/>
      <c r="DX56" s="110"/>
      <c r="DY56" s="110"/>
      <c r="DZ56" s="110"/>
      <c r="EA56" s="110"/>
      <c r="EB56" s="110"/>
      <c r="EC56" s="110"/>
      <c r="ED56" s="110"/>
      <c r="EE56" s="110"/>
      <c r="EF56" s="110"/>
      <c r="EG56" s="110"/>
      <c r="EH56" s="110"/>
      <c r="EI56" s="110"/>
      <c r="EJ56" s="110"/>
      <c r="EK56" s="110"/>
      <c r="EL56" s="110"/>
      <c r="EM56" s="110"/>
      <c r="EN56" s="110"/>
      <c r="EO56" s="110"/>
      <c r="EP56" s="110"/>
      <c r="EQ56" s="110"/>
      <c r="ER56" s="110"/>
      <c r="ES56" s="110"/>
      <c r="ET56" s="110"/>
      <c r="EU56" s="110"/>
      <c r="EV56" s="110"/>
      <c r="EW56" s="110"/>
      <c r="EX56" s="110"/>
      <c r="EY56" s="110"/>
      <c r="EZ56" s="110"/>
      <c r="FA56" s="110"/>
      <c r="FB56" s="110"/>
      <c r="FC56" s="110"/>
      <c r="FD56" s="110"/>
      <c r="FE56" s="110"/>
      <c r="FF56" s="110"/>
      <c r="FG56" s="110"/>
      <c r="FH56" s="110"/>
      <c r="FI56" s="110"/>
      <c r="FJ56" s="110"/>
      <c r="FK56" s="110"/>
      <c r="FL56" s="110"/>
      <c r="FM56" s="110"/>
      <c r="FN56" s="110"/>
      <c r="FO56" s="110"/>
      <c r="FP56" s="110"/>
      <c r="FQ56" s="110"/>
      <c r="FR56" s="110"/>
      <c r="FS56" s="110"/>
      <c r="FT56" s="110"/>
      <c r="FU56" s="110"/>
      <c r="FV56" s="110"/>
      <c r="FW56" s="110"/>
      <c r="FX56" s="110"/>
      <c r="FY56" s="110"/>
      <c r="FZ56" s="110"/>
      <c r="GA56" s="110"/>
      <c r="GB56" s="110"/>
      <c r="GC56" s="110"/>
      <c r="GD56" s="110"/>
      <c r="GE56" s="110"/>
      <c r="GF56" s="110"/>
      <c r="GG56" s="110"/>
      <c r="GH56" s="110"/>
      <c r="GI56" s="110"/>
      <c r="GJ56" s="110"/>
      <c r="GK56" s="110"/>
      <c r="GL56" s="110"/>
      <c r="GM56" s="110"/>
      <c r="GN56" s="110"/>
      <c r="GO56" s="110"/>
      <c r="GP56" s="110"/>
      <c r="GQ56" s="110"/>
      <c r="GR56" s="110"/>
      <c r="GS56" s="110"/>
      <c r="GT56" s="110"/>
      <c r="GU56" s="110"/>
      <c r="GV56" s="110"/>
      <c r="GW56" s="110"/>
      <c r="GX56" s="110"/>
      <c r="GY56" s="110"/>
      <c r="GZ56" s="110"/>
      <c r="HA56" s="110"/>
      <c r="HB56" s="110"/>
      <c r="HC56" s="110"/>
      <c r="HD56" s="110"/>
      <c r="HE56" s="110"/>
      <c r="HF56" s="110"/>
      <c r="HG56" s="110"/>
      <c r="HH56" s="110"/>
      <c r="HI56" s="110"/>
      <c r="HJ56" s="110"/>
      <c r="HK56" s="110"/>
      <c r="HL56" s="110"/>
      <c r="HM56" s="110"/>
      <c r="HN56" s="110"/>
      <c r="HO56" s="110"/>
      <c r="HP56" s="110"/>
      <c r="HQ56" s="110"/>
      <c r="HR56" s="110"/>
      <c r="HS56" s="110"/>
      <c r="HT56" s="110"/>
      <c r="HU56" s="110"/>
      <c r="HV56" s="110"/>
      <c r="HW56" s="110"/>
      <c r="HX56" s="110"/>
      <c r="HY56" s="110"/>
      <c r="HZ56" s="110"/>
      <c r="IA56" s="110"/>
      <c r="IB56" s="110"/>
      <c r="IC56" s="110"/>
      <c r="ID56" s="110"/>
      <c r="IE56" s="110"/>
      <c r="IF56" s="110"/>
      <c r="IG56" s="110"/>
      <c r="IH56" s="110"/>
      <c r="II56" s="110"/>
      <c r="IJ56" s="110"/>
      <c r="IK56" s="110"/>
      <c r="IL56" s="110"/>
      <c r="IM56" s="110"/>
      <c r="IN56" s="110"/>
      <c r="IO56" s="110"/>
      <c r="IP56" s="110"/>
      <c r="IQ56" s="110"/>
      <c r="IR56" s="110"/>
      <c r="IS56" s="110"/>
      <c r="IT56" s="110"/>
      <c r="IU56" s="110"/>
      <c r="IV56" s="110"/>
      <c r="IW56" s="110"/>
    </row>
    <row r="57" spans="1:257" x14ac:dyDescent="0.3">
      <c r="A57" s="156"/>
      <c r="B57" s="156"/>
      <c r="C57" s="156"/>
      <c r="D57" s="156"/>
      <c r="E57" s="156"/>
      <c r="F57" s="156"/>
      <c r="G57" s="156"/>
      <c r="H57" s="156"/>
      <c r="I57" s="156"/>
      <c r="J57" s="156"/>
      <c r="K57" s="156"/>
      <c r="L57" s="156"/>
      <c r="M57" s="156"/>
      <c r="N57" s="156"/>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c r="BY57" s="110"/>
      <c r="BZ57" s="110"/>
      <c r="CA57" s="110"/>
      <c r="CB57" s="110"/>
      <c r="CC57" s="110"/>
      <c r="CD57" s="110"/>
      <c r="CE57" s="110"/>
      <c r="CF57" s="110"/>
      <c r="CG57" s="110"/>
      <c r="CH57" s="110"/>
      <c r="CI57" s="110"/>
      <c r="CJ57" s="110"/>
      <c r="CK57" s="110"/>
      <c r="CL57" s="110"/>
      <c r="CM57" s="110"/>
      <c r="CN57" s="110"/>
      <c r="CO57" s="110"/>
      <c r="CP57" s="110"/>
      <c r="CQ57" s="110"/>
      <c r="CR57" s="110"/>
      <c r="CS57" s="110"/>
      <c r="CT57" s="110"/>
      <c r="CU57" s="110"/>
      <c r="CV57" s="110"/>
      <c r="CW57" s="110"/>
      <c r="CX57" s="110"/>
      <c r="CY57" s="110"/>
      <c r="CZ57" s="110"/>
      <c r="DA57" s="110"/>
      <c r="DB57" s="110"/>
      <c r="DC57" s="110"/>
      <c r="DD57" s="110"/>
      <c r="DE57" s="110"/>
      <c r="DF57" s="110"/>
      <c r="DG57" s="110"/>
      <c r="DH57" s="110"/>
      <c r="DI57" s="110"/>
      <c r="DJ57" s="110"/>
      <c r="DK57" s="110"/>
      <c r="DL57" s="110"/>
      <c r="DM57" s="110"/>
      <c r="DN57" s="110"/>
      <c r="DO57" s="110"/>
      <c r="DP57" s="110"/>
      <c r="DQ57" s="110"/>
      <c r="DR57" s="110"/>
      <c r="DS57" s="110"/>
      <c r="DT57" s="110"/>
      <c r="DU57" s="110"/>
      <c r="DV57" s="110"/>
      <c r="DW57" s="110"/>
      <c r="DX57" s="110"/>
      <c r="DY57" s="110"/>
      <c r="DZ57" s="110"/>
      <c r="EA57" s="110"/>
      <c r="EB57" s="110"/>
      <c r="EC57" s="110"/>
      <c r="ED57" s="110"/>
      <c r="EE57" s="110"/>
      <c r="EF57" s="110"/>
      <c r="EG57" s="110"/>
      <c r="EH57" s="110"/>
      <c r="EI57" s="110"/>
      <c r="EJ57" s="110"/>
      <c r="EK57" s="110"/>
      <c r="EL57" s="110"/>
      <c r="EM57" s="110"/>
      <c r="EN57" s="110"/>
      <c r="EO57" s="110"/>
      <c r="EP57" s="110"/>
      <c r="EQ57" s="110"/>
      <c r="ER57" s="110"/>
      <c r="ES57" s="110"/>
      <c r="ET57" s="110"/>
      <c r="EU57" s="110"/>
      <c r="EV57" s="110"/>
      <c r="EW57" s="110"/>
      <c r="EX57" s="110"/>
      <c r="EY57" s="110"/>
      <c r="EZ57" s="110"/>
      <c r="FA57" s="110"/>
      <c r="FB57" s="110"/>
      <c r="FC57" s="110"/>
      <c r="FD57" s="110"/>
      <c r="FE57" s="110"/>
      <c r="FF57" s="110"/>
      <c r="FG57" s="110"/>
      <c r="FH57" s="110"/>
      <c r="FI57" s="110"/>
      <c r="FJ57" s="110"/>
      <c r="FK57" s="110"/>
      <c r="FL57" s="110"/>
      <c r="FM57" s="110"/>
      <c r="FN57" s="110"/>
      <c r="FO57" s="110"/>
      <c r="FP57" s="110"/>
      <c r="FQ57" s="110"/>
      <c r="FR57" s="110"/>
      <c r="FS57" s="110"/>
      <c r="FT57" s="110"/>
      <c r="FU57" s="110"/>
      <c r="FV57" s="110"/>
      <c r="FW57" s="110"/>
      <c r="FX57" s="110"/>
      <c r="FY57" s="110"/>
      <c r="FZ57" s="110"/>
      <c r="GA57" s="110"/>
      <c r="GB57" s="110"/>
      <c r="GC57" s="110"/>
      <c r="GD57" s="110"/>
      <c r="GE57" s="110"/>
      <c r="GF57" s="110"/>
      <c r="GG57" s="110"/>
      <c r="GH57" s="110"/>
      <c r="GI57" s="110"/>
      <c r="GJ57" s="110"/>
      <c r="GK57" s="110"/>
      <c r="GL57" s="110"/>
      <c r="GM57" s="110"/>
      <c r="GN57" s="110"/>
      <c r="GO57" s="110"/>
      <c r="GP57" s="110"/>
      <c r="GQ57" s="110"/>
      <c r="GR57" s="110"/>
      <c r="GS57" s="110"/>
      <c r="GT57" s="110"/>
      <c r="GU57" s="110"/>
      <c r="GV57" s="110"/>
      <c r="GW57" s="110"/>
      <c r="GX57" s="110"/>
      <c r="GY57" s="110"/>
      <c r="GZ57" s="110"/>
      <c r="HA57" s="110"/>
      <c r="HB57" s="110"/>
      <c r="HC57" s="110"/>
      <c r="HD57" s="110"/>
      <c r="HE57" s="110"/>
      <c r="HF57" s="110"/>
      <c r="HG57" s="110"/>
      <c r="HH57" s="110"/>
      <c r="HI57" s="110"/>
      <c r="HJ57" s="110"/>
      <c r="HK57" s="110"/>
      <c r="HL57" s="110"/>
      <c r="HM57" s="110"/>
      <c r="HN57" s="110"/>
      <c r="HO57" s="110"/>
      <c r="HP57" s="110"/>
      <c r="HQ57" s="110"/>
      <c r="HR57" s="110"/>
      <c r="HS57" s="110"/>
      <c r="HT57" s="110"/>
      <c r="HU57" s="110"/>
      <c r="HV57" s="110"/>
      <c r="HW57" s="110"/>
      <c r="HX57" s="110"/>
      <c r="HY57" s="110"/>
      <c r="HZ57" s="110"/>
      <c r="IA57" s="110"/>
      <c r="IB57" s="110"/>
      <c r="IC57" s="110"/>
      <c r="ID57" s="110"/>
      <c r="IE57" s="110"/>
      <c r="IF57" s="110"/>
      <c r="IG57" s="110"/>
      <c r="IH57" s="110"/>
      <c r="II57" s="110"/>
      <c r="IJ57" s="110"/>
      <c r="IK57" s="110"/>
      <c r="IL57" s="110"/>
      <c r="IM57" s="110"/>
      <c r="IN57" s="110"/>
      <c r="IO57" s="110"/>
      <c r="IP57" s="110"/>
      <c r="IQ57" s="110"/>
      <c r="IR57" s="110"/>
      <c r="IS57" s="110"/>
      <c r="IT57" s="110"/>
      <c r="IU57" s="110"/>
      <c r="IV57" s="110"/>
      <c r="IW57" s="110"/>
    </row>
    <row r="58" spans="1:257" x14ac:dyDescent="0.3">
      <c r="A58" s="156"/>
      <c r="B58" s="156"/>
      <c r="C58" s="156"/>
      <c r="D58" s="156"/>
      <c r="E58" s="156"/>
      <c r="F58" s="156"/>
      <c r="G58" s="156"/>
      <c r="H58" s="156"/>
      <c r="I58" s="156"/>
      <c r="J58" s="156"/>
      <c r="K58" s="156"/>
      <c r="L58" s="156"/>
      <c r="M58" s="156"/>
      <c r="N58" s="156"/>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c r="BY58" s="110"/>
      <c r="BZ58" s="110"/>
      <c r="CA58" s="110"/>
      <c r="CB58" s="110"/>
      <c r="CC58" s="110"/>
      <c r="CD58" s="110"/>
      <c r="CE58" s="110"/>
      <c r="CF58" s="110"/>
      <c r="CG58" s="110"/>
      <c r="CH58" s="110"/>
      <c r="CI58" s="110"/>
      <c r="CJ58" s="110"/>
      <c r="CK58" s="110"/>
      <c r="CL58" s="110"/>
      <c r="CM58" s="110"/>
      <c r="CN58" s="110"/>
      <c r="CO58" s="110"/>
      <c r="CP58" s="110"/>
      <c r="CQ58" s="110"/>
      <c r="CR58" s="110"/>
      <c r="CS58" s="110"/>
      <c r="CT58" s="110"/>
      <c r="CU58" s="110"/>
      <c r="CV58" s="110"/>
      <c r="CW58" s="110"/>
      <c r="CX58" s="110"/>
      <c r="CY58" s="110"/>
      <c r="CZ58" s="110"/>
      <c r="DA58" s="110"/>
      <c r="DB58" s="110"/>
      <c r="DC58" s="110"/>
      <c r="DD58" s="110"/>
      <c r="DE58" s="110"/>
      <c r="DF58" s="110"/>
      <c r="DG58" s="110"/>
      <c r="DH58" s="110"/>
      <c r="DI58" s="110"/>
      <c r="DJ58" s="110"/>
      <c r="DK58" s="110"/>
      <c r="DL58" s="110"/>
      <c r="DM58" s="110"/>
      <c r="DN58" s="110"/>
      <c r="DO58" s="110"/>
      <c r="DP58" s="110"/>
      <c r="DQ58" s="110"/>
      <c r="DR58" s="110"/>
      <c r="DS58" s="110"/>
      <c r="DT58" s="110"/>
      <c r="DU58" s="110"/>
      <c r="DV58" s="110"/>
      <c r="DW58" s="110"/>
      <c r="DX58" s="110"/>
      <c r="DY58" s="110"/>
      <c r="DZ58" s="110"/>
      <c r="EA58" s="110"/>
      <c r="EB58" s="110"/>
      <c r="EC58" s="110"/>
      <c r="ED58" s="110"/>
      <c r="EE58" s="110"/>
      <c r="EF58" s="110"/>
      <c r="EG58" s="110"/>
      <c r="EH58" s="110"/>
      <c r="EI58" s="110"/>
      <c r="EJ58" s="110"/>
      <c r="EK58" s="110"/>
      <c r="EL58" s="110"/>
      <c r="EM58" s="110"/>
      <c r="EN58" s="110"/>
      <c r="EO58" s="110"/>
      <c r="EP58" s="110"/>
      <c r="EQ58" s="110"/>
      <c r="ER58" s="110"/>
      <c r="ES58" s="110"/>
      <c r="ET58" s="110"/>
      <c r="EU58" s="110"/>
      <c r="EV58" s="110"/>
      <c r="EW58" s="110"/>
      <c r="EX58" s="110"/>
      <c r="EY58" s="110"/>
      <c r="EZ58" s="110"/>
      <c r="FA58" s="110"/>
      <c r="FB58" s="110"/>
      <c r="FC58" s="110"/>
      <c r="FD58" s="110"/>
      <c r="FE58" s="110"/>
      <c r="FF58" s="110"/>
      <c r="FG58" s="110"/>
      <c r="FH58" s="110"/>
      <c r="FI58" s="110"/>
      <c r="FJ58" s="110"/>
      <c r="FK58" s="110"/>
      <c r="FL58" s="110"/>
      <c r="FM58" s="110"/>
      <c r="FN58" s="110"/>
      <c r="FO58" s="110"/>
      <c r="FP58" s="110"/>
      <c r="FQ58" s="110"/>
      <c r="FR58" s="110"/>
      <c r="FS58" s="110"/>
      <c r="FT58" s="110"/>
      <c r="FU58" s="110"/>
      <c r="FV58" s="110"/>
      <c r="FW58" s="110"/>
      <c r="FX58" s="110"/>
      <c r="FY58" s="110"/>
      <c r="FZ58" s="110"/>
      <c r="GA58" s="110"/>
      <c r="GB58" s="110"/>
      <c r="GC58" s="110"/>
      <c r="GD58" s="110"/>
      <c r="GE58" s="110"/>
      <c r="GF58" s="110"/>
      <c r="GG58" s="110"/>
      <c r="GH58" s="110"/>
      <c r="GI58" s="110"/>
      <c r="GJ58" s="110"/>
      <c r="GK58" s="110"/>
      <c r="GL58" s="110"/>
      <c r="GM58" s="110"/>
      <c r="GN58" s="110"/>
      <c r="GO58" s="110"/>
      <c r="GP58" s="110"/>
      <c r="GQ58" s="110"/>
      <c r="GR58" s="110"/>
      <c r="GS58" s="110"/>
      <c r="GT58" s="110"/>
      <c r="GU58" s="110"/>
      <c r="GV58" s="110"/>
      <c r="GW58" s="110"/>
      <c r="GX58" s="110"/>
      <c r="GY58" s="110"/>
      <c r="GZ58" s="110"/>
      <c r="HA58" s="110"/>
      <c r="HB58" s="110"/>
      <c r="HC58" s="110"/>
      <c r="HD58" s="110"/>
      <c r="HE58" s="110"/>
      <c r="HF58" s="110"/>
      <c r="HG58" s="110"/>
      <c r="HH58" s="110"/>
      <c r="HI58" s="110"/>
      <c r="HJ58" s="110"/>
      <c r="HK58" s="110"/>
      <c r="HL58" s="110"/>
      <c r="HM58" s="110"/>
      <c r="HN58" s="110"/>
      <c r="HO58" s="110"/>
      <c r="HP58" s="110"/>
      <c r="HQ58" s="110"/>
      <c r="HR58" s="110"/>
      <c r="HS58" s="110"/>
      <c r="HT58" s="110"/>
      <c r="HU58" s="110"/>
      <c r="HV58" s="110"/>
      <c r="HW58" s="110"/>
      <c r="HX58" s="110"/>
      <c r="HY58" s="110"/>
      <c r="HZ58" s="110"/>
      <c r="IA58" s="110"/>
      <c r="IB58" s="110"/>
      <c r="IC58" s="110"/>
      <c r="ID58" s="110"/>
      <c r="IE58" s="110"/>
      <c r="IF58" s="110"/>
      <c r="IG58" s="110"/>
      <c r="IH58" s="110"/>
      <c r="II58" s="110"/>
      <c r="IJ58" s="110"/>
      <c r="IK58" s="110"/>
      <c r="IL58" s="110"/>
      <c r="IM58" s="110"/>
      <c r="IN58" s="110"/>
      <c r="IO58" s="110"/>
      <c r="IP58" s="110"/>
      <c r="IQ58" s="110"/>
      <c r="IR58" s="110"/>
      <c r="IS58" s="110"/>
      <c r="IT58" s="110"/>
      <c r="IU58" s="110"/>
      <c r="IV58" s="110"/>
      <c r="IW58" s="110"/>
    </row>
    <row r="59" spans="1:257" x14ac:dyDescent="0.3">
      <c r="A59" s="156"/>
      <c r="B59" s="156"/>
      <c r="C59" s="156"/>
      <c r="D59" s="156"/>
      <c r="E59" s="156"/>
      <c r="F59" s="156"/>
      <c r="G59" s="156"/>
      <c r="H59" s="156"/>
      <c r="I59" s="156"/>
      <c r="J59" s="156"/>
      <c r="K59" s="156"/>
      <c r="L59" s="156"/>
      <c r="M59" s="156"/>
      <c r="N59" s="156"/>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c r="BY59" s="110"/>
      <c r="BZ59" s="110"/>
      <c r="CA59" s="110"/>
      <c r="CB59" s="110"/>
      <c r="CC59" s="110"/>
      <c r="CD59" s="110"/>
      <c r="CE59" s="110"/>
      <c r="CF59" s="110"/>
      <c r="CG59" s="110"/>
      <c r="CH59" s="110"/>
      <c r="CI59" s="110"/>
      <c r="CJ59" s="110"/>
      <c r="CK59" s="110"/>
      <c r="CL59" s="110"/>
      <c r="CM59" s="110"/>
      <c r="CN59" s="110"/>
      <c r="CO59" s="110"/>
      <c r="CP59" s="110"/>
      <c r="CQ59" s="110"/>
      <c r="CR59" s="110"/>
      <c r="CS59" s="110"/>
      <c r="CT59" s="110"/>
      <c r="CU59" s="110"/>
      <c r="CV59" s="110"/>
      <c r="CW59" s="110"/>
      <c r="CX59" s="110"/>
      <c r="CY59" s="110"/>
      <c r="CZ59" s="110"/>
      <c r="DA59" s="110"/>
      <c r="DB59" s="110"/>
      <c r="DC59" s="110"/>
      <c r="DD59" s="110"/>
      <c r="DE59" s="110"/>
      <c r="DF59" s="110"/>
      <c r="DG59" s="110"/>
      <c r="DH59" s="110"/>
      <c r="DI59" s="110"/>
      <c r="DJ59" s="110"/>
      <c r="DK59" s="110"/>
      <c r="DL59" s="110"/>
      <c r="DM59" s="110"/>
      <c r="DN59" s="110"/>
      <c r="DO59" s="110"/>
      <c r="DP59" s="110"/>
      <c r="DQ59" s="110"/>
      <c r="DR59" s="110"/>
      <c r="DS59" s="110"/>
      <c r="DT59" s="110"/>
      <c r="DU59" s="110"/>
      <c r="DV59" s="110"/>
      <c r="DW59" s="110"/>
      <c r="DX59" s="110"/>
      <c r="DY59" s="110"/>
      <c r="DZ59" s="110"/>
      <c r="EA59" s="110"/>
      <c r="EB59" s="110"/>
      <c r="EC59" s="110"/>
      <c r="ED59" s="110"/>
      <c r="EE59" s="110"/>
      <c r="EF59" s="110"/>
      <c r="EG59" s="110"/>
      <c r="EH59" s="110"/>
      <c r="EI59" s="110"/>
      <c r="EJ59" s="110"/>
      <c r="EK59" s="110"/>
      <c r="EL59" s="110"/>
      <c r="EM59" s="110"/>
      <c r="EN59" s="110"/>
      <c r="EO59" s="110"/>
      <c r="EP59" s="110"/>
      <c r="EQ59" s="110"/>
      <c r="ER59" s="110"/>
      <c r="ES59" s="110"/>
      <c r="ET59" s="110"/>
      <c r="EU59" s="110"/>
      <c r="EV59" s="110"/>
      <c r="EW59" s="110"/>
      <c r="EX59" s="110"/>
      <c r="EY59" s="110"/>
      <c r="EZ59" s="110"/>
      <c r="FA59" s="110"/>
      <c r="FB59" s="110"/>
      <c r="FC59" s="110"/>
      <c r="FD59" s="110"/>
      <c r="FE59" s="110"/>
      <c r="FF59" s="110"/>
      <c r="FG59" s="110"/>
      <c r="FH59" s="110"/>
      <c r="FI59" s="110"/>
      <c r="FJ59" s="110"/>
      <c r="FK59" s="110"/>
      <c r="FL59" s="110"/>
      <c r="FM59" s="110"/>
      <c r="FN59" s="110"/>
      <c r="FO59" s="110"/>
      <c r="FP59" s="110"/>
      <c r="FQ59" s="110"/>
      <c r="FR59" s="110"/>
      <c r="FS59" s="110"/>
      <c r="FT59" s="110"/>
      <c r="FU59" s="110"/>
      <c r="FV59" s="110"/>
      <c r="FW59" s="110"/>
      <c r="FX59" s="110"/>
      <c r="FY59" s="110"/>
      <c r="FZ59" s="110"/>
      <c r="GA59" s="110"/>
      <c r="GB59" s="110"/>
      <c r="GC59" s="110"/>
      <c r="GD59" s="110"/>
      <c r="GE59" s="110"/>
      <c r="GF59" s="110"/>
      <c r="GG59" s="110"/>
      <c r="GH59" s="110"/>
      <c r="GI59" s="110"/>
      <c r="GJ59" s="110"/>
      <c r="GK59" s="110"/>
      <c r="GL59" s="110"/>
      <c r="GM59" s="110"/>
      <c r="GN59" s="110"/>
      <c r="GO59" s="110"/>
      <c r="GP59" s="110"/>
      <c r="GQ59" s="110"/>
      <c r="GR59" s="110"/>
      <c r="GS59" s="110"/>
      <c r="GT59" s="110"/>
      <c r="GU59" s="110"/>
      <c r="GV59" s="110"/>
      <c r="GW59" s="110"/>
      <c r="GX59" s="110"/>
      <c r="GY59" s="110"/>
      <c r="GZ59" s="110"/>
      <c r="HA59" s="110"/>
      <c r="HB59" s="110"/>
      <c r="HC59" s="110"/>
      <c r="HD59" s="110"/>
      <c r="HE59" s="110"/>
      <c r="HF59" s="110"/>
      <c r="HG59" s="110"/>
      <c r="HH59" s="110"/>
      <c r="HI59" s="110"/>
      <c r="HJ59" s="110"/>
      <c r="HK59" s="110"/>
      <c r="HL59" s="110"/>
      <c r="HM59" s="110"/>
      <c r="HN59" s="110"/>
      <c r="HO59" s="110"/>
      <c r="HP59" s="110"/>
      <c r="HQ59" s="110"/>
      <c r="HR59" s="110"/>
      <c r="HS59" s="110"/>
      <c r="HT59" s="110"/>
      <c r="HU59" s="110"/>
      <c r="HV59" s="110"/>
      <c r="HW59" s="110"/>
      <c r="HX59" s="110"/>
      <c r="HY59" s="110"/>
      <c r="HZ59" s="110"/>
      <c r="IA59" s="110"/>
      <c r="IB59" s="110"/>
      <c r="IC59" s="110"/>
      <c r="ID59" s="110"/>
      <c r="IE59" s="110"/>
      <c r="IF59" s="110"/>
      <c r="IG59" s="110"/>
      <c r="IH59" s="110"/>
      <c r="II59" s="110"/>
      <c r="IJ59" s="110"/>
      <c r="IK59" s="110"/>
      <c r="IL59" s="110"/>
      <c r="IM59" s="110"/>
      <c r="IN59" s="110"/>
      <c r="IO59" s="110"/>
      <c r="IP59" s="110"/>
      <c r="IQ59" s="110"/>
      <c r="IR59" s="110"/>
      <c r="IS59" s="110"/>
      <c r="IT59" s="110"/>
      <c r="IU59" s="110"/>
      <c r="IV59" s="110"/>
      <c r="IW59" s="110"/>
    </row>
    <row r="60" spans="1:257" x14ac:dyDescent="0.3">
      <c r="A60" s="156"/>
      <c r="B60" s="156"/>
      <c r="C60" s="156"/>
      <c r="D60" s="156"/>
      <c r="E60" s="156"/>
      <c r="F60" s="156"/>
      <c r="G60" s="156"/>
      <c r="H60" s="156"/>
      <c r="I60" s="156"/>
      <c r="J60" s="156"/>
      <c r="K60" s="156"/>
      <c r="L60" s="156"/>
      <c r="M60" s="156"/>
      <c r="N60" s="156"/>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c r="BY60" s="110"/>
      <c r="BZ60" s="110"/>
      <c r="CA60" s="110"/>
      <c r="CB60" s="110"/>
      <c r="CC60" s="110"/>
      <c r="CD60" s="110"/>
      <c r="CE60" s="110"/>
      <c r="CF60" s="110"/>
      <c r="CG60" s="110"/>
      <c r="CH60" s="110"/>
      <c r="CI60" s="110"/>
      <c r="CJ60" s="110"/>
      <c r="CK60" s="110"/>
      <c r="CL60" s="110"/>
      <c r="CM60" s="110"/>
      <c r="CN60" s="110"/>
      <c r="CO60" s="110"/>
      <c r="CP60" s="110"/>
      <c r="CQ60" s="110"/>
      <c r="CR60" s="110"/>
      <c r="CS60" s="110"/>
      <c r="CT60" s="110"/>
      <c r="CU60" s="110"/>
      <c r="CV60" s="110"/>
      <c r="CW60" s="110"/>
      <c r="CX60" s="110"/>
      <c r="CY60" s="110"/>
      <c r="CZ60" s="110"/>
      <c r="DA60" s="110"/>
      <c r="DB60" s="110"/>
      <c r="DC60" s="110"/>
      <c r="DD60" s="110"/>
      <c r="DE60" s="110"/>
      <c r="DF60" s="110"/>
      <c r="DG60" s="110"/>
      <c r="DH60" s="110"/>
      <c r="DI60" s="110"/>
      <c r="DJ60" s="110"/>
      <c r="DK60" s="110"/>
      <c r="DL60" s="110"/>
      <c r="DM60" s="110"/>
      <c r="DN60" s="110"/>
      <c r="DO60" s="110"/>
      <c r="DP60" s="110"/>
      <c r="DQ60" s="110"/>
      <c r="DR60" s="110"/>
      <c r="DS60" s="110"/>
      <c r="DT60" s="110"/>
      <c r="DU60" s="110"/>
      <c r="DV60" s="110"/>
      <c r="DW60" s="110"/>
      <c r="DX60" s="110"/>
      <c r="DY60" s="110"/>
      <c r="DZ60" s="110"/>
      <c r="EA60" s="110"/>
      <c r="EB60" s="110"/>
      <c r="EC60" s="110"/>
      <c r="ED60" s="110"/>
      <c r="EE60" s="110"/>
      <c r="EF60" s="110"/>
      <c r="EG60" s="110"/>
      <c r="EH60" s="110"/>
      <c r="EI60" s="110"/>
      <c r="EJ60" s="110"/>
      <c r="EK60" s="110"/>
      <c r="EL60" s="110"/>
      <c r="EM60" s="110"/>
      <c r="EN60" s="110"/>
      <c r="EO60" s="110"/>
      <c r="EP60" s="110"/>
      <c r="EQ60" s="110"/>
      <c r="ER60" s="110"/>
      <c r="ES60" s="110"/>
      <c r="ET60" s="110"/>
      <c r="EU60" s="110"/>
      <c r="EV60" s="110"/>
      <c r="EW60" s="110"/>
      <c r="EX60" s="110"/>
      <c r="EY60" s="110"/>
      <c r="EZ60" s="110"/>
      <c r="FA60" s="110"/>
      <c r="FB60" s="110"/>
      <c r="FC60" s="110"/>
      <c r="FD60" s="110"/>
      <c r="FE60" s="110"/>
      <c r="FF60" s="110"/>
      <c r="FG60" s="110"/>
      <c r="FH60" s="110"/>
      <c r="FI60" s="110"/>
      <c r="FJ60" s="110"/>
      <c r="FK60" s="110"/>
      <c r="FL60" s="110"/>
      <c r="FM60" s="110"/>
      <c r="FN60" s="110"/>
      <c r="FO60" s="110"/>
      <c r="FP60" s="110"/>
      <c r="FQ60" s="110"/>
      <c r="FR60" s="110"/>
      <c r="FS60" s="110"/>
      <c r="FT60" s="110"/>
      <c r="FU60" s="110"/>
      <c r="FV60" s="110"/>
      <c r="FW60" s="110"/>
      <c r="FX60" s="110"/>
      <c r="FY60" s="110"/>
      <c r="FZ60" s="110"/>
      <c r="GA60" s="110"/>
      <c r="GB60" s="110"/>
      <c r="GC60" s="110"/>
      <c r="GD60" s="110"/>
      <c r="GE60" s="110"/>
      <c r="GF60" s="110"/>
      <c r="GG60" s="110"/>
      <c r="GH60" s="110"/>
      <c r="GI60" s="110"/>
      <c r="GJ60" s="110"/>
      <c r="GK60" s="110"/>
      <c r="GL60" s="110"/>
      <c r="GM60" s="110"/>
      <c r="GN60" s="110"/>
      <c r="GO60" s="110"/>
      <c r="GP60" s="110"/>
      <c r="GQ60" s="110"/>
      <c r="GR60" s="110"/>
      <c r="GS60" s="110"/>
      <c r="GT60" s="110"/>
      <c r="GU60" s="110"/>
      <c r="GV60" s="110"/>
      <c r="GW60" s="110"/>
      <c r="GX60" s="110"/>
      <c r="GY60" s="110"/>
      <c r="GZ60" s="110"/>
      <c r="HA60" s="110"/>
      <c r="HB60" s="110"/>
      <c r="HC60" s="110"/>
      <c r="HD60" s="110"/>
      <c r="HE60" s="110"/>
      <c r="HF60" s="110"/>
      <c r="HG60" s="110"/>
      <c r="HH60" s="110"/>
      <c r="HI60" s="110"/>
      <c r="HJ60" s="110"/>
      <c r="HK60" s="110"/>
      <c r="HL60" s="110"/>
      <c r="HM60" s="110"/>
      <c r="HN60" s="110"/>
      <c r="HO60" s="110"/>
      <c r="HP60" s="110"/>
      <c r="HQ60" s="110"/>
      <c r="HR60" s="110"/>
      <c r="HS60" s="110"/>
      <c r="HT60" s="110"/>
      <c r="HU60" s="110"/>
      <c r="HV60" s="110"/>
      <c r="HW60" s="110"/>
      <c r="HX60" s="110"/>
      <c r="HY60" s="110"/>
      <c r="HZ60" s="110"/>
      <c r="IA60" s="110"/>
      <c r="IB60" s="110"/>
      <c r="IC60" s="110"/>
      <c r="ID60" s="110"/>
      <c r="IE60" s="110"/>
      <c r="IF60" s="110"/>
      <c r="IG60" s="110"/>
      <c r="IH60" s="110"/>
      <c r="II60" s="110"/>
      <c r="IJ60" s="110"/>
      <c r="IK60" s="110"/>
      <c r="IL60" s="110"/>
      <c r="IM60" s="110"/>
      <c r="IN60" s="110"/>
      <c r="IO60" s="110"/>
      <c r="IP60" s="110"/>
      <c r="IQ60" s="110"/>
      <c r="IR60" s="110"/>
      <c r="IS60" s="110"/>
      <c r="IT60" s="110"/>
      <c r="IU60" s="110"/>
      <c r="IV60" s="110"/>
      <c r="IW60" s="110"/>
    </row>
    <row r="61" spans="1:257" x14ac:dyDescent="0.3">
      <c r="A61" s="156"/>
      <c r="B61" s="156"/>
      <c r="C61" s="156"/>
      <c r="D61" s="156"/>
      <c r="E61" s="156"/>
      <c r="F61" s="156"/>
      <c r="G61" s="156"/>
      <c r="H61" s="156"/>
      <c r="I61" s="156"/>
      <c r="J61" s="156"/>
      <c r="K61" s="156"/>
      <c r="L61" s="156"/>
      <c r="M61" s="156"/>
      <c r="N61" s="156"/>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c r="BY61" s="110"/>
      <c r="BZ61" s="110"/>
      <c r="CA61" s="110"/>
      <c r="CB61" s="110"/>
      <c r="CC61" s="110"/>
      <c r="CD61" s="110"/>
      <c r="CE61" s="110"/>
      <c r="CF61" s="110"/>
      <c r="CG61" s="110"/>
      <c r="CH61" s="110"/>
      <c r="CI61" s="110"/>
      <c r="CJ61" s="110"/>
      <c r="CK61" s="110"/>
      <c r="CL61" s="110"/>
      <c r="CM61" s="110"/>
      <c r="CN61" s="110"/>
      <c r="CO61" s="110"/>
      <c r="CP61" s="110"/>
      <c r="CQ61" s="110"/>
      <c r="CR61" s="110"/>
      <c r="CS61" s="110"/>
      <c r="CT61" s="110"/>
      <c r="CU61" s="110"/>
      <c r="CV61" s="110"/>
      <c r="CW61" s="110"/>
      <c r="CX61" s="110"/>
      <c r="CY61" s="110"/>
      <c r="CZ61" s="110"/>
      <c r="DA61" s="110"/>
      <c r="DB61" s="110"/>
      <c r="DC61" s="110"/>
      <c r="DD61" s="110"/>
      <c r="DE61" s="110"/>
      <c r="DF61" s="110"/>
      <c r="DG61" s="110"/>
      <c r="DH61" s="110"/>
      <c r="DI61" s="110"/>
      <c r="DJ61" s="110"/>
      <c r="DK61" s="110"/>
      <c r="DL61" s="110"/>
      <c r="DM61" s="110"/>
      <c r="DN61" s="110"/>
      <c r="DO61" s="110"/>
      <c r="DP61" s="110"/>
      <c r="DQ61" s="110"/>
      <c r="DR61" s="110"/>
      <c r="DS61" s="110"/>
      <c r="DT61" s="110"/>
      <c r="DU61" s="110"/>
      <c r="DV61" s="110"/>
      <c r="DW61" s="110"/>
      <c r="DX61" s="110"/>
      <c r="DY61" s="110"/>
      <c r="DZ61" s="110"/>
      <c r="EA61" s="110"/>
      <c r="EB61" s="110"/>
      <c r="EC61" s="110"/>
      <c r="ED61" s="110"/>
      <c r="EE61" s="110"/>
      <c r="EF61" s="110"/>
      <c r="EG61" s="110"/>
      <c r="EH61" s="110"/>
      <c r="EI61" s="110"/>
      <c r="EJ61" s="110"/>
      <c r="EK61" s="110"/>
      <c r="EL61" s="110"/>
      <c r="EM61" s="110"/>
      <c r="EN61" s="110"/>
      <c r="EO61" s="110"/>
      <c r="EP61" s="110"/>
      <c r="EQ61" s="110"/>
      <c r="ER61" s="110"/>
      <c r="ES61" s="110"/>
      <c r="ET61" s="110"/>
      <c r="EU61" s="110"/>
      <c r="EV61" s="110"/>
      <c r="EW61" s="110"/>
      <c r="EX61" s="110"/>
      <c r="EY61" s="110"/>
      <c r="EZ61" s="110"/>
      <c r="FA61" s="110"/>
      <c r="FB61" s="110"/>
      <c r="FC61" s="110"/>
      <c r="FD61" s="110"/>
      <c r="FE61" s="110"/>
      <c r="FF61" s="110"/>
      <c r="FG61" s="110"/>
      <c r="FH61" s="110"/>
      <c r="FI61" s="110"/>
      <c r="FJ61" s="110"/>
      <c r="FK61" s="110"/>
      <c r="FL61" s="110"/>
      <c r="FM61" s="110"/>
      <c r="FN61" s="110"/>
      <c r="FO61" s="110"/>
      <c r="FP61" s="110"/>
      <c r="FQ61" s="110"/>
      <c r="FR61" s="110"/>
      <c r="FS61" s="110"/>
      <c r="FT61" s="110"/>
      <c r="FU61" s="110"/>
      <c r="FV61" s="110"/>
      <c r="FW61" s="110"/>
      <c r="FX61" s="110"/>
      <c r="FY61" s="110"/>
      <c r="FZ61" s="110"/>
      <c r="GA61" s="110"/>
      <c r="GB61" s="110"/>
      <c r="GC61" s="110"/>
      <c r="GD61" s="110"/>
      <c r="GE61" s="110"/>
      <c r="GF61" s="110"/>
      <c r="GG61" s="110"/>
      <c r="GH61" s="110"/>
      <c r="GI61" s="110"/>
      <c r="GJ61" s="110"/>
      <c r="GK61" s="110"/>
      <c r="GL61" s="110"/>
      <c r="GM61" s="110"/>
      <c r="GN61" s="110"/>
      <c r="GO61" s="110"/>
      <c r="GP61" s="110"/>
      <c r="GQ61" s="110"/>
      <c r="GR61" s="110"/>
      <c r="GS61" s="110"/>
      <c r="GT61" s="110"/>
      <c r="GU61" s="110"/>
      <c r="GV61" s="110"/>
      <c r="GW61" s="110"/>
      <c r="GX61" s="110"/>
      <c r="GY61" s="110"/>
      <c r="GZ61" s="110"/>
      <c r="HA61" s="110"/>
      <c r="HB61" s="110"/>
      <c r="HC61" s="110"/>
      <c r="HD61" s="110"/>
      <c r="HE61" s="110"/>
      <c r="HF61" s="110"/>
      <c r="HG61" s="110"/>
      <c r="HH61" s="110"/>
      <c r="HI61" s="110"/>
      <c r="HJ61" s="110"/>
      <c r="HK61" s="110"/>
      <c r="HL61" s="110"/>
      <c r="HM61" s="110"/>
      <c r="HN61" s="110"/>
      <c r="HO61" s="110"/>
      <c r="HP61" s="110"/>
      <c r="HQ61" s="110"/>
      <c r="HR61" s="110"/>
      <c r="HS61" s="110"/>
      <c r="HT61" s="110"/>
      <c r="HU61" s="110"/>
      <c r="HV61" s="110"/>
      <c r="HW61" s="110"/>
      <c r="HX61" s="110"/>
      <c r="HY61" s="110"/>
      <c r="HZ61" s="110"/>
      <c r="IA61" s="110"/>
      <c r="IB61" s="110"/>
      <c r="IC61" s="110"/>
      <c r="ID61" s="110"/>
      <c r="IE61" s="110"/>
      <c r="IF61" s="110"/>
      <c r="IG61" s="110"/>
      <c r="IH61" s="110"/>
      <c r="II61" s="110"/>
      <c r="IJ61" s="110"/>
      <c r="IK61" s="110"/>
      <c r="IL61" s="110"/>
      <c r="IM61" s="110"/>
      <c r="IN61" s="110"/>
      <c r="IO61" s="110"/>
      <c r="IP61" s="110"/>
      <c r="IQ61" s="110"/>
      <c r="IR61" s="110"/>
      <c r="IS61" s="110"/>
      <c r="IT61" s="110"/>
      <c r="IU61" s="110"/>
      <c r="IV61" s="110"/>
      <c r="IW61" s="110"/>
    </row>
    <row r="62" spans="1:257" x14ac:dyDescent="0.3">
      <c r="A62" s="156"/>
      <c r="B62" s="156"/>
      <c r="C62" s="156"/>
      <c r="D62" s="156"/>
      <c r="E62" s="156"/>
      <c r="F62" s="156"/>
      <c r="G62" s="156"/>
      <c r="H62" s="156"/>
      <c r="I62" s="156"/>
      <c r="J62" s="156"/>
      <c r="K62" s="156"/>
      <c r="L62" s="156"/>
      <c r="M62" s="156"/>
      <c r="N62" s="156"/>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c r="BY62" s="110"/>
      <c r="BZ62" s="110"/>
      <c r="CA62" s="110"/>
      <c r="CB62" s="110"/>
      <c r="CC62" s="110"/>
      <c r="CD62" s="110"/>
      <c r="CE62" s="110"/>
      <c r="CF62" s="110"/>
      <c r="CG62" s="110"/>
      <c r="CH62" s="110"/>
      <c r="CI62" s="110"/>
      <c r="CJ62" s="110"/>
      <c r="CK62" s="110"/>
      <c r="CL62" s="110"/>
      <c r="CM62" s="110"/>
      <c r="CN62" s="110"/>
      <c r="CO62" s="110"/>
      <c r="CP62" s="110"/>
      <c r="CQ62" s="110"/>
      <c r="CR62" s="110"/>
      <c r="CS62" s="110"/>
      <c r="CT62" s="110"/>
      <c r="CU62" s="110"/>
      <c r="CV62" s="110"/>
      <c r="CW62" s="110"/>
      <c r="CX62" s="110"/>
      <c r="CY62" s="110"/>
      <c r="CZ62" s="110"/>
      <c r="DA62" s="110"/>
      <c r="DB62" s="110"/>
      <c r="DC62" s="110"/>
      <c r="DD62" s="110"/>
      <c r="DE62" s="110"/>
      <c r="DF62" s="110"/>
      <c r="DG62" s="110"/>
      <c r="DH62" s="110"/>
      <c r="DI62" s="110"/>
      <c r="DJ62" s="110"/>
      <c r="DK62" s="110"/>
      <c r="DL62" s="110"/>
      <c r="DM62" s="110"/>
      <c r="DN62" s="110"/>
      <c r="DO62" s="110"/>
      <c r="DP62" s="110"/>
      <c r="DQ62" s="110"/>
      <c r="DR62" s="110"/>
      <c r="DS62" s="110"/>
      <c r="DT62" s="110"/>
      <c r="DU62" s="110"/>
      <c r="DV62" s="110"/>
      <c r="DW62" s="110"/>
      <c r="DX62" s="110"/>
      <c r="DY62" s="110"/>
      <c r="DZ62" s="110"/>
      <c r="EA62" s="110"/>
      <c r="EB62" s="110"/>
      <c r="EC62" s="110"/>
      <c r="ED62" s="110"/>
      <c r="EE62" s="110"/>
      <c r="EF62" s="110"/>
      <c r="EG62" s="110"/>
      <c r="EH62" s="110"/>
      <c r="EI62" s="110"/>
      <c r="EJ62" s="110"/>
      <c r="EK62" s="110"/>
      <c r="EL62" s="110"/>
      <c r="EM62" s="110"/>
      <c r="EN62" s="110"/>
      <c r="EO62" s="110"/>
      <c r="EP62" s="110"/>
      <c r="EQ62" s="110"/>
      <c r="ER62" s="110"/>
      <c r="ES62" s="110"/>
      <c r="ET62" s="110"/>
      <c r="EU62" s="110"/>
      <c r="EV62" s="110"/>
      <c r="EW62" s="110"/>
      <c r="EX62" s="110"/>
      <c r="EY62" s="110"/>
      <c r="EZ62" s="110"/>
      <c r="FA62" s="110"/>
      <c r="FB62" s="110"/>
      <c r="FC62" s="110"/>
      <c r="FD62" s="110"/>
      <c r="FE62" s="110"/>
      <c r="FF62" s="110"/>
      <c r="FG62" s="110"/>
      <c r="FH62" s="110"/>
      <c r="FI62" s="110"/>
      <c r="FJ62" s="110"/>
      <c r="FK62" s="110"/>
      <c r="FL62" s="110"/>
      <c r="FM62" s="110"/>
      <c r="FN62" s="110"/>
      <c r="FO62" s="110"/>
      <c r="FP62" s="110"/>
      <c r="FQ62" s="110"/>
      <c r="FR62" s="110"/>
      <c r="FS62" s="110"/>
      <c r="FT62" s="110"/>
      <c r="FU62" s="110"/>
      <c r="FV62" s="110"/>
      <c r="FW62" s="110"/>
      <c r="FX62" s="110"/>
      <c r="FY62" s="110"/>
      <c r="FZ62" s="110"/>
      <c r="GA62" s="110"/>
      <c r="GB62" s="110"/>
      <c r="GC62" s="110"/>
      <c r="GD62" s="110"/>
      <c r="GE62" s="110"/>
      <c r="GF62" s="110"/>
      <c r="GG62" s="110"/>
      <c r="GH62" s="110"/>
      <c r="GI62" s="110"/>
      <c r="GJ62" s="110"/>
      <c r="GK62" s="110"/>
      <c r="GL62" s="110"/>
      <c r="GM62" s="110"/>
      <c r="GN62" s="110"/>
      <c r="GO62" s="110"/>
      <c r="GP62" s="110"/>
      <c r="GQ62" s="110"/>
      <c r="GR62" s="110"/>
      <c r="GS62" s="110"/>
      <c r="GT62" s="110"/>
      <c r="GU62" s="110"/>
      <c r="GV62" s="110"/>
      <c r="GW62" s="110"/>
      <c r="GX62" s="110"/>
      <c r="GY62" s="110"/>
      <c r="GZ62" s="110"/>
      <c r="HA62" s="110"/>
      <c r="HB62" s="110"/>
      <c r="HC62" s="110"/>
      <c r="HD62" s="110"/>
      <c r="HE62" s="110"/>
      <c r="HF62" s="110"/>
      <c r="HG62" s="110"/>
      <c r="HH62" s="110"/>
      <c r="HI62" s="110"/>
      <c r="HJ62" s="110"/>
      <c r="HK62" s="110"/>
      <c r="HL62" s="110"/>
      <c r="HM62" s="110"/>
      <c r="HN62" s="110"/>
      <c r="HO62" s="110"/>
      <c r="HP62" s="110"/>
      <c r="HQ62" s="110"/>
      <c r="HR62" s="110"/>
      <c r="HS62" s="110"/>
      <c r="HT62" s="110"/>
      <c r="HU62" s="110"/>
      <c r="HV62" s="110"/>
      <c r="HW62" s="110"/>
      <c r="HX62" s="110"/>
      <c r="HY62" s="110"/>
      <c r="HZ62" s="110"/>
      <c r="IA62" s="110"/>
      <c r="IB62" s="110"/>
      <c r="IC62" s="110"/>
      <c r="ID62" s="110"/>
      <c r="IE62" s="110"/>
      <c r="IF62" s="110"/>
      <c r="IG62" s="110"/>
      <c r="IH62" s="110"/>
      <c r="II62" s="110"/>
      <c r="IJ62" s="110"/>
      <c r="IK62" s="110"/>
      <c r="IL62" s="110"/>
      <c r="IM62" s="110"/>
      <c r="IN62" s="110"/>
      <c r="IO62" s="110"/>
      <c r="IP62" s="110"/>
      <c r="IQ62" s="110"/>
      <c r="IR62" s="110"/>
      <c r="IS62" s="110"/>
      <c r="IT62" s="110"/>
      <c r="IU62" s="110"/>
      <c r="IV62" s="110"/>
      <c r="IW62" s="110"/>
    </row>
    <row r="63" spans="1:257" x14ac:dyDescent="0.3">
      <c r="A63" s="156"/>
      <c r="B63" s="156"/>
      <c r="C63" s="156"/>
      <c r="D63" s="156"/>
      <c r="E63" s="156"/>
      <c r="F63" s="156"/>
      <c r="G63" s="156"/>
      <c r="H63" s="156"/>
      <c r="I63" s="156"/>
      <c r="J63" s="156"/>
      <c r="K63" s="156"/>
      <c r="L63" s="156"/>
      <c r="M63" s="156"/>
      <c r="N63" s="156"/>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c r="BY63" s="110"/>
      <c r="BZ63" s="110"/>
      <c r="CA63" s="110"/>
      <c r="CB63" s="110"/>
      <c r="CC63" s="110"/>
      <c r="CD63" s="110"/>
      <c r="CE63" s="110"/>
      <c r="CF63" s="110"/>
      <c r="CG63" s="110"/>
      <c r="CH63" s="110"/>
      <c r="CI63" s="110"/>
      <c r="CJ63" s="110"/>
      <c r="CK63" s="110"/>
      <c r="CL63" s="110"/>
      <c r="CM63" s="110"/>
      <c r="CN63" s="110"/>
      <c r="CO63" s="110"/>
      <c r="CP63" s="110"/>
      <c r="CQ63" s="110"/>
      <c r="CR63" s="110"/>
      <c r="CS63" s="110"/>
      <c r="CT63" s="110"/>
      <c r="CU63" s="110"/>
      <c r="CV63" s="110"/>
      <c r="CW63" s="110"/>
      <c r="CX63" s="110"/>
      <c r="CY63" s="110"/>
      <c r="CZ63" s="110"/>
      <c r="DA63" s="110"/>
      <c r="DB63" s="110"/>
      <c r="DC63" s="110"/>
      <c r="DD63" s="110"/>
      <c r="DE63" s="110"/>
      <c r="DF63" s="110"/>
      <c r="DG63" s="110"/>
      <c r="DH63" s="110"/>
      <c r="DI63" s="110"/>
      <c r="DJ63" s="110"/>
      <c r="DK63" s="110"/>
      <c r="DL63" s="110"/>
      <c r="DM63" s="110"/>
      <c r="DN63" s="110"/>
      <c r="DO63" s="110"/>
      <c r="DP63" s="110"/>
      <c r="DQ63" s="110"/>
      <c r="DR63" s="110"/>
      <c r="DS63" s="110"/>
      <c r="DT63" s="110"/>
      <c r="DU63" s="110"/>
      <c r="DV63" s="110"/>
      <c r="DW63" s="110"/>
      <c r="DX63" s="110"/>
      <c r="DY63" s="110"/>
      <c r="DZ63" s="110"/>
      <c r="EA63" s="110"/>
      <c r="EB63" s="110"/>
      <c r="EC63" s="110"/>
      <c r="ED63" s="110"/>
      <c r="EE63" s="110"/>
      <c r="EF63" s="110"/>
      <c r="EG63" s="110"/>
      <c r="EH63" s="110"/>
      <c r="EI63" s="110"/>
      <c r="EJ63" s="110"/>
      <c r="EK63" s="110"/>
      <c r="EL63" s="110"/>
      <c r="EM63" s="110"/>
      <c r="EN63" s="110"/>
      <c r="EO63" s="110"/>
      <c r="EP63" s="110"/>
      <c r="EQ63" s="110"/>
      <c r="ER63" s="110"/>
      <c r="ES63" s="110"/>
      <c r="ET63" s="110"/>
      <c r="EU63" s="110"/>
      <c r="EV63" s="110"/>
      <c r="EW63" s="110"/>
      <c r="EX63" s="110"/>
      <c r="EY63" s="110"/>
      <c r="EZ63" s="110"/>
      <c r="FA63" s="110"/>
      <c r="FB63" s="110"/>
      <c r="FC63" s="110"/>
      <c r="FD63" s="110"/>
      <c r="FE63" s="110"/>
      <c r="FF63" s="110"/>
      <c r="FG63" s="110"/>
      <c r="FH63" s="110"/>
      <c r="FI63" s="110"/>
      <c r="FJ63" s="110"/>
      <c r="FK63" s="110"/>
      <c r="FL63" s="110"/>
      <c r="FM63" s="110"/>
      <c r="FN63" s="110"/>
      <c r="FO63" s="110"/>
      <c r="FP63" s="110"/>
      <c r="FQ63" s="110"/>
      <c r="FR63" s="110"/>
      <c r="FS63" s="110"/>
      <c r="FT63" s="110"/>
      <c r="FU63" s="110"/>
      <c r="FV63" s="110"/>
      <c r="FW63" s="110"/>
      <c r="FX63" s="110"/>
      <c r="FY63" s="110"/>
      <c r="FZ63" s="110"/>
      <c r="GA63" s="110"/>
      <c r="GB63" s="110"/>
      <c r="GC63" s="110"/>
      <c r="GD63" s="110"/>
      <c r="GE63" s="110"/>
      <c r="GF63" s="110"/>
      <c r="GG63" s="110"/>
      <c r="GH63" s="110"/>
      <c r="GI63" s="110"/>
      <c r="GJ63" s="110"/>
      <c r="GK63" s="110"/>
      <c r="GL63" s="110"/>
      <c r="GM63" s="110"/>
      <c r="GN63" s="110"/>
      <c r="GO63" s="110"/>
      <c r="GP63" s="110"/>
      <c r="GQ63" s="110"/>
      <c r="GR63" s="110"/>
      <c r="GS63" s="110"/>
      <c r="GT63" s="110"/>
      <c r="GU63" s="110"/>
      <c r="GV63" s="110"/>
      <c r="GW63" s="110"/>
      <c r="GX63" s="110"/>
      <c r="GY63" s="110"/>
      <c r="GZ63" s="110"/>
      <c r="HA63" s="110"/>
      <c r="HB63" s="110"/>
      <c r="HC63" s="110"/>
      <c r="HD63" s="110"/>
      <c r="HE63" s="110"/>
      <c r="HF63" s="110"/>
      <c r="HG63" s="110"/>
      <c r="HH63" s="110"/>
      <c r="HI63" s="110"/>
      <c r="HJ63" s="110"/>
      <c r="HK63" s="110"/>
      <c r="HL63" s="110"/>
      <c r="HM63" s="110"/>
      <c r="HN63" s="110"/>
      <c r="HO63" s="110"/>
      <c r="HP63" s="110"/>
      <c r="HQ63" s="110"/>
      <c r="HR63" s="110"/>
      <c r="HS63" s="110"/>
      <c r="HT63" s="110"/>
      <c r="HU63" s="110"/>
      <c r="HV63" s="110"/>
      <c r="HW63" s="110"/>
      <c r="HX63" s="110"/>
      <c r="HY63" s="110"/>
      <c r="HZ63" s="110"/>
      <c r="IA63" s="110"/>
      <c r="IB63" s="110"/>
      <c r="IC63" s="110"/>
      <c r="ID63" s="110"/>
      <c r="IE63" s="110"/>
      <c r="IF63" s="110"/>
      <c r="IG63" s="110"/>
      <c r="IH63" s="110"/>
      <c r="II63" s="110"/>
      <c r="IJ63" s="110"/>
      <c r="IK63" s="110"/>
      <c r="IL63" s="110"/>
      <c r="IM63" s="110"/>
      <c r="IN63" s="110"/>
      <c r="IO63" s="110"/>
      <c r="IP63" s="110"/>
      <c r="IQ63" s="110"/>
      <c r="IR63" s="110"/>
      <c r="IS63" s="110"/>
      <c r="IT63" s="110"/>
      <c r="IU63" s="110"/>
      <c r="IV63" s="110"/>
      <c r="IW63" s="110"/>
    </row>
    <row r="64" spans="1:257" x14ac:dyDescent="0.3">
      <c r="A64" s="156"/>
      <c r="B64" s="156"/>
      <c r="C64" s="156"/>
      <c r="D64" s="156"/>
      <c r="E64" s="156"/>
      <c r="F64" s="156"/>
      <c r="G64" s="156"/>
      <c r="H64" s="156"/>
      <c r="I64" s="156"/>
      <c r="J64" s="156"/>
      <c r="K64" s="156"/>
      <c r="L64" s="156"/>
      <c r="M64" s="156"/>
      <c r="N64" s="156"/>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c r="BY64" s="110"/>
      <c r="BZ64" s="110"/>
      <c r="CA64" s="110"/>
      <c r="CB64" s="110"/>
      <c r="CC64" s="110"/>
      <c r="CD64" s="110"/>
      <c r="CE64" s="110"/>
      <c r="CF64" s="110"/>
      <c r="CG64" s="110"/>
      <c r="CH64" s="110"/>
      <c r="CI64" s="110"/>
      <c r="CJ64" s="110"/>
      <c r="CK64" s="110"/>
      <c r="CL64" s="110"/>
      <c r="CM64" s="110"/>
      <c r="CN64" s="110"/>
      <c r="CO64" s="110"/>
      <c r="CP64" s="110"/>
      <c r="CQ64" s="110"/>
      <c r="CR64" s="110"/>
      <c r="CS64" s="110"/>
      <c r="CT64" s="110"/>
      <c r="CU64" s="110"/>
      <c r="CV64" s="110"/>
      <c r="CW64" s="110"/>
      <c r="CX64" s="110"/>
      <c r="CY64" s="110"/>
      <c r="CZ64" s="110"/>
      <c r="DA64" s="110"/>
      <c r="DB64" s="110"/>
      <c r="DC64" s="110"/>
      <c r="DD64" s="110"/>
      <c r="DE64" s="110"/>
      <c r="DF64" s="110"/>
      <c r="DG64" s="110"/>
      <c r="DH64" s="110"/>
      <c r="DI64" s="110"/>
      <c r="DJ64" s="110"/>
      <c r="DK64" s="110"/>
      <c r="DL64" s="110"/>
      <c r="DM64" s="110"/>
      <c r="DN64" s="110"/>
      <c r="DO64" s="110"/>
      <c r="DP64" s="110"/>
      <c r="DQ64" s="110"/>
      <c r="DR64" s="110"/>
      <c r="DS64" s="110"/>
      <c r="DT64" s="110"/>
      <c r="DU64" s="110"/>
      <c r="DV64" s="110"/>
      <c r="DW64" s="110"/>
      <c r="DX64" s="110"/>
      <c r="DY64" s="110"/>
      <c r="DZ64" s="110"/>
      <c r="EA64" s="110"/>
      <c r="EB64" s="110"/>
      <c r="EC64" s="110"/>
      <c r="ED64" s="110"/>
      <c r="EE64" s="110"/>
      <c r="EF64" s="110"/>
      <c r="EG64" s="110"/>
      <c r="EH64" s="110"/>
      <c r="EI64" s="110"/>
      <c r="EJ64" s="110"/>
      <c r="EK64" s="110"/>
      <c r="EL64" s="110"/>
      <c r="EM64" s="110"/>
      <c r="EN64" s="110"/>
      <c r="EO64" s="110"/>
      <c r="EP64" s="110"/>
      <c r="EQ64" s="110"/>
      <c r="ER64" s="110"/>
      <c r="ES64" s="110"/>
      <c r="ET64" s="110"/>
      <c r="EU64" s="110"/>
      <c r="EV64" s="110"/>
      <c r="EW64" s="110"/>
      <c r="EX64" s="110"/>
      <c r="EY64" s="110"/>
      <c r="EZ64" s="110"/>
      <c r="FA64" s="110"/>
      <c r="FB64" s="110"/>
      <c r="FC64" s="110"/>
      <c r="FD64" s="110"/>
      <c r="FE64" s="110"/>
      <c r="FF64" s="110"/>
      <c r="FG64" s="110"/>
      <c r="FH64" s="110"/>
      <c r="FI64" s="110"/>
      <c r="FJ64" s="110"/>
      <c r="FK64" s="110"/>
      <c r="FL64" s="110"/>
      <c r="FM64" s="110"/>
      <c r="FN64" s="110"/>
      <c r="FO64" s="110"/>
      <c r="FP64" s="110"/>
      <c r="FQ64" s="110"/>
      <c r="FR64" s="110"/>
      <c r="FS64" s="110"/>
      <c r="FT64" s="110"/>
      <c r="FU64" s="110"/>
      <c r="FV64" s="110"/>
      <c r="FW64" s="110"/>
      <c r="FX64" s="110"/>
      <c r="FY64" s="110"/>
      <c r="FZ64" s="110"/>
      <c r="GA64" s="110"/>
      <c r="GB64" s="110"/>
      <c r="GC64" s="110"/>
      <c r="GD64" s="110"/>
      <c r="GE64" s="110"/>
      <c r="GF64" s="110"/>
      <c r="GG64" s="110"/>
      <c r="GH64" s="110"/>
      <c r="GI64" s="110"/>
      <c r="GJ64" s="110"/>
      <c r="GK64" s="110"/>
      <c r="GL64" s="110"/>
      <c r="GM64" s="110"/>
      <c r="GN64" s="110"/>
      <c r="GO64" s="110"/>
      <c r="GP64" s="110"/>
      <c r="GQ64" s="110"/>
      <c r="GR64" s="110"/>
      <c r="GS64" s="110"/>
      <c r="GT64" s="110"/>
      <c r="GU64" s="110"/>
      <c r="GV64" s="110"/>
      <c r="GW64" s="110"/>
      <c r="GX64" s="110"/>
      <c r="GY64" s="110"/>
      <c r="GZ64" s="110"/>
      <c r="HA64" s="110"/>
      <c r="HB64" s="110"/>
      <c r="HC64" s="110"/>
      <c r="HD64" s="110"/>
      <c r="HE64" s="110"/>
      <c r="HF64" s="110"/>
      <c r="HG64" s="110"/>
      <c r="HH64" s="110"/>
      <c r="HI64" s="110"/>
      <c r="HJ64" s="110"/>
      <c r="HK64" s="110"/>
      <c r="HL64" s="110"/>
      <c r="HM64" s="110"/>
      <c r="HN64" s="110"/>
      <c r="HO64" s="110"/>
      <c r="HP64" s="110"/>
      <c r="HQ64" s="110"/>
      <c r="HR64" s="110"/>
      <c r="HS64" s="110"/>
      <c r="HT64" s="110"/>
      <c r="HU64" s="110"/>
      <c r="HV64" s="110"/>
      <c r="HW64" s="110"/>
      <c r="HX64" s="110"/>
      <c r="HY64" s="110"/>
      <c r="HZ64" s="110"/>
      <c r="IA64" s="110"/>
      <c r="IB64" s="110"/>
      <c r="IC64" s="110"/>
      <c r="ID64" s="110"/>
      <c r="IE64" s="110"/>
      <c r="IF64" s="110"/>
      <c r="IG64" s="110"/>
      <c r="IH64" s="110"/>
      <c r="II64" s="110"/>
      <c r="IJ64" s="110"/>
      <c r="IK64" s="110"/>
      <c r="IL64" s="110"/>
      <c r="IM64" s="110"/>
      <c r="IN64" s="110"/>
      <c r="IO64" s="110"/>
      <c r="IP64" s="110"/>
      <c r="IQ64" s="110"/>
      <c r="IR64" s="110"/>
      <c r="IS64" s="110"/>
      <c r="IT64" s="110"/>
      <c r="IU64" s="110"/>
      <c r="IV64" s="110"/>
      <c r="IW64" s="110"/>
    </row>
    <row r="65" spans="1:257" x14ac:dyDescent="0.3">
      <c r="A65" s="156"/>
      <c r="B65" s="156"/>
      <c r="C65" s="156"/>
      <c r="D65" s="156"/>
      <c r="E65" s="156"/>
      <c r="F65" s="156"/>
      <c r="G65" s="156"/>
      <c r="H65" s="156"/>
      <c r="I65" s="156"/>
      <c r="J65" s="156"/>
      <c r="K65" s="156"/>
      <c r="L65" s="156"/>
      <c r="M65" s="156"/>
      <c r="N65" s="156"/>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c r="BY65" s="110"/>
      <c r="BZ65" s="110"/>
      <c r="CA65" s="110"/>
      <c r="CB65" s="110"/>
      <c r="CC65" s="110"/>
      <c r="CD65" s="110"/>
      <c r="CE65" s="110"/>
      <c r="CF65" s="110"/>
      <c r="CG65" s="110"/>
      <c r="CH65" s="110"/>
      <c r="CI65" s="110"/>
      <c r="CJ65" s="110"/>
      <c r="CK65" s="110"/>
      <c r="CL65" s="110"/>
      <c r="CM65" s="110"/>
      <c r="CN65" s="110"/>
      <c r="CO65" s="110"/>
      <c r="CP65" s="110"/>
      <c r="CQ65" s="110"/>
      <c r="CR65" s="110"/>
      <c r="CS65" s="110"/>
      <c r="CT65" s="110"/>
      <c r="CU65" s="110"/>
      <c r="CV65" s="110"/>
      <c r="CW65" s="110"/>
      <c r="CX65" s="110"/>
      <c r="CY65" s="110"/>
      <c r="CZ65" s="110"/>
      <c r="DA65" s="110"/>
      <c r="DB65" s="110"/>
      <c r="DC65" s="110"/>
      <c r="DD65" s="110"/>
      <c r="DE65" s="110"/>
      <c r="DF65" s="110"/>
      <c r="DG65" s="110"/>
      <c r="DH65" s="110"/>
      <c r="DI65" s="110"/>
      <c r="DJ65" s="110"/>
      <c r="DK65" s="110"/>
      <c r="DL65" s="110"/>
      <c r="DM65" s="110"/>
      <c r="DN65" s="110"/>
      <c r="DO65" s="110"/>
      <c r="DP65" s="110"/>
      <c r="DQ65" s="110"/>
      <c r="DR65" s="110"/>
      <c r="DS65" s="110"/>
      <c r="DT65" s="110"/>
      <c r="DU65" s="110"/>
      <c r="DV65" s="110"/>
      <c r="DW65" s="110"/>
      <c r="DX65" s="110"/>
      <c r="DY65" s="110"/>
      <c r="DZ65" s="110"/>
      <c r="EA65" s="110"/>
      <c r="EB65" s="110"/>
      <c r="EC65" s="110"/>
      <c r="ED65" s="110"/>
      <c r="EE65" s="110"/>
      <c r="EF65" s="110"/>
      <c r="EG65" s="110"/>
      <c r="EH65" s="110"/>
      <c r="EI65" s="110"/>
      <c r="EJ65" s="110"/>
      <c r="EK65" s="110"/>
      <c r="EL65" s="110"/>
      <c r="EM65" s="110"/>
      <c r="EN65" s="110"/>
      <c r="EO65" s="110"/>
      <c r="EP65" s="110"/>
      <c r="EQ65" s="110"/>
      <c r="ER65" s="110"/>
      <c r="ES65" s="110"/>
      <c r="ET65" s="110"/>
      <c r="EU65" s="110"/>
      <c r="EV65" s="110"/>
      <c r="EW65" s="110"/>
      <c r="EX65" s="110"/>
      <c r="EY65" s="110"/>
      <c r="EZ65" s="110"/>
      <c r="FA65" s="110"/>
      <c r="FB65" s="110"/>
      <c r="FC65" s="110"/>
      <c r="FD65" s="110"/>
      <c r="FE65" s="110"/>
      <c r="FF65" s="110"/>
      <c r="FG65" s="110"/>
      <c r="FH65" s="110"/>
      <c r="FI65" s="110"/>
      <c r="FJ65" s="110"/>
      <c r="FK65" s="110"/>
      <c r="FL65" s="110"/>
      <c r="FM65" s="110"/>
      <c r="FN65" s="110"/>
      <c r="FO65" s="110"/>
      <c r="FP65" s="110"/>
      <c r="FQ65" s="110"/>
      <c r="FR65" s="110"/>
      <c r="FS65" s="110"/>
      <c r="FT65" s="110"/>
      <c r="FU65" s="110"/>
      <c r="FV65" s="110"/>
      <c r="FW65" s="110"/>
      <c r="FX65" s="110"/>
      <c r="FY65" s="110"/>
      <c r="FZ65" s="110"/>
      <c r="GA65" s="110"/>
      <c r="GB65" s="110"/>
      <c r="GC65" s="110"/>
      <c r="GD65" s="110"/>
      <c r="GE65" s="110"/>
      <c r="GF65" s="110"/>
      <c r="GG65" s="110"/>
      <c r="GH65" s="110"/>
      <c r="GI65" s="110"/>
      <c r="GJ65" s="110"/>
      <c r="GK65" s="110"/>
      <c r="GL65" s="110"/>
      <c r="GM65" s="110"/>
      <c r="GN65" s="110"/>
      <c r="GO65" s="110"/>
      <c r="GP65" s="110"/>
      <c r="GQ65" s="110"/>
      <c r="GR65" s="110"/>
      <c r="GS65" s="110"/>
      <c r="GT65" s="110"/>
      <c r="GU65" s="110"/>
      <c r="GV65" s="110"/>
      <c r="GW65" s="110"/>
      <c r="GX65" s="110"/>
      <c r="GY65" s="110"/>
      <c r="GZ65" s="110"/>
      <c r="HA65" s="110"/>
      <c r="HB65" s="110"/>
      <c r="HC65" s="110"/>
      <c r="HD65" s="110"/>
      <c r="HE65" s="110"/>
      <c r="HF65" s="110"/>
      <c r="HG65" s="110"/>
      <c r="HH65" s="110"/>
      <c r="HI65" s="110"/>
      <c r="HJ65" s="110"/>
      <c r="HK65" s="110"/>
      <c r="HL65" s="110"/>
      <c r="HM65" s="110"/>
      <c r="HN65" s="110"/>
      <c r="HO65" s="110"/>
      <c r="HP65" s="110"/>
      <c r="HQ65" s="110"/>
      <c r="HR65" s="110"/>
      <c r="HS65" s="110"/>
      <c r="HT65" s="110"/>
      <c r="HU65" s="110"/>
      <c r="HV65" s="110"/>
      <c r="HW65" s="110"/>
      <c r="HX65" s="110"/>
      <c r="HY65" s="110"/>
      <c r="HZ65" s="110"/>
      <c r="IA65" s="110"/>
      <c r="IB65" s="110"/>
      <c r="IC65" s="110"/>
      <c r="ID65" s="110"/>
      <c r="IE65" s="110"/>
      <c r="IF65" s="110"/>
      <c r="IG65" s="110"/>
      <c r="IH65" s="110"/>
      <c r="II65" s="110"/>
      <c r="IJ65" s="110"/>
      <c r="IK65" s="110"/>
      <c r="IL65" s="110"/>
      <c r="IM65" s="110"/>
      <c r="IN65" s="110"/>
      <c r="IO65" s="110"/>
      <c r="IP65" s="110"/>
      <c r="IQ65" s="110"/>
      <c r="IR65" s="110"/>
      <c r="IS65" s="110"/>
      <c r="IT65" s="110"/>
      <c r="IU65" s="110"/>
      <c r="IV65" s="110"/>
      <c r="IW65" s="110"/>
    </row>
    <row r="66" spans="1:257" x14ac:dyDescent="0.3">
      <c r="A66" s="156"/>
      <c r="B66" s="156"/>
      <c r="C66" s="156"/>
      <c r="D66" s="156"/>
      <c r="E66" s="156"/>
      <c r="F66" s="156"/>
      <c r="G66" s="156"/>
      <c r="H66" s="156"/>
      <c r="I66" s="156"/>
      <c r="J66" s="156"/>
      <c r="K66" s="156"/>
      <c r="L66" s="156"/>
      <c r="M66" s="156"/>
      <c r="N66" s="156"/>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c r="BY66" s="110"/>
      <c r="BZ66" s="110"/>
      <c r="CA66" s="110"/>
      <c r="CB66" s="110"/>
      <c r="CC66" s="110"/>
      <c r="CD66" s="110"/>
      <c r="CE66" s="110"/>
      <c r="CF66" s="110"/>
      <c r="CG66" s="110"/>
      <c r="CH66" s="110"/>
      <c r="CI66" s="110"/>
      <c r="CJ66" s="110"/>
      <c r="CK66" s="110"/>
      <c r="CL66" s="110"/>
      <c r="CM66" s="110"/>
      <c r="CN66" s="110"/>
      <c r="CO66" s="110"/>
      <c r="CP66" s="110"/>
      <c r="CQ66" s="110"/>
      <c r="CR66" s="110"/>
      <c r="CS66" s="110"/>
      <c r="CT66" s="110"/>
      <c r="CU66" s="110"/>
      <c r="CV66" s="110"/>
      <c r="CW66" s="110"/>
      <c r="CX66" s="110"/>
      <c r="CY66" s="110"/>
      <c r="CZ66" s="110"/>
      <c r="DA66" s="110"/>
      <c r="DB66" s="110"/>
      <c r="DC66" s="110"/>
      <c r="DD66" s="110"/>
      <c r="DE66" s="110"/>
      <c r="DF66" s="110"/>
      <c r="DG66" s="110"/>
      <c r="DH66" s="110"/>
      <c r="DI66" s="110"/>
      <c r="DJ66" s="110"/>
      <c r="DK66" s="110"/>
      <c r="DL66" s="110"/>
      <c r="DM66" s="110"/>
      <c r="DN66" s="110"/>
      <c r="DO66" s="110"/>
      <c r="DP66" s="110"/>
      <c r="DQ66" s="110"/>
      <c r="DR66" s="110"/>
      <c r="DS66" s="110"/>
      <c r="DT66" s="110"/>
      <c r="DU66" s="110"/>
      <c r="DV66" s="110"/>
      <c r="DW66" s="110"/>
      <c r="DX66" s="110"/>
      <c r="DY66" s="110"/>
      <c r="DZ66" s="110"/>
      <c r="EA66" s="110"/>
      <c r="EB66" s="110"/>
      <c r="EC66" s="110"/>
      <c r="ED66" s="110"/>
      <c r="EE66" s="110"/>
      <c r="EF66" s="110"/>
      <c r="EG66" s="110"/>
      <c r="EH66" s="110"/>
      <c r="EI66" s="110"/>
      <c r="EJ66" s="110"/>
      <c r="EK66" s="110"/>
      <c r="EL66" s="110"/>
      <c r="EM66" s="110"/>
      <c r="EN66" s="110"/>
      <c r="EO66" s="110"/>
      <c r="EP66" s="110"/>
      <c r="EQ66" s="110"/>
      <c r="ER66" s="110"/>
      <c r="ES66" s="110"/>
      <c r="ET66" s="110"/>
      <c r="EU66" s="110"/>
      <c r="EV66" s="110"/>
      <c r="EW66" s="110"/>
      <c r="EX66" s="110"/>
      <c r="EY66" s="110"/>
      <c r="EZ66" s="110"/>
      <c r="FA66" s="110"/>
      <c r="FB66" s="110"/>
      <c r="FC66" s="110"/>
      <c r="FD66" s="110"/>
      <c r="FE66" s="110"/>
      <c r="FF66" s="110"/>
      <c r="FG66" s="110"/>
      <c r="FH66" s="110"/>
      <c r="FI66" s="110"/>
      <c r="FJ66" s="110"/>
      <c r="FK66" s="110"/>
      <c r="FL66" s="110"/>
      <c r="FM66" s="110"/>
      <c r="FN66" s="110"/>
      <c r="FO66" s="110"/>
      <c r="FP66" s="110"/>
      <c r="FQ66" s="110"/>
      <c r="FR66" s="110"/>
      <c r="FS66" s="110"/>
      <c r="FT66" s="110"/>
      <c r="FU66" s="110"/>
      <c r="FV66" s="110"/>
      <c r="FW66" s="110"/>
      <c r="FX66" s="110"/>
      <c r="FY66" s="110"/>
      <c r="FZ66" s="110"/>
      <c r="GA66" s="110"/>
      <c r="GB66" s="110"/>
      <c r="GC66" s="110"/>
      <c r="GD66" s="110"/>
      <c r="GE66" s="110"/>
      <c r="GF66" s="110"/>
      <c r="GG66" s="110"/>
      <c r="GH66" s="110"/>
      <c r="GI66" s="110"/>
      <c r="GJ66" s="110"/>
      <c r="GK66" s="110"/>
      <c r="GL66" s="110"/>
      <c r="GM66" s="110"/>
      <c r="GN66" s="110"/>
      <c r="GO66" s="110"/>
      <c r="GP66" s="110"/>
      <c r="GQ66" s="110"/>
      <c r="GR66" s="110"/>
      <c r="GS66" s="110"/>
      <c r="GT66" s="110"/>
      <c r="GU66" s="110"/>
      <c r="GV66" s="110"/>
      <c r="GW66" s="110"/>
      <c r="GX66" s="110"/>
      <c r="GY66" s="110"/>
      <c r="GZ66" s="110"/>
      <c r="HA66" s="110"/>
      <c r="HB66" s="110"/>
      <c r="HC66" s="110"/>
      <c r="HD66" s="110"/>
      <c r="HE66" s="110"/>
      <c r="HF66" s="110"/>
      <c r="HG66" s="110"/>
      <c r="HH66" s="110"/>
      <c r="HI66" s="110"/>
      <c r="HJ66" s="110"/>
      <c r="HK66" s="110"/>
      <c r="HL66" s="110"/>
      <c r="HM66" s="110"/>
      <c r="HN66" s="110"/>
      <c r="HO66" s="110"/>
      <c r="HP66" s="110"/>
      <c r="HQ66" s="110"/>
      <c r="HR66" s="110"/>
      <c r="HS66" s="110"/>
      <c r="HT66" s="110"/>
      <c r="HU66" s="110"/>
      <c r="HV66" s="110"/>
      <c r="HW66" s="110"/>
      <c r="HX66" s="110"/>
      <c r="HY66" s="110"/>
      <c r="HZ66" s="110"/>
      <c r="IA66" s="110"/>
      <c r="IB66" s="110"/>
      <c r="IC66" s="110"/>
      <c r="ID66" s="110"/>
      <c r="IE66" s="110"/>
      <c r="IF66" s="110"/>
      <c r="IG66" s="110"/>
      <c r="IH66" s="110"/>
      <c r="II66" s="110"/>
      <c r="IJ66" s="110"/>
      <c r="IK66" s="110"/>
      <c r="IL66" s="110"/>
      <c r="IM66" s="110"/>
      <c r="IN66" s="110"/>
      <c r="IO66" s="110"/>
      <c r="IP66" s="110"/>
      <c r="IQ66" s="110"/>
      <c r="IR66" s="110"/>
      <c r="IS66" s="110"/>
      <c r="IT66" s="110"/>
      <c r="IU66" s="110"/>
      <c r="IV66" s="110"/>
      <c r="IW66" s="110"/>
    </row>
    <row r="67" spans="1:257" x14ac:dyDescent="0.3">
      <c r="A67" s="156"/>
      <c r="B67" s="156"/>
      <c r="C67" s="156"/>
      <c r="D67" s="156"/>
      <c r="E67" s="156"/>
      <c r="F67" s="156"/>
      <c r="G67" s="156"/>
      <c r="H67" s="156"/>
      <c r="I67" s="156"/>
      <c r="J67" s="156"/>
      <c r="K67" s="156"/>
      <c r="L67" s="156"/>
      <c r="M67" s="156"/>
      <c r="N67" s="156"/>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c r="BY67" s="110"/>
      <c r="BZ67" s="110"/>
      <c r="CA67" s="110"/>
      <c r="CB67" s="110"/>
      <c r="CC67" s="110"/>
      <c r="CD67" s="110"/>
      <c r="CE67" s="110"/>
      <c r="CF67" s="110"/>
      <c r="CG67" s="110"/>
      <c r="CH67" s="110"/>
      <c r="CI67" s="110"/>
      <c r="CJ67" s="110"/>
      <c r="CK67" s="110"/>
      <c r="CL67" s="110"/>
      <c r="CM67" s="110"/>
      <c r="CN67" s="110"/>
      <c r="CO67" s="110"/>
      <c r="CP67" s="110"/>
      <c r="CQ67" s="110"/>
      <c r="CR67" s="110"/>
      <c r="CS67" s="110"/>
      <c r="CT67" s="110"/>
      <c r="CU67" s="110"/>
      <c r="CV67" s="110"/>
      <c r="CW67" s="110"/>
      <c r="CX67" s="110"/>
      <c r="CY67" s="110"/>
      <c r="CZ67" s="110"/>
      <c r="DA67" s="110"/>
      <c r="DB67" s="110"/>
      <c r="DC67" s="110"/>
      <c r="DD67" s="110"/>
      <c r="DE67" s="110"/>
      <c r="DF67" s="110"/>
      <c r="DG67" s="110"/>
      <c r="DH67" s="110"/>
      <c r="DI67" s="110"/>
      <c r="DJ67" s="110"/>
      <c r="DK67" s="110"/>
      <c r="DL67" s="110"/>
      <c r="DM67" s="110"/>
      <c r="DN67" s="110"/>
      <c r="DO67" s="110"/>
      <c r="DP67" s="110"/>
      <c r="DQ67" s="110"/>
      <c r="DR67" s="110"/>
      <c r="DS67" s="110"/>
      <c r="DT67" s="110"/>
      <c r="DU67" s="110"/>
      <c r="DV67" s="110"/>
      <c r="DW67" s="110"/>
      <c r="DX67" s="110"/>
      <c r="DY67" s="110"/>
      <c r="DZ67" s="110"/>
      <c r="EA67" s="110"/>
      <c r="EB67" s="110"/>
      <c r="EC67" s="110"/>
      <c r="ED67" s="110"/>
      <c r="EE67" s="110"/>
      <c r="EF67" s="110"/>
      <c r="EG67" s="110"/>
      <c r="EH67" s="110"/>
      <c r="EI67" s="110"/>
      <c r="EJ67" s="110"/>
      <c r="EK67" s="110"/>
      <c r="EL67" s="110"/>
      <c r="EM67" s="110"/>
      <c r="EN67" s="110"/>
      <c r="EO67" s="110"/>
      <c r="EP67" s="110"/>
      <c r="EQ67" s="110"/>
      <c r="ER67" s="110"/>
      <c r="ES67" s="110"/>
      <c r="ET67" s="110"/>
      <c r="EU67" s="110"/>
      <c r="EV67" s="110"/>
      <c r="EW67" s="110"/>
      <c r="EX67" s="110"/>
      <c r="EY67" s="110"/>
      <c r="EZ67" s="110"/>
      <c r="FA67" s="110"/>
      <c r="FB67" s="110"/>
      <c r="FC67" s="110"/>
      <c r="FD67" s="110"/>
      <c r="FE67" s="110"/>
      <c r="FF67" s="110"/>
      <c r="FG67" s="110"/>
      <c r="FH67" s="110"/>
      <c r="FI67" s="110"/>
      <c r="FJ67" s="110"/>
      <c r="FK67" s="110"/>
      <c r="FL67" s="110"/>
      <c r="FM67" s="110"/>
      <c r="FN67" s="110"/>
      <c r="FO67" s="110"/>
      <c r="FP67" s="110"/>
      <c r="FQ67" s="110"/>
      <c r="FR67" s="110"/>
      <c r="FS67" s="110"/>
      <c r="FT67" s="110"/>
      <c r="FU67" s="110"/>
      <c r="FV67" s="110"/>
      <c r="FW67" s="110"/>
      <c r="FX67" s="110"/>
      <c r="FY67" s="110"/>
      <c r="FZ67" s="110"/>
      <c r="GA67" s="110"/>
      <c r="GB67" s="110"/>
      <c r="GC67" s="110"/>
      <c r="GD67" s="110"/>
      <c r="GE67" s="110"/>
      <c r="GF67" s="110"/>
      <c r="GG67" s="110"/>
      <c r="GH67" s="110"/>
      <c r="GI67" s="110"/>
      <c r="GJ67" s="110"/>
      <c r="GK67" s="110"/>
      <c r="GL67" s="110"/>
      <c r="GM67" s="110"/>
      <c r="GN67" s="110"/>
      <c r="GO67" s="110"/>
      <c r="GP67" s="110"/>
      <c r="GQ67" s="110"/>
      <c r="GR67" s="110"/>
      <c r="GS67" s="110"/>
      <c r="GT67" s="110"/>
      <c r="GU67" s="110"/>
      <c r="GV67" s="110"/>
      <c r="GW67" s="110"/>
      <c r="GX67" s="110"/>
      <c r="GY67" s="110"/>
      <c r="GZ67" s="110"/>
      <c r="HA67" s="110"/>
      <c r="HB67" s="110"/>
      <c r="HC67" s="110"/>
      <c r="HD67" s="110"/>
      <c r="HE67" s="110"/>
      <c r="HF67" s="110"/>
      <c r="HG67" s="110"/>
      <c r="HH67" s="110"/>
      <c r="HI67" s="110"/>
      <c r="HJ67" s="110"/>
      <c r="HK67" s="110"/>
      <c r="HL67" s="110"/>
      <c r="HM67" s="110"/>
      <c r="HN67" s="110"/>
      <c r="HO67" s="110"/>
      <c r="HP67" s="110"/>
      <c r="HQ67" s="110"/>
      <c r="HR67" s="110"/>
      <c r="HS67" s="110"/>
      <c r="HT67" s="110"/>
      <c r="HU67" s="110"/>
      <c r="HV67" s="110"/>
      <c r="HW67" s="110"/>
      <c r="HX67" s="110"/>
      <c r="HY67" s="110"/>
      <c r="HZ67" s="110"/>
      <c r="IA67" s="110"/>
      <c r="IB67" s="110"/>
      <c r="IC67" s="110"/>
      <c r="ID67" s="110"/>
      <c r="IE67" s="110"/>
      <c r="IF67" s="110"/>
      <c r="IG67" s="110"/>
      <c r="IH67" s="110"/>
      <c r="II67" s="110"/>
      <c r="IJ67" s="110"/>
      <c r="IK67" s="110"/>
      <c r="IL67" s="110"/>
      <c r="IM67" s="110"/>
      <c r="IN67" s="110"/>
      <c r="IO67" s="110"/>
      <c r="IP67" s="110"/>
      <c r="IQ67" s="110"/>
      <c r="IR67" s="110"/>
      <c r="IS67" s="110"/>
      <c r="IT67" s="110"/>
      <c r="IU67" s="110"/>
      <c r="IV67" s="110"/>
      <c r="IW67" s="110"/>
    </row>
    <row r="68" spans="1:257" x14ac:dyDescent="0.3">
      <c r="A68" s="156"/>
      <c r="B68" s="156"/>
      <c r="C68" s="156"/>
      <c r="D68" s="156"/>
      <c r="E68" s="156"/>
      <c r="F68" s="156"/>
      <c r="G68" s="156"/>
      <c r="H68" s="156"/>
      <c r="I68" s="156"/>
      <c r="J68" s="156"/>
      <c r="K68" s="156"/>
      <c r="L68" s="156"/>
      <c r="M68" s="156"/>
      <c r="N68" s="156"/>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c r="BY68" s="110"/>
      <c r="BZ68" s="110"/>
      <c r="CA68" s="110"/>
      <c r="CB68" s="110"/>
      <c r="CC68" s="110"/>
      <c r="CD68" s="110"/>
      <c r="CE68" s="110"/>
      <c r="CF68" s="110"/>
      <c r="CG68" s="110"/>
      <c r="CH68" s="110"/>
      <c r="CI68" s="110"/>
      <c r="CJ68" s="110"/>
      <c r="CK68" s="110"/>
      <c r="CL68" s="110"/>
      <c r="CM68" s="110"/>
      <c r="CN68" s="110"/>
      <c r="CO68" s="110"/>
      <c r="CP68" s="110"/>
      <c r="CQ68" s="110"/>
      <c r="CR68" s="110"/>
      <c r="CS68" s="110"/>
      <c r="CT68" s="110"/>
      <c r="CU68" s="110"/>
      <c r="CV68" s="110"/>
      <c r="CW68" s="110"/>
      <c r="CX68" s="110"/>
      <c r="CY68" s="110"/>
      <c r="CZ68" s="110"/>
      <c r="DA68" s="110"/>
      <c r="DB68" s="110"/>
      <c r="DC68" s="110"/>
      <c r="DD68" s="110"/>
      <c r="DE68" s="110"/>
      <c r="DF68" s="110"/>
      <c r="DG68" s="110"/>
      <c r="DH68" s="110"/>
      <c r="DI68" s="110"/>
      <c r="DJ68" s="110"/>
      <c r="DK68" s="110"/>
      <c r="DL68" s="110"/>
      <c r="DM68" s="110"/>
      <c r="DN68" s="110"/>
      <c r="DO68" s="110"/>
      <c r="DP68" s="110"/>
      <c r="DQ68" s="110"/>
      <c r="DR68" s="110"/>
      <c r="DS68" s="110"/>
      <c r="DT68" s="110"/>
      <c r="DU68" s="110"/>
      <c r="DV68" s="110"/>
      <c r="DW68" s="110"/>
      <c r="DX68" s="110"/>
      <c r="DY68" s="110"/>
      <c r="DZ68" s="110"/>
      <c r="EA68" s="110"/>
      <c r="EB68" s="110"/>
      <c r="EC68" s="110"/>
      <c r="ED68" s="110"/>
      <c r="EE68" s="110"/>
      <c r="EF68" s="110"/>
      <c r="EG68" s="110"/>
      <c r="EH68" s="110"/>
      <c r="EI68" s="110"/>
      <c r="EJ68" s="110"/>
      <c r="EK68" s="110"/>
      <c r="EL68" s="110"/>
      <c r="EM68" s="110"/>
      <c r="EN68" s="110"/>
      <c r="EO68" s="110"/>
      <c r="EP68" s="110"/>
      <c r="EQ68" s="110"/>
      <c r="ER68" s="110"/>
      <c r="ES68" s="110"/>
      <c r="ET68" s="110"/>
      <c r="EU68" s="110"/>
      <c r="EV68" s="110"/>
      <c r="EW68" s="110"/>
      <c r="EX68" s="110"/>
      <c r="EY68" s="110"/>
      <c r="EZ68" s="110"/>
      <c r="FA68" s="110"/>
      <c r="FB68" s="110"/>
      <c r="FC68" s="110"/>
      <c r="FD68" s="110"/>
      <c r="FE68" s="110"/>
      <c r="FF68" s="110"/>
      <c r="FG68" s="110"/>
      <c r="FH68" s="110"/>
      <c r="FI68" s="110"/>
      <c r="FJ68" s="110"/>
      <c r="FK68" s="110"/>
      <c r="FL68" s="110"/>
      <c r="FM68" s="110"/>
      <c r="FN68" s="110"/>
      <c r="FO68" s="110"/>
      <c r="FP68" s="110"/>
      <c r="FQ68" s="110"/>
      <c r="FR68" s="110"/>
      <c r="FS68" s="110"/>
      <c r="FT68" s="110"/>
      <c r="FU68" s="110"/>
      <c r="FV68" s="110"/>
      <c r="FW68" s="110"/>
      <c r="FX68" s="110"/>
      <c r="FY68" s="110"/>
      <c r="FZ68" s="110"/>
      <c r="GA68" s="110"/>
      <c r="GB68" s="110"/>
      <c r="GC68" s="110"/>
      <c r="GD68" s="110"/>
      <c r="GE68" s="110"/>
      <c r="GF68" s="110"/>
      <c r="GG68" s="110"/>
      <c r="GH68" s="110"/>
      <c r="GI68" s="110"/>
      <c r="GJ68" s="110"/>
      <c r="GK68" s="110"/>
      <c r="GL68" s="110"/>
      <c r="GM68" s="110"/>
      <c r="GN68" s="110"/>
      <c r="GO68" s="110"/>
      <c r="GP68" s="110"/>
      <c r="GQ68" s="110"/>
      <c r="GR68" s="110"/>
      <c r="GS68" s="110"/>
      <c r="GT68" s="110"/>
      <c r="GU68" s="110"/>
      <c r="GV68" s="110"/>
      <c r="GW68" s="110"/>
      <c r="GX68" s="110"/>
      <c r="GY68" s="110"/>
      <c r="GZ68" s="110"/>
      <c r="HA68" s="110"/>
      <c r="HB68" s="110"/>
      <c r="HC68" s="110"/>
      <c r="HD68" s="110"/>
      <c r="HE68" s="110"/>
      <c r="HF68" s="110"/>
      <c r="HG68" s="110"/>
      <c r="HH68" s="110"/>
      <c r="HI68" s="110"/>
      <c r="HJ68" s="110"/>
      <c r="HK68" s="110"/>
      <c r="HL68" s="110"/>
      <c r="HM68" s="110"/>
      <c r="HN68" s="110"/>
      <c r="HO68" s="110"/>
      <c r="HP68" s="110"/>
      <c r="HQ68" s="110"/>
      <c r="HR68" s="110"/>
      <c r="HS68" s="110"/>
      <c r="HT68" s="110"/>
      <c r="HU68" s="110"/>
      <c r="HV68" s="110"/>
      <c r="HW68" s="110"/>
      <c r="HX68" s="110"/>
      <c r="HY68" s="110"/>
      <c r="HZ68" s="110"/>
      <c r="IA68" s="110"/>
      <c r="IB68" s="110"/>
      <c r="IC68" s="110"/>
      <c r="ID68" s="110"/>
      <c r="IE68" s="110"/>
      <c r="IF68" s="110"/>
      <c r="IG68" s="110"/>
      <c r="IH68" s="110"/>
      <c r="II68" s="110"/>
      <c r="IJ68" s="110"/>
      <c r="IK68" s="110"/>
      <c r="IL68" s="110"/>
      <c r="IM68" s="110"/>
      <c r="IN68" s="110"/>
      <c r="IO68" s="110"/>
      <c r="IP68" s="110"/>
      <c r="IQ68" s="110"/>
      <c r="IR68" s="110"/>
      <c r="IS68" s="110"/>
      <c r="IT68" s="110"/>
      <c r="IU68" s="110"/>
      <c r="IV68" s="110"/>
      <c r="IW68" s="110"/>
    </row>
    <row r="69" spans="1:257" x14ac:dyDescent="0.3">
      <c r="A69" s="156"/>
      <c r="B69" s="156"/>
      <c r="C69" s="156"/>
      <c r="D69" s="156"/>
      <c r="E69" s="156"/>
      <c r="F69" s="156"/>
      <c r="G69" s="156"/>
      <c r="H69" s="156"/>
      <c r="I69" s="156"/>
      <c r="J69" s="156"/>
      <c r="K69" s="156"/>
      <c r="L69" s="156"/>
      <c r="M69" s="156"/>
      <c r="N69" s="156"/>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c r="BY69" s="110"/>
      <c r="BZ69" s="110"/>
      <c r="CA69" s="110"/>
      <c r="CB69" s="110"/>
      <c r="CC69" s="110"/>
      <c r="CD69" s="110"/>
      <c r="CE69" s="110"/>
      <c r="CF69" s="110"/>
      <c r="CG69" s="110"/>
      <c r="CH69" s="110"/>
      <c r="CI69" s="110"/>
      <c r="CJ69" s="110"/>
      <c r="CK69" s="110"/>
      <c r="CL69" s="110"/>
      <c r="CM69" s="110"/>
      <c r="CN69" s="110"/>
      <c r="CO69" s="110"/>
      <c r="CP69" s="110"/>
      <c r="CQ69" s="110"/>
      <c r="CR69" s="110"/>
      <c r="CS69" s="110"/>
      <c r="CT69" s="110"/>
      <c r="CU69" s="110"/>
      <c r="CV69" s="110"/>
      <c r="CW69" s="110"/>
      <c r="CX69" s="110"/>
      <c r="CY69" s="110"/>
      <c r="CZ69" s="110"/>
      <c r="DA69" s="110"/>
      <c r="DB69" s="110"/>
      <c r="DC69" s="110"/>
      <c r="DD69" s="110"/>
      <c r="DE69" s="110"/>
      <c r="DF69" s="110"/>
      <c r="DG69" s="110"/>
      <c r="DH69" s="110"/>
      <c r="DI69" s="110"/>
      <c r="DJ69" s="110"/>
      <c r="DK69" s="110"/>
      <c r="DL69" s="110"/>
      <c r="DM69" s="110"/>
      <c r="DN69" s="110"/>
      <c r="DO69" s="110"/>
      <c r="DP69" s="110"/>
      <c r="DQ69" s="110"/>
      <c r="DR69" s="110"/>
      <c r="DS69" s="110"/>
      <c r="DT69" s="110"/>
      <c r="DU69" s="110"/>
      <c r="DV69" s="110"/>
      <c r="DW69" s="110"/>
      <c r="DX69" s="110"/>
      <c r="DY69" s="110"/>
      <c r="DZ69" s="110"/>
      <c r="EA69" s="110"/>
      <c r="EB69" s="110"/>
      <c r="EC69" s="110"/>
      <c r="ED69" s="110"/>
      <c r="EE69" s="110"/>
      <c r="EF69" s="110"/>
      <c r="EG69" s="110"/>
      <c r="EH69" s="110"/>
      <c r="EI69" s="110"/>
      <c r="EJ69" s="110"/>
      <c r="EK69" s="110"/>
      <c r="EL69" s="110"/>
      <c r="EM69" s="110"/>
      <c r="EN69" s="110"/>
      <c r="EO69" s="110"/>
      <c r="EP69" s="110"/>
      <c r="EQ69" s="110"/>
      <c r="ER69" s="110"/>
      <c r="ES69" s="110"/>
      <c r="ET69" s="110"/>
      <c r="EU69" s="110"/>
      <c r="EV69" s="110"/>
      <c r="EW69" s="110"/>
      <c r="EX69" s="110"/>
      <c r="EY69" s="110"/>
      <c r="EZ69" s="110"/>
      <c r="FA69" s="110"/>
      <c r="FB69" s="110"/>
      <c r="FC69" s="110"/>
      <c r="FD69" s="110"/>
      <c r="FE69" s="110"/>
      <c r="FF69" s="110"/>
      <c r="FG69" s="110"/>
      <c r="FH69" s="110"/>
      <c r="FI69" s="110"/>
      <c r="FJ69" s="110"/>
      <c r="FK69" s="110"/>
      <c r="FL69" s="110"/>
      <c r="FM69" s="110"/>
      <c r="FN69" s="110"/>
      <c r="FO69" s="110"/>
      <c r="FP69" s="110"/>
      <c r="FQ69" s="110"/>
      <c r="FR69" s="110"/>
      <c r="FS69" s="110"/>
      <c r="FT69" s="110"/>
      <c r="FU69" s="110"/>
      <c r="FV69" s="110"/>
      <c r="FW69" s="110"/>
      <c r="FX69" s="110"/>
      <c r="FY69" s="110"/>
      <c r="FZ69" s="110"/>
      <c r="GA69" s="110"/>
      <c r="GB69" s="110"/>
      <c r="GC69" s="110"/>
      <c r="GD69" s="110"/>
      <c r="GE69" s="110"/>
      <c r="GF69" s="110"/>
      <c r="GG69" s="110"/>
      <c r="GH69" s="110"/>
      <c r="GI69" s="110"/>
      <c r="GJ69" s="110"/>
      <c r="GK69" s="110"/>
      <c r="GL69" s="110"/>
      <c r="GM69" s="110"/>
      <c r="GN69" s="110"/>
      <c r="GO69" s="110"/>
      <c r="GP69" s="110"/>
      <c r="GQ69" s="110"/>
      <c r="GR69" s="110"/>
      <c r="GS69" s="110"/>
      <c r="GT69" s="110"/>
      <c r="GU69" s="110"/>
      <c r="GV69" s="110"/>
      <c r="GW69" s="110"/>
      <c r="GX69" s="110"/>
      <c r="GY69" s="110"/>
      <c r="GZ69" s="110"/>
      <c r="HA69" s="110"/>
      <c r="HB69" s="110"/>
      <c r="HC69" s="110"/>
      <c r="HD69" s="110"/>
      <c r="HE69" s="110"/>
      <c r="HF69" s="110"/>
      <c r="HG69" s="110"/>
      <c r="HH69" s="110"/>
      <c r="HI69" s="110"/>
      <c r="HJ69" s="110"/>
      <c r="HK69" s="110"/>
      <c r="HL69" s="110"/>
      <c r="HM69" s="110"/>
      <c r="HN69" s="110"/>
      <c r="HO69" s="110"/>
      <c r="HP69" s="110"/>
      <c r="HQ69" s="110"/>
      <c r="HR69" s="110"/>
      <c r="HS69" s="110"/>
      <c r="HT69" s="110"/>
      <c r="HU69" s="110"/>
      <c r="HV69" s="110"/>
      <c r="HW69" s="110"/>
      <c r="HX69" s="110"/>
      <c r="HY69" s="110"/>
      <c r="HZ69" s="110"/>
      <c r="IA69" s="110"/>
      <c r="IB69" s="110"/>
      <c r="IC69" s="110"/>
      <c r="ID69" s="110"/>
      <c r="IE69" s="110"/>
      <c r="IF69" s="110"/>
      <c r="IG69" s="110"/>
      <c r="IH69" s="110"/>
      <c r="II69" s="110"/>
      <c r="IJ69" s="110"/>
      <c r="IK69" s="110"/>
      <c r="IL69" s="110"/>
      <c r="IM69" s="110"/>
      <c r="IN69" s="110"/>
      <c r="IO69" s="110"/>
      <c r="IP69" s="110"/>
      <c r="IQ69" s="110"/>
      <c r="IR69" s="110"/>
      <c r="IS69" s="110"/>
      <c r="IT69" s="110"/>
      <c r="IU69" s="110"/>
      <c r="IV69" s="110"/>
      <c r="IW69" s="110"/>
    </row>
    <row r="70" spans="1:257" x14ac:dyDescent="0.3">
      <c r="A70" s="156"/>
      <c r="B70" s="156"/>
      <c r="C70" s="156"/>
      <c r="D70" s="156"/>
      <c r="E70" s="156"/>
      <c r="F70" s="156"/>
      <c r="G70" s="156"/>
      <c r="H70" s="156"/>
      <c r="I70" s="156"/>
      <c r="J70" s="156"/>
      <c r="K70" s="156"/>
      <c r="L70" s="156"/>
      <c r="M70" s="156"/>
      <c r="N70" s="156"/>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c r="BY70" s="110"/>
      <c r="BZ70" s="110"/>
      <c r="CA70" s="110"/>
      <c r="CB70" s="110"/>
      <c r="CC70" s="110"/>
      <c r="CD70" s="110"/>
      <c r="CE70" s="110"/>
      <c r="CF70" s="110"/>
      <c r="CG70" s="110"/>
      <c r="CH70" s="110"/>
      <c r="CI70" s="110"/>
      <c r="CJ70" s="110"/>
      <c r="CK70" s="110"/>
      <c r="CL70" s="110"/>
      <c r="CM70" s="110"/>
      <c r="CN70" s="110"/>
      <c r="CO70" s="110"/>
      <c r="CP70" s="110"/>
      <c r="CQ70" s="110"/>
      <c r="CR70" s="110"/>
      <c r="CS70" s="110"/>
      <c r="CT70" s="110"/>
      <c r="CU70" s="110"/>
      <c r="CV70" s="110"/>
      <c r="CW70" s="110"/>
      <c r="CX70" s="110"/>
      <c r="CY70" s="110"/>
      <c r="CZ70" s="110"/>
      <c r="DA70" s="110"/>
      <c r="DB70" s="110"/>
      <c r="DC70" s="110"/>
      <c r="DD70" s="110"/>
      <c r="DE70" s="110"/>
      <c r="DF70" s="110"/>
      <c r="DG70" s="110"/>
      <c r="DH70" s="110"/>
      <c r="DI70" s="110"/>
      <c r="DJ70" s="110"/>
      <c r="DK70" s="110"/>
      <c r="DL70" s="110"/>
      <c r="DM70" s="110"/>
      <c r="DN70" s="110"/>
      <c r="DO70" s="110"/>
      <c r="DP70" s="110"/>
      <c r="DQ70" s="110"/>
      <c r="DR70" s="110"/>
      <c r="DS70" s="110"/>
      <c r="DT70" s="110"/>
      <c r="DU70" s="110"/>
      <c r="DV70" s="110"/>
      <c r="DW70" s="110"/>
      <c r="DX70" s="110"/>
      <c r="DY70" s="110"/>
      <c r="DZ70" s="110"/>
      <c r="EA70" s="110"/>
      <c r="EB70" s="110"/>
      <c r="EC70" s="110"/>
      <c r="ED70" s="110"/>
      <c r="EE70" s="110"/>
      <c r="EF70" s="110"/>
      <c r="EG70" s="110"/>
      <c r="EH70" s="110"/>
      <c r="EI70" s="110"/>
      <c r="EJ70" s="110"/>
      <c r="EK70" s="110"/>
      <c r="EL70" s="110"/>
      <c r="EM70" s="110"/>
      <c r="EN70" s="110"/>
      <c r="EO70" s="110"/>
      <c r="EP70" s="110"/>
      <c r="EQ70" s="110"/>
      <c r="ER70" s="110"/>
      <c r="ES70" s="110"/>
      <c r="ET70" s="110"/>
      <c r="EU70" s="110"/>
      <c r="EV70" s="110"/>
      <c r="EW70" s="110"/>
      <c r="EX70" s="110"/>
      <c r="EY70" s="110"/>
      <c r="EZ70" s="110"/>
      <c r="FA70" s="110"/>
      <c r="FB70" s="110"/>
      <c r="FC70" s="110"/>
      <c r="FD70" s="110"/>
      <c r="FE70" s="110"/>
      <c r="FF70" s="110"/>
      <c r="FG70" s="110"/>
      <c r="FH70" s="110"/>
      <c r="FI70" s="110"/>
      <c r="FJ70" s="110"/>
      <c r="FK70" s="110"/>
      <c r="FL70" s="110"/>
      <c r="FM70" s="110"/>
      <c r="FN70" s="110"/>
      <c r="FO70" s="110"/>
      <c r="FP70" s="110"/>
      <c r="FQ70" s="110"/>
      <c r="FR70" s="110"/>
      <c r="FS70" s="110"/>
      <c r="FT70" s="110"/>
      <c r="FU70" s="110"/>
      <c r="FV70" s="110"/>
      <c r="FW70" s="110"/>
      <c r="FX70" s="110"/>
      <c r="FY70" s="110"/>
      <c r="FZ70" s="110"/>
      <c r="GA70" s="110"/>
      <c r="GB70" s="110"/>
      <c r="GC70" s="110"/>
      <c r="GD70" s="110"/>
      <c r="GE70" s="110"/>
      <c r="GF70" s="110"/>
      <c r="GG70" s="110"/>
      <c r="GH70" s="110"/>
      <c r="GI70" s="110"/>
      <c r="GJ70" s="110"/>
      <c r="GK70" s="110"/>
      <c r="GL70" s="110"/>
      <c r="GM70" s="110"/>
      <c r="GN70" s="110"/>
      <c r="GO70" s="110"/>
      <c r="GP70" s="110"/>
      <c r="GQ70" s="110"/>
      <c r="GR70" s="110"/>
      <c r="GS70" s="110"/>
      <c r="GT70" s="110"/>
      <c r="GU70" s="110"/>
      <c r="GV70" s="110"/>
      <c r="GW70" s="110"/>
      <c r="GX70" s="110"/>
      <c r="GY70" s="110"/>
      <c r="GZ70" s="110"/>
      <c r="HA70" s="110"/>
      <c r="HB70" s="110"/>
      <c r="HC70" s="110"/>
      <c r="HD70" s="110"/>
      <c r="HE70" s="110"/>
      <c r="HF70" s="110"/>
      <c r="HG70" s="110"/>
      <c r="HH70" s="110"/>
      <c r="HI70" s="110"/>
      <c r="HJ70" s="110"/>
      <c r="HK70" s="110"/>
      <c r="HL70" s="110"/>
      <c r="HM70" s="110"/>
      <c r="HN70" s="110"/>
      <c r="HO70" s="110"/>
      <c r="HP70" s="110"/>
      <c r="HQ70" s="110"/>
      <c r="HR70" s="110"/>
      <c r="HS70" s="110"/>
      <c r="HT70" s="110"/>
      <c r="HU70" s="110"/>
      <c r="HV70" s="110"/>
      <c r="HW70" s="110"/>
      <c r="HX70" s="110"/>
      <c r="HY70" s="110"/>
      <c r="HZ70" s="110"/>
      <c r="IA70" s="110"/>
      <c r="IB70" s="110"/>
      <c r="IC70" s="110"/>
      <c r="ID70" s="110"/>
      <c r="IE70" s="110"/>
      <c r="IF70" s="110"/>
      <c r="IG70" s="110"/>
      <c r="IH70" s="110"/>
      <c r="II70" s="110"/>
      <c r="IJ70" s="110"/>
      <c r="IK70" s="110"/>
      <c r="IL70" s="110"/>
      <c r="IM70" s="110"/>
      <c r="IN70" s="110"/>
      <c r="IO70" s="110"/>
      <c r="IP70" s="110"/>
      <c r="IQ70" s="110"/>
      <c r="IR70" s="110"/>
      <c r="IS70" s="110"/>
      <c r="IT70" s="110"/>
      <c r="IU70" s="110"/>
      <c r="IV70" s="110"/>
      <c r="IW70" s="110"/>
    </row>
    <row r="71" spans="1:257" x14ac:dyDescent="0.3">
      <c r="A71" s="156"/>
      <c r="B71" s="156"/>
      <c r="C71" s="156"/>
      <c r="D71" s="156"/>
      <c r="E71" s="156"/>
      <c r="F71" s="156"/>
      <c r="G71" s="156"/>
      <c r="H71" s="156"/>
      <c r="I71" s="156"/>
      <c r="J71" s="156"/>
      <c r="K71" s="156"/>
      <c r="L71" s="156"/>
      <c r="M71" s="156"/>
      <c r="N71" s="156"/>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c r="BY71" s="110"/>
      <c r="BZ71" s="110"/>
      <c r="CA71" s="110"/>
      <c r="CB71" s="110"/>
      <c r="CC71" s="110"/>
      <c r="CD71" s="110"/>
      <c r="CE71" s="110"/>
      <c r="CF71" s="110"/>
      <c r="CG71" s="110"/>
      <c r="CH71" s="110"/>
      <c r="CI71" s="110"/>
      <c r="CJ71" s="110"/>
      <c r="CK71" s="110"/>
      <c r="CL71" s="110"/>
      <c r="CM71" s="110"/>
      <c r="CN71" s="110"/>
      <c r="CO71" s="110"/>
      <c r="CP71" s="110"/>
      <c r="CQ71" s="110"/>
      <c r="CR71" s="110"/>
      <c r="CS71" s="110"/>
      <c r="CT71" s="110"/>
      <c r="CU71" s="110"/>
      <c r="CV71" s="110"/>
      <c r="CW71" s="110"/>
      <c r="CX71" s="110"/>
      <c r="CY71" s="110"/>
      <c r="CZ71" s="110"/>
      <c r="DA71" s="110"/>
      <c r="DB71" s="110"/>
      <c r="DC71" s="110"/>
      <c r="DD71" s="110"/>
      <c r="DE71" s="110"/>
      <c r="DF71" s="110"/>
      <c r="DG71" s="110"/>
      <c r="DH71" s="110"/>
      <c r="DI71" s="110"/>
      <c r="DJ71" s="110"/>
      <c r="DK71" s="110"/>
      <c r="DL71" s="110"/>
      <c r="DM71" s="110"/>
      <c r="DN71" s="110"/>
      <c r="DO71" s="110"/>
      <c r="DP71" s="110"/>
      <c r="DQ71" s="110"/>
      <c r="DR71" s="110"/>
      <c r="DS71" s="110"/>
      <c r="DT71" s="110"/>
      <c r="DU71" s="110"/>
      <c r="DV71" s="110"/>
      <c r="DW71" s="110"/>
      <c r="DX71" s="110"/>
      <c r="DY71" s="110"/>
      <c r="DZ71" s="110"/>
      <c r="EA71" s="110"/>
      <c r="EB71" s="110"/>
      <c r="EC71" s="110"/>
      <c r="ED71" s="110"/>
      <c r="EE71" s="110"/>
      <c r="EF71" s="110"/>
      <c r="EG71" s="110"/>
      <c r="EH71" s="110"/>
      <c r="EI71" s="110"/>
      <c r="EJ71" s="110"/>
      <c r="EK71" s="110"/>
      <c r="EL71" s="110"/>
      <c r="EM71" s="110"/>
      <c r="EN71" s="110"/>
      <c r="EO71" s="110"/>
      <c r="EP71" s="110"/>
      <c r="EQ71" s="110"/>
      <c r="ER71" s="110"/>
      <c r="ES71" s="110"/>
      <c r="ET71" s="110"/>
      <c r="EU71" s="110"/>
      <c r="EV71" s="110"/>
      <c r="EW71" s="110"/>
      <c r="EX71" s="110"/>
      <c r="EY71" s="110"/>
      <c r="EZ71" s="110"/>
      <c r="FA71" s="110"/>
      <c r="FB71" s="110"/>
      <c r="FC71" s="110"/>
      <c r="FD71" s="110"/>
      <c r="FE71" s="110"/>
      <c r="FF71" s="110"/>
      <c r="FG71" s="110"/>
      <c r="FH71" s="110"/>
      <c r="FI71" s="110"/>
      <c r="FJ71" s="110"/>
      <c r="FK71" s="110"/>
      <c r="FL71" s="110"/>
      <c r="FM71" s="110"/>
      <c r="FN71" s="110"/>
      <c r="FO71" s="110"/>
      <c r="FP71" s="110"/>
      <c r="FQ71" s="110"/>
      <c r="FR71" s="110"/>
      <c r="FS71" s="110"/>
      <c r="FT71" s="110"/>
      <c r="FU71" s="110"/>
      <c r="FV71" s="110"/>
      <c r="FW71" s="110"/>
      <c r="FX71" s="110"/>
      <c r="FY71" s="110"/>
      <c r="FZ71" s="110"/>
      <c r="GA71" s="110"/>
      <c r="GB71" s="110"/>
      <c r="GC71" s="110"/>
      <c r="GD71" s="110"/>
      <c r="GE71" s="110"/>
      <c r="GF71" s="110"/>
      <c r="GG71" s="110"/>
      <c r="GH71" s="110"/>
      <c r="GI71" s="110"/>
      <c r="GJ71" s="110"/>
      <c r="GK71" s="110"/>
      <c r="GL71" s="110"/>
      <c r="GM71" s="110"/>
      <c r="GN71" s="110"/>
      <c r="GO71" s="110"/>
      <c r="GP71" s="110"/>
      <c r="GQ71" s="110"/>
      <c r="GR71" s="110"/>
      <c r="GS71" s="110"/>
      <c r="GT71" s="110"/>
      <c r="GU71" s="110"/>
      <c r="GV71" s="110"/>
      <c r="GW71" s="110"/>
      <c r="GX71" s="110"/>
      <c r="GY71" s="110"/>
      <c r="GZ71" s="110"/>
      <c r="HA71" s="110"/>
      <c r="HB71" s="110"/>
      <c r="HC71" s="110"/>
      <c r="HD71" s="110"/>
      <c r="HE71" s="110"/>
      <c r="HF71" s="110"/>
      <c r="HG71" s="110"/>
      <c r="HH71" s="110"/>
      <c r="HI71" s="110"/>
      <c r="HJ71" s="110"/>
      <c r="HK71" s="110"/>
      <c r="HL71" s="110"/>
      <c r="HM71" s="110"/>
      <c r="HN71" s="110"/>
      <c r="HO71" s="110"/>
      <c r="HP71" s="110"/>
      <c r="HQ71" s="110"/>
      <c r="HR71" s="110"/>
      <c r="HS71" s="110"/>
      <c r="HT71" s="110"/>
      <c r="HU71" s="110"/>
      <c r="HV71" s="110"/>
      <c r="HW71" s="110"/>
      <c r="HX71" s="110"/>
      <c r="HY71" s="110"/>
      <c r="HZ71" s="110"/>
      <c r="IA71" s="110"/>
      <c r="IB71" s="110"/>
      <c r="IC71" s="110"/>
      <c r="ID71" s="110"/>
      <c r="IE71" s="110"/>
      <c r="IF71" s="110"/>
      <c r="IG71" s="110"/>
      <c r="IH71" s="110"/>
      <c r="II71" s="110"/>
      <c r="IJ71" s="110"/>
      <c r="IK71" s="110"/>
      <c r="IL71" s="110"/>
      <c r="IM71" s="110"/>
      <c r="IN71" s="110"/>
      <c r="IO71" s="110"/>
      <c r="IP71" s="110"/>
      <c r="IQ71" s="110"/>
      <c r="IR71" s="110"/>
      <c r="IS71" s="110"/>
      <c r="IT71" s="110"/>
      <c r="IU71" s="110"/>
      <c r="IV71" s="110"/>
      <c r="IW71" s="110"/>
    </row>
    <row r="72" spans="1:257" x14ac:dyDescent="0.3">
      <c r="A72" s="156"/>
      <c r="B72" s="156"/>
      <c r="C72" s="156"/>
      <c r="D72" s="156"/>
      <c r="E72" s="156"/>
      <c r="F72" s="156"/>
      <c r="G72" s="156"/>
      <c r="H72" s="156"/>
      <c r="I72" s="156"/>
      <c r="J72" s="156"/>
      <c r="K72" s="156"/>
      <c r="L72" s="156"/>
      <c r="M72" s="156"/>
      <c r="N72" s="156"/>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c r="BY72" s="110"/>
      <c r="BZ72" s="110"/>
      <c r="CA72" s="110"/>
      <c r="CB72" s="110"/>
      <c r="CC72" s="110"/>
      <c r="CD72" s="110"/>
      <c r="CE72" s="110"/>
      <c r="CF72" s="110"/>
      <c r="CG72" s="110"/>
      <c r="CH72" s="110"/>
      <c r="CI72" s="110"/>
      <c r="CJ72" s="110"/>
      <c r="CK72" s="110"/>
      <c r="CL72" s="110"/>
      <c r="CM72" s="110"/>
      <c r="CN72" s="110"/>
      <c r="CO72" s="110"/>
      <c r="CP72" s="110"/>
      <c r="CQ72" s="110"/>
      <c r="CR72" s="110"/>
      <c r="CS72" s="110"/>
      <c r="CT72" s="110"/>
      <c r="CU72" s="110"/>
      <c r="CV72" s="110"/>
      <c r="CW72" s="110"/>
      <c r="CX72" s="110"/>
      <c r="CY72" s="110"/>
      <c r="CZ72" s="110"/>
      <c r="DA72" s="110"/>
      <c r="DB72" s="110"/>
      <c r="DC72" s="110"/>
      <c r="DD72" s="110"/>
      <c r="DE72" s="110"/>
      <c r="DF72" s="110"/>
      <c r="DG72" s="110"/>
      <c r="DH72" s="110"/>
      <c r="DI72" s="110"/>
      <c r="DJ72" s="110"/>
      <c r="DK72" s="110"/>
      <c r="DL72" s="110"/>
      <c r="DM72" s="110"/>
      <c r="DN72" s="110"/>
      <c r="DO72" s="110"/>
      <c r="DP72" s="110"/>
      <c r="DQ72" s="110"/>
      <c r="DR72" s="110"/>
      <c r="DS72" s="110"/>
      <c r="DT72" s="110"/>
      <c r="DU72" s="110"/>
      <c r="DV72" s="110"/>
      <c r="DW72" s="110"/>
      <c r="DX72" s="110"/>
      <c r="DY72" s="110"/>
      <c r="DZ72" s="110"/>
      <c r="EA72" s="110"/>
      <c r="EB72" s="110"/>
      <c r="EC72" s="110"/>
      <c r="ED72" s="110"/>
      <c r="EE72" s="110"/>
      <c r="EF72" s="110"/>
      <c r="EG72" s="110"/>
      <c r="EH72" s="110"/>
      <c r="EI72" s="110"/>
      <c r="EJ72" s="110"/>
      <c r="EK72" s="110"/>
      <c r="EL72" s="110"/>
      <c r="EM72" s="110"/>
      <c r="EN72" s="110"/>
      <c r="EO72" s="110"/>
      <c r="EP72" s="110"/>
      <c r="EQ72" s="110"/>
      <c r="ER72" s="110"/>
      <c r="ES72" s="110"/>
      <c r="ET72" s="110"/>
      <c r="EU72" s="110"/>
      <c r="EV72" s="110"/>
      <c r="EW72" s="110"/>
      <c r="EX72" s="110"/>
      <c r="EY72" s="110"/>
      <c r="EZ72" s="110"/>
      <c r="FA72" s="110"/>
      <c r="FB72" s="110"/>
      <c r="FC72" s="110"/>
      <c r="FD72" s="110"/>
      <c r="FE72" s="110"/>
      <c r="FF72" s="110"/>
      <c r="FG72" s="110"/>
      <c r="FH72" s="110"/>
      <c r="FI72" s="110"/>
      <c r="FJ72" s="110"/>
      <c r="FK72" s="110"/>
      <c r="FL72" s="110"/>
      <c r="FM72" s="110"/>
      <c r="FN72" s="110"/>
      <c r="FO72" s="110"/>
      <c r="FP72" s="110"/>
      <c r="FQ72" s="110"/>
      <c r="FR72" s="110"/>
      <c r="FS72" s="110"/>
      <c r="FT72" s="110"/>
      <c r="FU72" s="110"/>
      <c r="FV72" s="110"/>
      <c r="FW72" s="110"/>
      <c r="FX72" s="110"/>
      <c r="FY72" s="110"/>
      <c r="FZ72" s="110"/>
      <c r="GA72" s="110"/>
      <c r="GB72" s="110"/>
      <c r="GC72" s="110"/>
      <c r="GD72" s="110"/>
      <c r="GE72" s="110"/>
      <c r="GF72" s="110"/>
      <c r="GG72" s="110"/>
      <c r="GH72" s="110"/>
      <c r="GI72" s="110"/>
      <c r="GJ72" s="110"/>
      <c r="GK72" s="110"/>
      <c r="GL72" s="110"/>
      <c r="GM72" s="110"/>
      <c r="GN72" s="110"/>
      <c r="GO72" s="110"/>
      <c r="GP72" s="110"/>
      <c r="GQ72" s="110"/>
      <c r="GR72" s="110"/>
      <c r="GS72" s="110"/>
      <c r="GT72" s="110"/>
      <c r="GU72" s="110"/>
      <c r="GV72" s="110"/>
      <c r="GW72" s="110"/>
      <c r="GX72" s="110"/>
      <c r="GY72" s="110"/>
      <c r="GZ72" s="110"/>
      <c r="HA72" s="110"/>
      <c r="HB72" s="110"/>
      <c r="HC72" s="110"/>
      <c r="HD72" s="110"/>
      <c r="HE72" s="110"/>
      <c r="HF72" s="110"/>
      <c r="HG72" s="110"/>
      <c r="HH72" s="110"/>
      <c r="HI72" s="110"/>
      <c r="HJ72" s="110"/>
      <c r="HK72" s="110"/>
      <c r="HL72" s="110"/>
      <c r="HM72" s="110"/>
      <c r="HN72" s="110"/>
      <c r="HO72" s="110"/>
      <c r="HP72" s="110"/>
      <c r="HQ72" s="110"/>
      <c r="HR72" s="110"/>
      <c r="HS72" s="110"/>
      <c r="HT72" s="110"/>
      <c r="HU72" s="110"/>
      <c r="HV72" s="110"/>
      <c r="HW72" s="110"/>
      <c r="HX72" s="110"/>
      <c r="HY72" s="110"/>
      <c r="HZ72" s="110"/>
      <c r="IA72" s="110"/>
      <c r="IB72" s="110"/>
      <c r="IC72" s="110"/>
      <c r="ID72" s="110"/>
      <c r="IE72" s="110"/>
      <c r="IF72" s="110"/>
      <c r="IG72" s="110"/>
      <c r="IH72" s="110"/>
      <c r="II72" s="110"/>
      <c r="IJ72" s="110"/>
      <c r="IK72" s="110"/>
      <c r="IL72" s="110"/>
      <c r="IM72" s="110"/>
      <c r="IN72" s="110"/>
      <c r="IO72" s="110"/>
      <c r="IP72" s="110"/>
      <c r="IQ72" s="110"/>
      <c r="IR72" s="110"/>
      <c r="IS72" s="110"/>
      <c r="IT72" s="110"/>
      <c r="IU72" s="110"/>
      <c r="IV72" s="110"/>
      <c r="IW72" s="110"/>
    </row>
    <row r="73" spans="1:257" x14ac:dyDescent="0.3">
      <c r="A73" s="156"/>
      <c r="B73" s="156"/>
      <c r="C73" s="156"/>
      <c r="D73" s="156"/>
      <c r="E73" s="156"/>
      <c r="F73" s="156"/>
      <c r="G73" s="156"/>
      <c r="H73" s="156"/>
      <c r="I73" s="156"/>
      <c r="J73" s="156"/>
      <c r="K73" s="156"/>
      <c r="L73" s="156"/>
      <c r="M73" s="156"/>
      <c r="N73" s="156"/>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c r="BY73" s="110"/>
      <c r="BZ73" s="110"/>
      <c r="CA73" s="110"/>
      <c r="CB73" s="110"/>
      <c r="CC73" s="110"/>
      <c r="CD73" s="110"/>
      <c r="CE73" s="110"/>
      <c r="CF73" s="110"/>
      <c r="CG73" s="110"/>
      <c r="CH73" s="110"/>
      <c r="CI73" s="110"/>
      <c r="CJ73" s="110"/>
      <c r="CK73" s="110"/>
      <c r="CL73" s="110"/>
      <c r="CM73" s="110"/>
      <c r="CN73" s="110"/>
      <c r="CO73" s="110"/>
      <c r="CP73" s="110"/>
      <c r="CQ73" s="110"/>
      <c r="CR73" s="110"/>
      <c r="CS73" s="110"/>
      <c r="CT73" s="110"/>
      <c r="CU73" s="110"/>
      <c r="CV73" s="110"/>
      <c r="CW73" s="110"/>
      <c r="CX73" s="110"/>
      <c r="CY73" s="110"/>
      <c r="CZ73" s="110"/>
      <c r="DA73" s="110"/>
      <c r="DB73" s="110"/>
      <c r="DC73" s="110"/>
      <c r="DD73" s="110"/>
      <c r="DE73" s="110"/>
      <c r="DF73" s="110"/>
      <c r="DG73" s="110"/>
      <c r="DH73" s="110"/>
      <c r="DI73" s="110"/>
      <c r="DJ73" s="110"/>
      <c r="DK73" s="110"/>
      <c r="DL73" s="110"/>
      <c r="DM73" s="110"/>
      <c r="DN73" s="110"/>
      <c r="DO73" s="110"/>
      <c r="DP73" s="110"/>
      <c r="DQ73" s="110"/>
      <c r="DR73" s="110"/>
      <c r="DS73" s="110"/>
      <c r="DT73" s="110"/>
      <c r="DU73" s="110"/>
      <c r="DV73" s="110"/>
      <c r="DW73" s="110"/>
      <c r="DX73" s="110"/>
      <c r="DY73" s="110"/>
      <c r="DZ73" s="110"/>
      <c r="EA73" s="110"/>
      <c r="EB73" s="110"/>
      <c r="EC73" s="110"/>
      <c r="ED73" s="110"/>
      <c r="EE73" s="110"/>
      <c r="EF73" s="110"/>
      <c r="EG73" s="110"/>
      <c r="EH73" s="110"/>
      <c r="EI73" s="110"/>
      <c r="EJ73" s="110"/>
      <c r="EK73" s="110"/>
      <c r="EL73" s="110"/>
      <c r="EM73" s="110"/>
      <c r="EN73" s="110"/>
      <c r="EO73" s="110"/>
      <c r="EP73" s="110"/>
      <c r="EQ73" s="110"/>
      <c r="ER73" s="110"/>
      <c r="ES73" s="110"/>
      <c r="ET73" s="110"/>
      <c r="EU73" s="110"/>
      <c r="EV73" s="110"/>
      <c r="EW73" s="110"/>
      <c r="EX73" s="110"/>
      <c r="EY73" s="110"/>
      <c r="EZ73" s="110"/>
      <c r="FA73" s="110"/>
      <c r="FB73" s="110"/>
      <c r="FC73" s="110"/>
      <c r="FD73" s="110"/>
      <c r="FE73" s="110"/>
      <c r="FF73" s="110"/>
      <c r="FG73" s="110"/>
      <c r="FH73" s="110"/>
      <c r="FI73" s="110"/>
      <c r="FJ73" s="110"/>
      <c r="FK73" s="110"/>
      <c r="FL73" s="110"/>
      <c r="FM73" s="110"/>
      <c r="FN73" s="110"/>
      <c r="FO73" s="110"/>
      <c r="FP73" s="110"/>
      <c r="FQ73" s="110"/>
      <c r="FR73" s="110"/>
      <c r="FS73" s="110"/>
      <c r="FT73" s="110"/>
      <c r="FU73" s="110"/>
      <c r="FV73" s="110"/>
      <c r="FW73" s="110"/>
      <c r="FX73" s="110"/>
      <c r="FY73" s="110"/>
      <c r="FZ73" s="110"/>
      <c r="GA73" s="110"/>
      <c r="GB73" s="110"/>
      <c r="GC73" s="110"/>
      <c r="GD73" s="110"/>
      <c r="GE73" s="110"/>
      <c r="GF73" s="110"/>
      <c r="GG73" s="110"/>
      <c r="GH73" s="110"/>
      <c r="GI73" s="110"/>
      <c r="GJ73" s="110"/>
      <c r="GK73" s="110"/>
      <c r="GL73" s="110"/>
      <c r="GM73" s="110"/>
      <c r="GN73" s="110"/>
      <c r="GO73" s="110"/>
      <c r="GP73" s="110"/>
      <c r="GQ73" s="110"/>
      <c r="GR73" s="110"/>
      <c r="GS73" s="110"/>
      <c r="GT73" s="110"/>
      <c r="GU73" s="110"/>
      <c r="GV73" s="110"/>
      <c r="GW73" s="110"/>
      <c r="GX73" s="110"/>
      <c r="GY73" s="110"/>
      <c r="GZ73" s="110"/>
      <c r="HA73" s="110"/>
      <c r="HB73" s="110"/>
      <c r="HC73" s="110"/>
      <c r="HD73" s="110"/>
      <c r="HE73" s="110"/>
      <c r="HF73" s="110"/>
      <c r="HG73" s="110"/>
      <c r="HH73" s="110"/>
      <c r="HI73" s="110"/>
      <c r="HJ73" s="110"/>
      <c r="HK73" s="110"/>
      <c r="HL73" s="110"/>
      <c r="HM73" s="110"/>
      <c r="HN73" s="110"/>
      <c r="HO73" s="110"/>
      <c r="HP73" s="110"/>
      <c r="HQ73" s="110"/>
      <c r="HR73" s="110"/>
      <c r="HS73" s="110"/>
      <c r="HT73" s="110"/>
      <c r="HU73" s="110"/>
      <c r="HV73" s="110"/>
      <c r="HW73" s="110"/>
      <c r="HX73" s="110"/>
      <c r="HY73" s="110"/>
      <c r="HZ73" s="110"/>
      <c r="IA73" s="110"/>
      <c r="IB73" s="110"/>
      <c r="IC73" s="110"/>
      <c r="ID73" s="110"/>
      <c r="IE73" s="110"/>
      <c r="IF73" s="110"/>
      <c r="IG73" s="110"/>
      <c r="IH73" s="110"/>
      <c r="II73" s="110"/>
      <c r="IJ73" s="110"/>
      <c r="IK73" s="110"/>
      <c r="IL73" s="110"/>
      <c r="IM73" s="110"/>
      <c r="IN73" s="110"/>
      <c r="IO73" s="110"/>
      <c r="IP73" s="110"/>
      <c r="IQ73" s="110"/>
      <c r="IR73" s="110"/>
      <c r="IS73" s="110"/>
      <c r="IT73" s="110"/>
      <c r="IU73" s="110"/>
      <c r="IV73" s="110"/>
      <c r="IW73" s="110"/>
    </row>
    <row r="74" spans="1:257" x14ac:dyDescent="0.3">
      <c r="A74" s="156"/>
      <c r="B74" s="156"/>
      <c r="C74" s="156"/>
      <c r="D74" s="156"/>
      <c r="E74" s="156"/>
      <c r="F74" s="156"/>
      <c r="G74" s="156"/>
      <c r="H74" s="156"/>
      <c r="I74" s="156"/>
      <c r="J74" s="156"/>
      <c r="K74" s="156"/>
      <c r="L74" s="156"/>
      <c r="M74" s="156"/>
      <c r="N74" s="156"/>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c r="BY74" s="110"/>
      <c r="BZ74" s="110"/>
      <c r="CA74" s="110"/>
      <c r="CB74" s="110"/>
      <c r="CC74" s="110"/>
      <c r="CD74" s="110"/>
      <c r="CE74" s="110"/>
      <c r="CF74" s="110"/>
      <c r="CG74" s="110"/>
      <c r="CH74" s="110"/>
      <c r="CI74" s="110"/>
      <c r="CJ74" s="110"/>
      <c r="CK74" s="110"/>
      <c r="CL74" s="110"/>
      <c r="CM74" s="110"/>
      <c r="CN74" s="110"/>
      <c r="CO74" s="110"/>
      <c r="CP74" s="110"/>
      <c r="CQ74" s="110"/>
      <c r="CR74" s="110"/>
      <c r="CS74" s="110"/>
      <c r="CT74" s="110"/>
      <c r="CU74" s="110"/>
      <c r="CV74" s="110"/>
      <c r="CW74" s="110"/>
      <c r="CX74" s="110"/>
      <c r="CY74" s="110"/>
      <c r="CZ74" s="110"/>
      <c r="DA74" s="110"/>
      <c r="DB74" s="110"/>
      <c r="DC74" s="110"/>
      <c r="DD74" s="110"/>
      <c r="DE74" s="110"/>
      <c r="DF74" s="110"/>
      <c r="DG74" s="110"/>
      <c r="DH74" s="110"/>
      <c r="DI74" s="110"/>
      <c r="DJ74" s="110"/>
      <c r="DK74" s="110"/>
      <c r="DL74" s="110"/>
      <c r="DM74" s="110"/>
      <c r="DN74" s="110"/>
      <c r="DO74" s="110"/>
      <c r="DP74" s="110"/>
      <c r="DQ74" s="110"/>
      <c r="DR74" s="110"/>
      <c r="DS74" s="110"/>
      <c r="DT74" s="110"/>
      <c r="DU74" s="110"/>
      <c r="DV74" s="110"/>
      <c r="DW74" s="110"/>
      <c r="DX74" s="110"/>
      <c r="DY74" s="110"/>
      <c r="DZ74" s="110"/>
      <c r="EA74" s="110"/>
      <c r="EB74" s="110"/>
      <c r="EC74" s="110"/>
      <c r="ED74" s="110"/>
      <c r="EE74" s="110"/>
      <c r="EF74" s="110"/>
      <c r="EG74" s="110"/>
      <c r="EH74" s="110"/>
      <c r="EI74" s="110"/>
      <c r="EJ74" s="110"/>
      <c r="EK74" s="110"/>
      <c r="EL74" s="110"/>
      <c r="EM74" s="110"/>
      <c r="EN74" s="110"/>
      <c r="EO74" s="110"/>
      <c r="EP74" s="110"/>
      <c r="EQ74" s="110"/>
      <c r="ER74" s="110"/>
      <c r="ES74" s="110"/>
      <c r="ET74" s="110"/>
      <c r="EU74" s="110"/>
      <c r="EV74" s="110"/>
      <c r="EW74" s="110"/>
      <c r="EX74" s="110"/>
      <c r="EY74" s="110"/>
      <c r="EZ74" s="110"/>
      <c r="FA74" s="110"/>
      <c r="FB74" s="110"/>
      <c r="FC74" s="110"/>
      <c r="FD74" s="110"/>
      <c r="FE74" s="110"/>
      <c r="FF74" s="110"/>
      <c r="FG74" s="110"/>
      <c r="FH74" s="110"/>
      <c r="FI74" s="110"/>
      <c r="FJ74" s="110"/>
      <c r="FK74" s="110"/>
      <c r="FL74" s="110"/>
      <c r="FM74" s="110"/>
      <c r="FN74" s="110"/>
      <c r="FO74" s="110"/>
      <c r="FP74" s="110"/>
      <c r="FQ74" s="110"/>
      <c r="FR74" s="110"/>
      <c r="FS74" s="110"/>
      <c r="FT74" s="110"/>
      <c r="FU74" s="110"/>
      <c r="FV74" s="110"/>
      <c r="FW74" s="110"/>
      <c r="FX74" s="110"/>
      <c r="FY74" s="110"/>
      <c r="FZ74" s="110"/>
      <c r="GA74" s="110"/>
      <c r="GB74" s="110"/>
      <c r="GC74" s="110"/>
      <c r="GD74" s="110"/>
      <c r="GE74" s="110"/>
      <c r="GF74" s="110"/>
      <c r="GG74" s="110"/>
      <c r="GH74" s="110"/>
      <c r="GI74" s="110"/>
      <c r="GJ74" s="110"/>
      <c r="GK74" s="110"/>
      <c r="GL74" s="110"/>
      <c r="GM74" s="110"/>
      <c r="GN74" s="110"/>
      <c r="GO74" s="110"/>
      <c r="GP74" s="110"/>
      <c r="GQ74" s="110"/>
      <c r="GR74" s="110"/>
      <c r="GS74" s="110"/>
      <c r="GT74" s="110"/>
      <c r="GU74" s="110"/>
      <c r="GV74" s="110"/>
      <c r="GW74" s="110"/>
      <c r="GX74" s="110"/>
      <c r="GY74" s="110"/>
      <c r="GZ74" s="110"/>
      <c r="HA74" s="110"/>
      <c r="HB74" s="110"/>
      <c r="HC74" s="110"/>
      <c r="HD74" s="110"/>
      <c r="HE74" s="110"/>
      <c r="HF74" s="110"/>
      <c r="HG74" s="110"/>
      <c r="HH74" s="110"/>
      <c r="HI74" s="110"/>
      <c r="HJ74" s="110"/>
      <c r="HK74" s="110"/>
      <c r="HL74" s="110"/>
      <c r="HM74" s="110"/>
      <c r="HN74" s="110"/>
      <c r="HO74" s="110"/>
      <c r="HP74" s="110"/>
      <c r="HQ74" s="110"/>
      <c r="HR74" s="110"/>
      <c r="HS74" s="110"/>
      <c r="HT74" s="110"/>
      <c r="HU74" s="110"/>
      <c r="HV74" s="110"/>
      <c r="HW74" s="110"/>
      <c r="HX74" s="110"/>
      <c r="HY74" s="110"/>
      <c r="HZ74" s="110"/>
      <c r="IA74" s="110"/>
      <c r="IB74" s="110"/>
      <c r="IC74" s="110"/>
      <c r="ID74" s="110"/>
      <c r="IE74" s="110"/>
      <c r="IF74" s="110"/>
      <c r="IG74" s="110"/>
      <c r="IH74" s="110"/>
      <c r="II74" s="110"/>
      <c r="IJ74" s="110"/>
      <c r="IK74" s="110"/>
      <c r="IL74" s="110"/>
      <c r="IM74" s="110"/>
      <c r="IN74" s="110"/>
      <c r="IO74" s="110"/>
      <c r="IP74" s="110"/>
      <c r="IQ74" s="110"/>
      <c r="IR74" s="110"/>
      <c r="IS74" s="110"/>
      <c r="IT74" s="110"/>
      <c r="IU74" s="110"/>
      <c r="IV74" s="110"/>
      <c r="IW74" s="110"/>
    </row>
    <row r="75" spans="1:257" x14ac:dyDescent="0.3">
      <c r="A75" s="156"/>
      <c r="B75" s="156"/>
      <c r="C75" s="156"/>
      <c r="D75" s="156"/>
      <c r="E75" s="156"/>
      <c r="F75" s="156"/>
      <c r="G75" s="156"/>
      <c r="H75" s="156"/>
      <c r="I75" s="156"/>
      <c r="J75" s="156"/>
      <c r="K75" s="156"/>
      <c r="L75" s="156"/>
      <c r="M75" s="156"/>
      <c r="N75" s="156"/>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c r="BY75" s="110"/>
      <c r="BZ75" s="110"/>
      <c r="CA75" s="110"/>
      <c r="CB75" s="110"/>
      <c r="CC75" s="110"/>
      <c r="CD75" s="110"/>
      <c r="CE75" s="110"/>
      <c r="CF75" s="110"/>
      <c r="CG75" s="110"/>
      <c r="CH75" s="110"/>
      <c r="CI75" s="110"/>
      <c r="CJ75" s="110"/>
      <c r="CK75" s="110"/>
      <c r="CL75" s="110"/>
      <c r="CM75" s="110"/>
      <c r="CN75" s="110"/>
      <c r="CO75" s="110"/>
      <c r="CP75" s="110"/>
      <c r="CQ75" s="110"/>
      <c r="CR75" s="110"/>
      <c r="CS75" s="110"/>
      <c r="CT75" s="110"/>
      <c r="CU75" s="110"/>
      <c r="CV75" s="110"/>
      <c r="CW75" s="110"/>
      <c r="CX75" s="110"/>
      <c r="CY75" s="110"/>
      <c r="CZ75" s="110"/>
      <c r="DA75" s="110"/>
      <c r="DB75" s="110"/>
      <c r="DC75" s="110"/>
      <c r="DD75" s="110"/>
      <c r="DE75" s="110"/>
      <c r="DF75" s="110"/>
      <c r="DG75" s="110"/>
      <c r="DH75" s="110"/>
      <c r="DI75" s="110"/>
      <c r="DJ75" s="110"/>
      <c r="DK75" s="110"/>
      <c r="DL75" s="110"/>
      <c r="DM75" s="110"/>
      <c r="DN75" s="110"/>
      <c r="DO75" s="110"/>
      <c r="DP75" s="110"/>
      <c r="DQ75" s="110"/>
      <c r="DR75" s="110"/>
      <c r="DS75" s="110"/>
      <c r="DT75" s="110"/>
      <c r="DU75" s="110"/>
      <c r="DV75" s="110"/>
      <c r="DW75" s="110"/>
      <c r="DX75" s="110"/>
      <c r="DY75" s="110"/>
      <c r="DZ75" s="110"/>
      <c r="EA75" s="110"/>
      <c r="EB75" s="110"/>
      <c r="EC75" s="110"/>
      <c r="ED75" s="110"/>
      <c r="EE75" s="110"/>
      <c r="EF75" s="110"/>
      <c r="EG75" s="110"/>
      <c r="EH75" s="110"/>
      <c r="EI75" s="110"/>
      <c r="EJ75" s="110"/>
      <c r="EK75" s="110"/>
      <c r="EL75" s="110"/>
      <c r="EM75" s="110"/>
      <c r="EN75" s="110"/>
      <c r="EO75" s="110"/>
      <c r="EP75" s="110"/>
      <c r="EQ75" s="110"/>
      <c r="ER75" s="110"/>
      <c r="ES75" s="110"/>
      <c r="ET75" s="110"/>
      <c r="EU75" s="110"/>
      <c r="EV75" s="110"/>
      <c r="EW75" s="110"/>
      <c r="EX75" s="110"/>
      <c r="EY75" s="110"/>
      <c r="EZ75" s="110"/>
      <c r="FA75" s="110"/>
      <c r="FB75" s="110"/>
      <c r="FC75" s="110"/>
      <c r="FD75" s="110"/>
      <c r="FE75" s="110"/>
      <c r="FF75" s="110"/>
      <c r="FG75" s="110"/>
      <c r="FH75" s="110"/>
      <c r="FI75" s="110"/>
      <c r="FJ75" s="110"/>
      <c r="FK75" s="110"/>
      <c r="FL75" s="110"/>
      <c r="FM75" s="110"/>
      <c r="FN75" s="110"/>
      <c r="FO75" s="110"/>
      <c r="FP75" s="110"/>
      <c r="FQ75" s="110"/>
      <c r="FR75" s="110"/>
      <c r="FS75" s="110"/>
      <c r="FT75" s="110"/>
      <c r="FU75" s="110"/>
      <c r="FV75" s="110"/>
      <c r="FW75" s="110"/>
      <c r="FX75" s="110"/>
      <c r="FY75" s="110"/>
      <c r="FZ75" s="110"/>
      <c r="GA75" s="110"/>
      <c r="GB75" s="110"/>
      <c r="GC75" s="110"/>
      <c r="GD75" s="110"/>
      <c r="GE75" s="110"/>
      <c r="GF75" s="110"/>
      <c r="GG75" s="110"/>
      <c r="GH75" s="110"/>
      <c r="GI75" s="110"/>
      <c r="GJ75" s="110"/>
      <c r="GK75" s="110"/>
      <c r="GL75" s="110"/>
      <c r="GM75" s="110"/>
      <c r="GN75" s="110"/>
      <c r="GO75" s="110"/>
      <c r="GP75" s="110"/>
      <c r="GQ75" s="110"/>
      <c r="GR75" s="110"/>
      <c r="GS75" s="110"/>
      <c r="GT75" s="110"/>
      <c r="GU75" s="110"/>
      <c r="GV75" s="110"/>
      <c r="GW75" s="110"/>
      <c r="GX75" s="110"/>
      <c r="GY75" s="110"/>
      <c r="GZ75" s="110"/>
      <c r="HA75" s="110"/>
      <c r="HB75" s="110"/>
      <c r="HC75" s="110"/>
      <c r="HD75" s="110"/>
      <c r="HE75" s="110"/>
      <c r="HF75" s="110"/>
      <c r="HG75" s="110"/>
      <c r="HH75" s="110"/>
      <c r="HI75" s="110"/>
      <c r="HJ75" s="110"/>
      <c r="HK75" s="110"/>
      <c r="HL75" s="110"/>
      <c r="HM75" s="110"/>
      <c r="HN75" s="110"/>
      <c r="HO75" s="110"/>
      <c r="HP75" s="110"/>
      <c r="HQ75" s="110"/>
      <c r="HR75" s="110"/>
      <c r="HS75" s="110"/>
      <c r="HT75" s="110"/>
      <c r="HU75" s="110"/>
      <c r="HV75" s="110"/>
      <c r="HW75" s="110"/>
      <c r="HX75" s="110"/>
      <c r="HY75" s="110"/>
      <c r="HZ75" s="110"/>
      <c r="IA75" s="110"/>
      <c r="IB75" s="110"/>
      <c r="IC75" s="110"/>
      <c r="ID75" s="110"/>
      <c r="IE75" s="110"/>
      <c r="IF75" s="110"/>
      <c r="IG75" s="110"/>
      <c r="IH75" s="110"/>
      <c r="II75" s="110"/>
      <c r="IJ75" s="110"/>
      <c r="IK75" s="110"/>
      <c r="IL75" s="110"/>
      <c r="IM75" s="110"/>
      <c r="IN75" s="110"/>
      <c r="IO75" s="110"/>
      <c r="IP75" s="110"/>
      <c r="IQ75" s="110"/>
      <c r="IR75" s="110"/>
      <c r="IS75" s="110"/>
      <c r="IT75" s="110"/>
      <c r="IU75" s="110"/>
      <c r="IV75" s="110"/>
      <c r="IW75" s="110"/>
    </row>
    <row r="76" spans="1:257" x14ac:dyDescent="0.3">
      <c r="A76" s="156"/>
      <c r="B76" s="156"/>
      <c r="C76" s="156"/>
      <c r="D76" s="156"/>
      <c r="E76" s="156"/>
      <c r="F76" s="156"/>
      <c r="G76" s="156"/>
      <c r="H76" s="156"/>
      <c r="I76" s="156"/>
      <c r="J76" s="156"/>
      <c r="K76" s="156"/>
      <c r="L76" s="156"/>
      <c r="M76" s="156"/>
      <c r="N76" s="156"/>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c r="BY76" s="110"/>
      <c r="BZ76" s="110"/>
      <c r="CA76" s="110"/>
      <c r="CB76" s="110"/>
      <c r="CC76" s="110"/>
      <c r="CD76" s="110"/>
      <c r="CE76" s="110"/>
      <c r="CF76" s="110"/>
      <c r="CG76" s="110"/>
      <c r="CH76" s="110"/>
      <c r="CI76" s="110"/>
      <c r="CJ76" s="110"/>
      <c r="CK76" s="110"/>
      <c r="CL76" s="110"/>
      <c r="CM76" s="110"/>
      <c r="CN76" s="110"/>
      <c r="CO76" s="110"/>
      <c r="CP76" s="110"/>
      <c r="CQ76" s="110"/>
      <c r="CR76" s="110"/>
      <c r="CS76" s="110"/>
      <c r="CT76" s="110"/>
      <c r="CU76" s="110"/>
      <c r="CV76" s="110"/>
      <c r="CW76" s="110"/>
      <c r="CX76" s="110"/>
      <c r="CY76" s="110"/>
      <c r="CZ76" s="110"/>
      <c r="DA76" s="110"/>
      <c r="DB76" s="110"/>
      <c r="DC76" s="110"/>
      <c r="DD76" s="110"/>
      <c r="DE76" s="110"/>
      <c r="DF76" s="110"/>
      <c r="DG76" s="110"/>
      <c r="DH76" s="110"/>
      <c r="DI76" s="110"/>
      <c r="DJ76" s="110"/>
      <c r="DK76" s="110"/>
      <c r="DL76" s="110"/>
      <c r="DM76" s="110"/>
      <c r="DN76" s="110"/>
      <c r="DO76" s="110"/>
      <c r="DP76" s="110"/>
      <c r="DQ76" s="110"/>
      <c r="DR76" s="110"/>
      <c r="DS76" s="110"/>
      <c r="DT76" s="110"/>
      <c r="DU76" s="110"/>
      <c r="DV76" s="110"/>
      <c r="DW76" s="110"/>
      <c r="DX76" s="110"/>
      <c r="DY76" s="110"/>
      <c r="DZ76" s="110"/>
      <c r="EA76" s="110"/>
      <c r="EB76" s="110"/>
      <c r="EC76" s="110"/>
      <c r="ED76" s="110"/>
      <c r="EE76" s="110"/>
      <c r="EF76" s="110"/>
      <c r="EG76" s="110"/>
      <c r="EH76" s="110"/>
      <c r="EI76" s="110"/>
      <c r="EJ76" s="110"/>
      <c r="EK76" s="110"/>
      <c r="EL76" s="110"/>
      <c r="EM76" s="110"/>
      <c r="EN76" s="110"/>
      <c r="EO76" s="110"/>
      <c r="EP76" s="110"/>
      <c r="EQ76" s="110"/>
      <c r="ER76" s="110"/>
      <c r="ES76" s="110"/>
      <c r="ET76" s="110"/>
      <c r="EU76" s="110"/>
      <c r="EV76" s="110"/>
      <c r="EW76" s="110"/>
      <c r="EX76" s="110"/>
      <c r="EY76" s="110"/>
      <c r="EZ76" s="110"/>
      <c r="FA76" s="110"/>
      <c r="FB76" s="110"/>
      <c r="FC76" s="110"/>
      <c r="FD76" s="110"/>
      <c r="FE76" s="110"/>
      <c r="FF76" s="110"/>
      <c r="FG76" s="110"/>
      <c r="FH76" s="110"/>
      <c r="FI76" s="110"/>
      <c r="FJ76" s="110"/>
      <c r="FK76" s="110"/>
      <c r="FL76" s="110"/>
      <c r="FM76" s="110"/>
      <c r="FN76" s="110"/>
      <c r="FO76" s="110"/>
      <c r="FP76" s="110"/>
      <c r="FQ76" s="110"/>
      <c r="FR76" s="110"/>
      <c r="FS76" s="110"/>
      <c r="FT76" s="110"/>
      <c r="FU76" s="110"/>
      <c r="FV76" s="110"/>
      <c r="FW76" s="110"/>
      <c r="FX76" s="110"/>
      <c r="FY76" s="110"/>
      <c r="FZ76" s="110"/>
      <c r="GA76" s="110"/>
      <c r="GB76" s="110"/>
      <c r="GC76" s="110"/>
      <c r="GD76" s="110"/>
      <c r="GE76" s="110"/>
      <c r="GF76" s="110"/>
      <c r="GG76" s="110"/>
      <c r="GH76" s="110"/>
      <c r="GI76" s="110"/>
      <c r="GJ76" s="110"/>
      <c r="GK76" s="110"/>
      <c r="GL76" s="110"/>
      <c r="GM76" s="110"/>
      <c r="GN76" s="110"/>
      <c r="GO76" s="110"/>
      <c r="GP76" s="110"/>
      <c r="GQ76" s="110"/>
      <c r="GR76" s="110"/>
      <c r="GS76" s="110"/>
      <c r="GT76" s="110"/>
      <c r="GU76" s="110"/>
      <c r="GV76" s="110"/>
      <c r="GW76" s="110"/>
      <c r="GX76" s="110"/>
      <c r="GY76" s="110"/>
      <c r="GZ76" s="110"/>
      <c r="HA76" s="110"/>
      <c r="HB76" s="110"/>
      <c r="HC76" s="110"/>
      <c r="HD76" s="110"/>
      <c r="HE76" s="110"/>
      <c r="HF76" s="110"/>
      <c r="HG76" s="110"/>
      <c r="HH76" s="110"/>
      <c r="HI76" s="110"/>
      <c r="HJ76" s="110"/>
      <c r="HK76" s="110"/>
      <c r="HL76" s="110"/>
      <c r="HM76" s="110"/>
      <c r="HN76" s="110"/>
      <c r="HO76" s="110"/>
      <c r="HP76" s="110"/>
      <c r="HQ76" s="110"/>
      <c r="HR76" s="110"/>
      <c r="HS76" s="110"/>
      <c r="HT76" s="110"/>
      <c r="HU76" s="110"/>
      <c r="HV76" s="110"/>
      <c r="HW76" s="110"/>
      <c r="HX76" s="110"/>
      <c r="HY76" s="110"/>
      <c r="HZ76" s="110"/>
      <c r="IA76" s="110"/>
      <c r="IB76" s="110"/>
      <c r="IC76" s="110"/>
      <c r="ID76" s="110"/>
      <c r="IE76" s="110"/>
      <c r="IF76" s="110"/>
      <c r="IG76" s="110"/>
      <c r="IH76" s="110"/>
      <c r="II76" s="110"/>
      <c r="IJ76" s="110"/>
      <c r="IK76" s="110"/>
      <c r="IL76" s="110"/>
      <c r="IM76" s="110"/>
      <c r="IN76" s="110"/>
      <c r="IO76" s="110"/>
      <c r="IP76" s="110"/>
      <c r="IQ76" s="110"/>
      <c r="IR76" s="110"/>
      <c r="IS76" s="110"/>
      <c r="IT76" s="110"/>
      <c r="IU76" s="110"/>
      <c r="IV76" s="110"/>
      <c r="IW76" s="110"/>
    </row>
    <row r="77" spans="1:257" x14ac:dyDescent="0.3">
      <c r="A77" s="156"/>
      <c r="B77" s="156"/>
      <c r="C77" s="156"/>
      <c r="D77" s="156"/>
      <c r="E77" s="156"/>
      <c r="F77" s="156"/>
      <c r="G77" s="156"/>
      <c r="H77" s="156"/>
      <c r="I77" s="156"/>
      <c r="J77" s="156"/>
      <c r="K77" s="156"/>
      <c r="L77" s="156"/>
      <c r="M77" s="156"/>
      <c r="N77" s="156"/>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c r="BY77" s="110"/>
      <c r="BZ77" s="110"/>
      <c r="CA77" s="110"/>
      <c r="CB77" s="110"/>
      <c r="CC77" s="110"/>
      <c r="CD77" s="110"/>
      <c r="CE77" s="110"/>
      <c r="CF77" s="110"/>
      <c r="CG77" s="110"/>
      <c r="CH77" s="110"/>
      <c r="CI77" s="110"/>
      <c r="CJ77" s="110"/>
      <c r="CK77" s="110"/>
      <c r="CL77" s="110"/>
      <c r="CM77" s="110"/>
      <c r="CN77" s="110"/>
      <c r="CO77" s="110"/>
      <c r="CP77" s="110"/>
      <c r="CQ77" s="110"/>
      <c r="CR77" s="110"/>
      <c r="CS77" s="110"/>
      <c r="CT77" s="110"/>
      <c r="CU77" s="110"/>
      <c r="CV77" s="110"/>
      <c r="CW77" s="110"/>
      <c r="CX77" s="110"/>
      <c r="CY77" s="110"/>
      <c r="CZ77" s="110"/>
      <c r="DA77" s="110"/>
      <c r="DB77" s="110"/>
      <c r="DC77" s="110"/>
      <c r="DD77" s="110"/>
      <c r="DE77" s="110"/>
      <c r="DF77" s="110"/>
      <c r="DG77" s="110"/>
      <c r="DH77" s="110"/>
      <c r="DI77" s="110"/>
      <c r="DJ77" s="110"/>
      <c r="DK77" s="110"/>
      <c r="DL77" s="110"/>
      <c r="DM77" s="110"/>
      <c r="DN77" s="110"/>
      <c r="DO77" s="110"/>
      <c r="DP77" s="110"/>
      <c r="DQ77" s="110"/>
      <c r="DR77" s="110"/>
      <c r="DS77" s="110"/>
      <c r="DT77" s="110"/>
      <c r="DU77" s="110"/>
      <c r="DV77" s="110"/>
      <c r="DW77" s="110"/>
      <c r="DX77" s="110"/>
      <c r="DY77" s="110"/>
      <c r="DZ77" s="110"/>
      <c r="EA77" s="110"/>
      <c r="EB77" s="110"/>
      <c r="EC77" s="110"/>
      <c r="ED77" s="110"/>
      <c r="EE77" s="110"/>
      <c r="EF77" s="110"/>
      <c r="EG77" s="110"/>
      <c r="EH77" s="110"/>
      <c r="EI77" s="110"/>
      <c r="EJ77" s="110"/>
      <c r="EK77" s="110"/>
      <c r="EL77" s="110"/>
      <c r="EM77" s="110"/>
      <c r="EN77" s="110"/>
      <c r="EO77" s="110"/>
      <c r="EP77" s="110"/>
      <c r="EQ77" s="110"/>
      <c r="ER77" s="110"/>
      <c r="ES77" s="110"/>
      <c r="ET77" s="110"/>
      <c r="EU77" s="110"/>
      <c r="EV77" s="110"/>
      <c r="EW77" s="110"/>
      <c r="EX77" s="110"/>
      <c r="EY77" s="110"/>
      <c r="EZ77" s="110"/>
      <c r="FA77" s="110"/>
      <c r="FB77" s="110"/>
      <c r="FC77" s="110"/>
      <c r="FD77" s="110"/>
      <c r="FE77" s="110"/>
      <c r="FF77" s="110"/>
      <c r="FG77" s="110"/>
      <c r="FH77" s="110"/>
      <c r="FI77" s="110"/>
      <c r="FJ77" s="110"/>
      <c r="FK77" s="110"/>
      <c r="FL77" s="110"/>
      <c r="FM77" s="110"/>
      <c r="FN77" s="110"/>
      <c r="FO77" s="110"/>
      <c r="FP77" s="110"/>
      <c r="FQ77" s="110"/>
      <c r="FR77" s="110"/>
      <c r="FS77" s="110"/>
      <c r="FT77" s="110"/>
      <c r="FU77" s="110"/>
      <c r="FV77" s="110"/>
      <c r="FW77" s="110"/>
      <c r="FX77" s="110"/>
      <c r="FY77" s="110"/>
      <c r="FZ77" s="110"/>
      <c r="GA77" s="110"/>
      <c r="GB77" s="110"/>
      <c r="GC77" s="110"/>
      <c r="GD77" s="110"/>
      <c r="GE77" s="110"/>
      <c r="GF77" s="110"/>
      <c r="GG77" s="110"/>
      <c r="GH77" s="110"/>
      <c r="GI77" s="110"/>
      <c r="GJ77" s="110"/>
      <c r="GK77" s="110"/>
      <c r="GL77" s="110"/>
      <c r="GM77" s="110"/>
      <c r="GN77" s="110"/>
      <c r="GO77" s="110"/>
      <c r="GP77" s="110"/>
      <c r="GQ77" s="110"/>
      <c r="GR77" s="110"/>
      <c r="GS77" s="110"/>
      <c r="GT77" s="110"/>
      <c r="GU77" s="110"/>
      <c r="GV77" s="110"/>
      <c r="GW77" s="110"/>
      <c r="GX77" s="110"/>
      <c r="GY77" s="110"/>
      <c r="GZ77" s="110"/>
      <c r="HA77" s="110"/>
      <c r="HB77" s="110"/>
      <c r="HC77" s="110"/>
      <c r="HD77" s="110"/>
      <c r="HE77" s="110"/>
      <c r="HF77" s="110"/>
      <c r="HG77" s="110"/>
      <c r="HH77" s="110"/>
      <c r="HI77" s="110"/>
      <c r="HJ77" s="110"/>
      <c r="HK77" s="110"/>
      <c r="HL77" s="110"/>
      <c r="HM77" s="110"/>
      <c r="HN77" s="110"/>
      <c r="HO77" s="110"/>
      <c r="HP77" s="110"/>
      <c r="HQ77" s="110"/>
      <c r="HR77" s="110"/>
      <c r="HS77" s="110"/>
      <c r="HT77" s="110"/>
      <c r="HU77" s="110"/>
      <c r="HV77" s="110"/>
      <c r="HW77" s="110"/>
      <c r="HX77" s="110"/>
      <c r="HY77" s="110"/>
      <c r="HZ77" s="110"/>
      <c r="IA77" s="110"/>
      <c r="IB77" s="110"/>
      <c r="IC77" s="110"/>
      <c r="ID77" s="110"/>
      <c r="IE77" s="110"/>
      <c r="IF77" s="110"/>
      <c r="IG77" s="110"/>
      <c r="IH77" s="110"/>
      <c r="II77" s="110"/>
      <c r="IJ77" s="110"/>
      <c r="IK77" s="110"/>
      <c r="IL77" s="110"/>
      <c r="IM77" s="110"/>
      <c r="IN77" s="110"/>
      <c r="IO77" s="110"/>
      <c r="IP77" s="110"/>
      <c r="IQ77" s="110"/>
      <c r="IR77" s="110"/>
      <c r="IS77" s="110"/>
      <c r="IT77" s="110"/>
      <c r="IU77" s="110"/>
      <c r="IV77" s="110"/>
      <c r="IW77" s="110"/>
    </row>
    <row r="78" spans="1:257" x14ac:dyDescent="0.3">
      <c r="A78" s="156"/>
      <c r="B78" s="156"/>
      <c r="C78" s="156"/>
      <c r="D78" s="156"/>
      <c r="E78" s="156"/>
      <c r="F78" s="156"/>
      <c r="G78" s="156"/>
      <c r="H78" s="156"/>
      <c r="I78" s="156"/>
      <c r="J78" s="156"/>
      <c r="K78" s="156"/>
      <c r="L78" s="156"/>
      <c r="M78" s="156"/>
      <c r="N78" s="156"/>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c r="BY78" s="110"/>
      <c r="BZ78" s="110"/>
      <c r="CA78" s="110"/>
      <c r="CB78" s="110"/>
      <c r="CC78" s="110"/>
      <c r="CD78" s="110"/>
      <c r="CE78" s="110"/>
      <c r="CF78" s="110"/>
      <c r="CG78" s="110"/>
      <c r="CH78" s="110"/>
      <c r="CI78" s="110"/>
      <c r="CJ78" s="110"/>
      <c r="CK78" s="110"/>
      <c r="CL78" s="110"/>
      <c r="CM78" s="110"/>
      <c r="CN78" s="110"/>
      <c r="CO78" s="110"/>
      <c r="CP78" s="110"/>
      <c r="CQ78" s="110"/>
      <c r="CR78" s="110"/>
      <c r="CS78" s="110"/>
      <c r="CT78" s="110"/>
      <c r="CU78" s="110"/>
      <c r="CV78" s="110"/>
      <c r="CW78" s="110"/>
      <c r="CX78" s="110"/>
      <c r="CY78" s="110"/>
      <c r="CZ78" s="110"/>
      <c r="DA78" s="110"/>
      <c r="DB78" s="110"/>
      <c r="DC78" s="110"/>
      <c r="DD78" s="110"/>
      <c r="DE78" s="110"/>
      <c r="DF78" s="110"/>
      <c r="DG78" s="110"/>
      <c r="DH78" s="110"/>
      <c r="DI78" s="110"/>
      <c r="DJ78" s="110"/>
      <c r="DK78" s="110"/>
      <c r="DL78" s="110"/>
      <c r="DM78" s="110"/>
      <c r="DN78" s="110"/>
      <c r="DO78" s="110"/>
      <c r="DP78" s="110"/>
      <c r="DQ78" s="110"/>
      <c r="DR78" s="110"/>
      <c r="DS78" s="110"/>
      <c r="DT78" s="110"/>
      <c r="DU78" s="110"/>
      <c r="DV78" s="110"/>
      <c r="DW78" s="110"/>
      <c r="DX78" s="110"/>
      <c r="DY78" s="110"/>
      <c r="DZ78" s="110"/>
      <c r="EA78" s="110"/>
      <c r="EB78" s="110"/>
      <c r="EC78" s="110"/>
      <c r="ED78" s="110"/>
      <c r="EE78" s="110"/>
      <c r="EF78" s="110"/>
      <c r="EG78" s="110"/>
      <c r="EH78" s="110"/>
      <c r="EI78" s="110"/>
      <c r="EJ78" s="110"/>
      <c r="EK78" s="110"/>
      <c r="EL78" s="110"/>
      <c r="EM78" s="110"/>
      <c r="EN78" s="110"/>
      <c r="EO78" s="110"/>
      <c r="EP78" s="110"/>
      <c r="EQ78" s="110"/>
      <c r="ER78" s="110"/>
      <c r="ES78" s="110"/>
      <c r="ET78" s="110"/>
      <c r="EU78" s="110"/>
      <c r="EV78" s="110"/>
      <c r="EW78" s="110"/>
      <c r="EX78" s="110"/>
      <c r="EY78" s="110"/>
      <c r="EZ78" s="110"/>
      <c r="FA78" s="110"/>
      <c r="FB78" s="110"/>
      <c r="FC78" s="110"/>
      <c r="FD78" s="110"/>
      <c r="FE78" s="110"/>
      <c r="FF78" s="110"/>
      <c r="FG78" s="110"/>
      <c r="FH78" s="110"/>
      <c r="FI78" s="110"/>
      <c r="FJ78" s="110"/>
      <c r="FK78" s="110"/>
      <c r="FL78" s="110"/>
      <c r="FM78" s="110"/>
      <c r="FN78" s="110"/>
      <c r="FO78" s="110"/>
      <c r="FP78" s="110"/>
      <c r="FQ78" s="110"/>
      <c r="FR78" s="110"/>
      <c r="FS78" s="110"/>
      <c r="FT78" s="110"/>
      <c r="FU78" s="110"/>
      <c r="FV78" s="110"/>
      <c r="FW78" s="110"/>
      <c r="FX78" s="110"/>
      <c r="FY78" s="110"/>
      <c r="FZ78" s="110"/>
      <c r="GA78" s="110"/>
      <c r="GB78" s="110"/>
      <c r="GC78" s="110"/>
      <c r="GD78" s="110"/>
      <c r="GE78" s="110"/>
      <c r="GF78" s="110"/>
      <c r="GG78" s="110"/>
      <c r="GH78" s="110"/>
      <c r="GI78" s="110"/>
      <c r="GJ78" s="110"/>
      <c r="GK78" s="110"/>
      <c r="GL78" s="110"/>
      <c r="GM78" s="110"/>
      <c r="GN78" s="110"/>
      <c r="GO78" s="110"/>
      <c r="GP78" s="110"/>
      <c r="GQ78" s="110"/>
      <c r="GR78" s="110"/>
      <c r="GS78" s="110"/>
      <c r="GT78" s="110"/>
      <c r="GU78" s="110"/>
      <c r="GV78" s="110"/>
      <c r="GW78" s="110"/>
      <c r="GX78" s="110"/>
      <c r="GY78" s="110"/>
      <c r="GZ78" s="110"/>
      <c r="HA78" s="110"/>
      <c r="HB78" s="110"/>
      <c r="HC78" s="110"/>
      <c r="HD78" s="110"/>
      <c r="HE78" s="110"/>
      <c r="HF78" s="110"/>
      <c r="HG78" s="110"/>
      <c r="HH78" s="110"/>
      <c r="HI78" s="110"/>
      <c r="HJ78" s="110"/>
      <c r="HK78" s="110"/>
      <c r="HL78" s="110"/>
      <c r="HM78" s="110"/>
      <c r="HN78" s="110"/>
      <c r="HO78" s="110"/>
      <c r="HP78" s="110"/>
      <c r="HQ78" s="110"/>
      <c r="HR78" s="110"/>
      <c r="HS78" s="110"/>
      <c r="HT78" s="110"/>
      <c r="HU78" s="110"/>
      <c r="HV78" s="110"/>
      <c r="HW78" s="110"/>
      <c r="HX78" s="110"/>
      <c r="HY78" s="110"/>
      <c r="HZ78" s="110"/>
      <c r="IA78" s="110"/>
      <c r="IB78" s="110"/>
      <c r="IC78" s="110"/>
      <c r="ID78" s="110"/>
      <c r="IE78" s="110"/>
      <c r="IF78" s="110"/>
      <c r="IG78" s="110"/>
      <c r="IH78" s="110"/>
      <c r="II78" s="110"/>
      <c r="IJ78" s="110"/>
      <c r="IK78" s="110"/>
      <c r="IL78" s="110"/>
      <c r="IM78" s="110"/>
      <c r="IN78" s="110"/>
      <c r="IO78" s="110"/>
      <c r="IP78" s="110"/>
      <c r="IQ78" s="110"/>
      <c r="IR78" s="110"/>
      <c r="IS78" s="110"/>
      <c r="IT78" s="110"/>
      <c r="IU78" s="110"/>
      <c r="IV78" s="110"/>
      <c r="IW78" s="110"/>
    </row>
    <row r="79" spans="1:257" x14ac:dyDescent="0.3">
      <c r="A79" s="156"/>
      <c r="B79" s="156"/>
      <c r="C79" s="156"/>
      <c r="D79" s="156"/>
      <c r="E79" s="156"/>
      <c r="F79" s="156"/>
      <c r="G79" s="156"/>
      <c r="H79" s="156"/>
      <c r="I79" s="156"/>
      <c r="J79" s="156"/>
      <c r="K79" s="156"/>
      <c r="L79" s="156"/>
      <c r="M79" s="156"/>
      <c r="N79" s="156"/>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c r="BY79" s="110"/>
      <c r="BZ79" s="110"/>
      <c r="CA79" s="110"/>
      <c r="CB79" s="110"/>
      <c r="CC79" s="110"/>
      <c r="CD79" s="110"/>
      <c r="CE79" s="110"/>
      <c r="CF79" s="110"/>
      <c r="CG79" s="110"/>
      <c r="CH79" s="110"/>
      <c r="CI79" s="110"/>
      <c r="CJ79" s="110"/>
      <c r="CK79" s="110"/>
      <c r="CL79" s="110"/>
      <c r="CM79" s="110"/>
      <c r="CN79" s="110"/>
      <c r="CO79" s="110"/>
      <c r="CP79" s="110"/>
      <c r="CQ79" s="110"/>
      <c r="CR79" s="110"/>
      <c r="CS79" s="110"/>
      <c r="CT79" s="110"/>
      <c r="CU79" s="110"/>
      <c r="CV79" s="110"/>
      <c r="CW79" s="110"/>
      <c r="CX79" s="110"/>
      <c r="CY79" s="110"/>
      <c r="CZ79" s="110"/>
      <c r="DA79" s="110"/>
      <c r="DB79" s="110"/>
      <c r="DC79" s="110"/>
      <c r="DD79" s="110"/>
      <c r="DE79" s="110"/>
      <c r="DF79" s="110"/>
      <c r="DG79" s="110"/>
      <c r="DH79" s="110"/>
      <c r="DI79" s="110"/>
      <c r="DJ79" s="110"/>
      <c r="DK79" s="110"/>
      <c r="DL79" s="110"/>
      <c r="DM79" s="110"/>
      <c r="DN79" s="110"/>
      <c r="DO79" s="110"/>
      <c r="DP79" s="110"/>
      <c r="DQ79" s="110"/>
      <c r="DR79" s="110"/>
      <c r="DS79" s="110"/>
      <c r="DT79" s="110"/>
      <c r="DU79" s="110"/>
      <c r="DV79" s="110"/>
      <c r="DW79" s="110"/>
      <c r="DX79" s="110"/>
      <c r="DY79" s="110"/>
      <c r="DZ79" s="110"/>
      <c r="EA79" s="110"/>
      <c r="EB79" s="110"/>
      <c r="EC79" s="110"/>
      <c r="ED79" s="110"/>
      <c r="EE79" s="110"/>
      <c r="EF79" s="110"/>
      <c r="EG79" s="110"/>
      <c r="EH79" s="110"/>
      <c r="EI79" s="110"/>
      <c r="EJ79" s="110"/>
      <c r="EK79" s="110"/>
      <c r="EL79" s="110"/>
      <c r="EM79" s="110"/>
      <c r="EN79" s="110"/>
      <c r="EO79" s="110"/>
      <c r="EP79" s="110"/>
      <c r="EQ79" s="110"/>
      <c r="ER79" s="110"/>
      <c r="ES79" s="110"/>
      <c r="ET79" s="110"/>
      <c r="EU79" s="110"/>
      <c r="EV79" s="110"/>
      <c r="EW79" s="110"/>
      <c r="EX79" s="110"/>
      <c r="EY79" s="110"/>
      <c r="EZ79" s="110"/>
      <c r="FA79" s="110"/>
      <c r="FB79" s="110"/>
      <c r="FC79" s="110"/>
      <c r="FD79" s="110"/>
      <c r="FE79" s="110"/>
      <c r="FF79" s="110"/>
      <c r="FG79" s="110"/>
      <c r="FH79" s="110"/>
      <c r="FI79" s="110"/>
      <c r="FJ79" s="110"/>
      <c r="FK79" s="110"/>
      <c r="FL79" s="110"/>
      <c r="FM79" s="110"/>
      <c r="FN79" s="110"/>
      <c r="FO79" s="110"/>
      <c r="FP79" s="110"/>
      <c r="FQ79" s="110"/>
      <c r="FR79" s="110"/>
      <c r="FS79" s="110"/>
      <c r="FT79" s="110"/>
      <c r="FU79" s="110"/>
      <c r="FV79" s="110"/>
      <c r="FW79" s="110"/>
      <c r="FX79" s="110"/>
      <c r="FY79" s="110"/>
      <c r="FZ79" s="110"/>
      <c r="GA79" s="110"/>
      <c r="GB79" s="110"/>
      <c r="GC79" s="110"/>
      <c r="GD79" s="110"/>
      <c r="GE79" s="110"/>
      <c r="GF79" s="110"/>
      <c r="GG79" s="110"/>
      <c r="GH79" s="110"/>
      <c r="GI79" s="110"/>
      <c r="GJ79" s="110"/>
      <c r="GK79" s="110"/>
      <c r="GL79" s="110"/>
      <c r="GM79" s="110"/>
      <c r="GN79" s="110"/>
      <c r="GO79" s="110"/>
      <c r="GP79" s="110"/>
      <c r="GQ79" s="110"/>
      <c r="GR79" s="110"/>
      <c r="GS79" s="110"/>
      <c r="GT79" s="110"/>
      <c r="GU79" s="110"/>
      <c r="GV79" s="110"/>
      <c r="GW79" s="110"/>
      <c r="GX79" s="110"/>
      <c r="GY79" s="110"/>
      <c r="GZ79" s="110"/>
      <c r="HA79" s="110"/>
      <c r="HB79" s="110"/>
      <c r="HC79" s="110"/>
      <c r="HD79" s="110"/>
      <c r="HE79" s="110"/>
      <c r="HF79" s="110"/>
      <c r="HG79" s="110"/>
      <c r="HH79" s="110"/>
      <c r="HI79" s="110"/>
      <c r="HJ79" s="110"/>
      <c r="HK79" s="110"/>
      <c r="HL79" s="110"/>
      <c r="HM79" s="110"/>
      <c r="HN79" s="110"/>
      <c r="HO79" s="110"/>
      <c r="HP79" s="110"/>
      <c r="HQ79" s="110"/>
      <c r="HR79" s="110"/>
      <c r="HS79" s="110"/>
      <c r="HT79" s="110"/>
      <c r="HU79" s="110"/>
      <c r="HV79" s="110"/>
      <c r="HW79" s="110"/>
      <c r="HX79" s="110"/>
      <c r="HY79" s="110"/>
      <c r="HZ79" s="110"/>
      <c r="IA79" s="110"/>
      <c r="IB79" s="110"/>
      <c r="IC79" s="110"/>
      <c r="ID79" s="110"/>
      <c r="IE79" s="110"/>
      <c r="IF79" s="110"/>
      <c r="IG79" s="110"/>
      <c r="IH79" s="110"/>
      <c r="II79" s="110"/>
      <c r="IJ79" s="110"/>
      <c r="IK79" s="110"/>
      <c r="IL79" s="110"/>
      <c r="IM79" s="110"/>
      <c r="IN79" s="110"/>
      <c r="IO79" s="110"/>
      <c r="IP79" s="110"/>
      <c r="IQ79" s="110"/>
      <c r="IR79" s="110"/>
      <c r="IS79" s="110"/>
      <c r="IT79" s="110"/>
      <c r="IU79" s="110"/>
      <c r="IV79" s="110"/>
      <c r="IW79" s="110"/>
    </row>
    <row r="80" spans="1:257" x14ac:dyDescent="0.3">
      <c r="A80" s="156"/>
      <c r="B80" s="156"/>
      <c r="C80" s="156"/>
      <c r="D80" s="156"/>
      <c r="E80" s="156"/>
      <c r="F80" s="156"/>
      <c r="G80" s="156"/>
      <c r="H80" s="156"/>
      <c r="I80" s="156"/>
      <c r="J80" s="156"/>
      <c r="K80" s="156"/>
      <c r="L80" s="156"/>
      <c r="M80" s="156"/>
      <c r="N80" s="156"/>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c r="BY80" s="110"/>
      <c r="BZ80" s="110"/>
      <c r="CA80" s="110"/>
      <c r="CB80" s="110"/>
      <c r="CC80" s="110"/>
      <c r="CD80" s="110"/>
      <c r="CE80" s="110"/>
      <c r="CF80" s="110"/>
      <c r="CG80" s="110"/>
      <c r="CH80" s="110"/>
      <c r="CI80" s="110"/>
      <c r="CJ80" s="110"/>
      <c r="CK80" s="110"/>
      <c r="CL80" s="110"/>
      <c r="CM80" s="110"/>
      <c r="CN80" s="110"/>
      <c r="CO80" s="110"/>
      <c r="CP80" s="110"/>
      <c r="CQ80" s="110"/>
      <c r="CR80" s="110"/>
      <c r="CS80" s="110"/>
      <c r="CT80" s="110"/>
      <c r="CU80" s="110"/>
      <c r="CV80" s="110"/>
      <c r="CW80" s="110"/>
      <c r="CX80" s="110"/>
      <c r="CY80" s="110"/>
      <c r="CZ80" s="110"/>
      <c r="DA80" s="110"/>
      <c r="DB80" s="110"/>
      <c r="DC80" s="110"/>
      <c r="DD80" s="110"/>
      <c r="DE80" s="110"/>
      <c r="DF80" s="110"/>
      <c r="DG80" s="110"/>
      <c r="DH80" s="110"/>
      <c r="DI80" s="110"/>
      <c r="DJ80" s="110"/>
      <c r="DK80" s="110"/>
      <c r="DL80" s="110"/>
      <c r="DM80" s="110"/>
      <c r="DN80" s="110"/>
      <c r="DO80" s="110"/>
      <c r="DP80" s="110"/>
      <c r="DQ80" s="110"/>
      <c r="DR80" s="110"/>
      <c r="DS80" s="110"/>
      <c r="DT80" s="110"/>
      <c r="DU80" s="110"/>
      <c r="DV80" s="110"/>
      <c r="DW80" s="110"/>
      <c r="DX80" s="110"/>
      <c r="DY80" s="110"/>
      <c r="DZ80" s="110"/>
      <c r="EA80" s="110"/>
      <c r="EB80" s="110"/>
      <c r="EC80" s="110"/>
      <c r="ED80" s="110"/>
      <c r="EE80" s="110"/>
      <c r="EF80" s="110"/>
      <c r="EG80" s="110"/>
      <c r="EH80" s="110"/>
      <c r="EI80" s="110"/>
      <c r="EJ80" s="110"/>
      <c r="EK80" s="110"/>
      <c r="EL80" s="110"/>
      <c r="EM80" s="110"/>
      <c r="EN80" s="110"/>
      <c r="EO80" s="110"/>
      <c r="EP80" s="110"/>
      <c r="EQ80" s="110"/>
      <c r="ER80" s="110"/>
      <c r="ES80" s="110"/>
      <c r="ET80" s="110"/>
      <c r="EU80" s="110"/>
      <c r="EV80" s="110"/>
      <c r="EW80" s="110"/>
      <c r="EX80" s="110"/>
      <c r="EY80" s="110"/>
      <c r="EZ80" s="110"/>
      <c r="FA80" s="110"/>
      <c r="FB80" s="110"/>
      <c r="FC80" s="110"/>
      <c r="FD80" s="110"/>
      <c r="FE80" s="110"/>
      <c r="FF80" s="110"/>
      <c r="FG80" s="110"/>
      <c r="FH80" s="110"/>
      <c r="FI80" s="110"/>
      <c r="FJ80" s="110"/>
      <c r="FK80" s="110"/>
      <c r="FL80" s="110"/>
      <c r="FM80" s="110"/>
      <c r="FN80" s="110"/>
      <c r="FO80" s="110"/>
      <c r="FP80" s="110"/>
      <c r="FQ80" s="110"/>
      <c r="FR80" s="110"/>
      <c r="FS80" s="110"/>
      <c r="FT80" s="110"/>
      <c r="FU80" s="110"/>
      <c r="FV80" s="110"/>
      <c r="FW80" s="110"/>
      <c r="FX80" s="110"/>
      <c r="FY80" s="110"/>
      <c r="FZ80" s="110"/>
      <c r="GA80" s="110"/>
      <c r="GB80" s="110"/>
      <c r="GC80" s="110"/>
      <c r="GD80" s="110"/>
      <c r="GE80" s="110"/>
      <c r="GF80" s="110"/>
      <c r="GG80" s="110"/>
      <c r="GH80" s="110"/>
      <c r="GI80" s="110"/>
      <c r="GJ80" s="110"/>
      <c r="GK80" s="110"/>
      <c r="GL80" s="110"/>
      <c r="GM80" s="110"/>
      <c r="GN80" s="110"/>
      <c r="GO80" s="110"/>
      <c r="GP80" s="110"/>
      <c r="GQ80" s="110"/>
      <c r="GR80" s="110"/>
      <c r="GS80" s="110"/>
      <c r="GT80" s="110"/>
      <c r="GU80" s="110"/>
      <c r="GV80" s="110"/>
      <c r="GW80" s="110"/>
      <c r="GX80" s="110"/>
      <c r="GY80" s="110"/>
      <c r="GZ80" s="110"/>
      <c r="HA80" s="110"/>
      <c r="HB80" s="110"/>
      <c r="HC80" s="110"/>
      <c r="HD80" s="110"/>
      <c r="HE80" s="110"/>
      <c r="HF80" s="110"/>
      <c r="HG80" s="110"/>
      <c r="HH80" s="110"/>
      <c r="HI80" s="110"/>
      <c r="HJ80" s="110"/>
      <c r="HK80" s="110"/>
      <c r="HL80" s="110"/>
      <c r="HM80" s="110"/>
      <c r="HN80" s="110"/>
      <c r="HO80" s="110"/>
      <c r="HP80" s="110"/>
      <c r="HQ80" s="110"/>
      <c r="HR80" s="110"/>
      <c r="HS80" s="110"/>
      <c r="HT80" s="110"/>
      <c r="HU80" s="110"/>
      <c r="HV80" s="110"/>
      <c r="HW80" s="110"/>
      <c r="HX80" s="110"/>
      <c r="HY80" s="110"/>
      <c r="HZ80" s="110"/>
      <c r="IA80" s="110"/>
      <c r="IB80" s="110"/>
      <c r="IC80" s="110"/>
      <c r="ID80" s="110"/>
      <c r="IE80" s="110"/>
      <c r="IF80" s="110"/>
      <c r="IG80" s="110"/>
      <c r="IH80" s="110"/>
      <c r="II80" s="110"/>
      <c r="IJ80" s="110"/>
      <c r="IK80" s="110"/>
      <c r="IL80" s="110"/>
      <c r="IM80" s="110"/>
      <c r="IN80" s="110"/>
      <c r="IO80" s="110"/>
      <c r="IP80" s="110"/>
      <c r="IQ80" s="110"/>
      <c r="IR80" s="110"/>
      <c r="IS80" s="110"/>
      <c r="IT80" s="110"/>
      <c r="IU80" s="110"/>
      <c r="IV80" s="110"/>
      <c r="IW80" s="110"/>
    </row>
    <row r="81" spans="1:257" x14ac:dyDescent="0.3">
      <c r="A81" s="156"/>
      <c r="B81" s="156"/>
      <c r="C81" s="156"/>
      <c r="D81" s="156"/>
      <c r="E81" s="156"/>
      <c r="F81" s="156"/>
      <c r="G81" s="156"/>
      <c r="H81" s="156"/>
      <c r="I81" s="156"/>
      <c r="J81" s="156"/>
      <c r="K81" s="156"/>
      <c r="L81" s="156"/>
      <c r="M81" s="156"/>
      <c r="N81" s="156"/>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c r="BY81" s="110"/>
      <c r="BZ81" s="110"/>
      <c r="CA81" s="110"/>
      <c r="CB81" s="110"/>
      <c r="CC81" s="110"/>
      <c r="CD81" s="110"/>
      <c r="CE81" s="110"/>
      <c r="CF81" s="110"/>
      <c r="CG81" s="110"/>
      <c r="CH81" s="110"/>
      <c r="CI81" s="110"/>
      <c r="CJ81" s="110"/>
      <c r="CK81" s="110"/>
      <c r="CL81" s="110"/>
      <c r="CM81" s="110"/>
      <c r="CN81" s="110"/>
      <c r="CO81" s="110"/>
      <c r="CP81" s="110"/>
      <c r="CQ81" s="110"/>
      <c r="CR81" s="110"/>
      <c r="CS81" s="110"/>
      <c r="CT81" s="110"/>
      <c r="CU81" s="110"/>
      <c r="CV81" s="110"/>
      <c r="CW81" s="110"/>
      <c r="CX81" s="110"/>
      <c r="CY81" s="110"/>
      <c r="CZ81" s="110"/>
      <c r="DA81" s="110"/>
      <c r="DB81" s="110"/>
      <c r="DC81" s="110"/>
      <c r="DD81" s="110"/>
      <c r="DE81" s="110"/>
      <c r="DF81" s="110"/>
      <c r="DG81" s="110"/>
      <c r="DH81" s="110"/>
      <c r="DI81" s="110"/>
      <c r="DJ81" s="110"/>
      <c r="DK81" s="110"/>
      <c r="DL81" s="110"/>
      <c r="DM81" s="110"/>
      <c r="DN81" s="110"/>
      <c r="DO81" s="110"/>
      <c r="DP81" s="110"/>
      <c r="DQ81" s="110"/>
      <c r="DR81" s="110"/>
      <c r="DS81" s="110"/>
      <c r="DT81" s="110"/>
      <c r="DU81" s="110"/>
      <c r="DV81" s="110"/>
      <c r="DW81" s="110"/>
      <c r="DX81" s="110"/>
      <c r="DY81" s="110"/>
      <c r="DZ81" s="110"/>
      <c r="EA81" s="110"/>
      <c r="EB81" s="110"/>
      <c r="EC81" s="110"/>
      <c r="ED81" s="110"/>
      <c r="EE81" s="110"/>
      <c r="EF81" s="110"/>
      <c r="EG81" s="110"/>
      <c r="EH81" s="110"/>
      <c r="EI81" s="110"/>
      <c r="EJ81" s="110"/>
      <c r="EK81" s="110"/>
      <c r="EL81" s="110"/>
      <c r="EM81" s="110"/>
      <c r="EN81" s="110"/>
      <c r="EO81" s="110"/>
      <c r="EP81" s="110"/>
      <c r="EQ81" s="110"/>
      <c r="ER81" s="110"/>
      <c r="ES81" s="110"/>
      <c r="ET81" s="110"/>
      <c r="EU81" s="110"/>
      <c r="EV81" s="110"/>
      <c r="EW81" s="110"/>
      <c r="EX81" s="110"/>
      <c r="EY81" s="110"/>
      <c r="EZ81" s="110"/>
      <c r="FA81" s="110"/>
      <c r="FB81" s="110"/>
      <c r="FC81" s="110"/>
      <c r="FD81" s="110"/>
      <c r="FE81" s="110"/>
      <c r="FF81" s="110"/>
      <c r="FG81" s="110"/>
      <c r="FH81" s="110"/>
      <c r="FI81" s="110"/>
      <c r="FJ81" s="110"/>
      <c r="FK81" s="110"/>
      <c r="FL81" s="110"/>
      <c r="FM81" s="110"/>
      <c r="FN81" s="110"/>
      <c r="FO81" s="110"/>
      <c r="FP81" s="110"/>
      <c r="FQ81" s="110"/>
      <c r="FR81" s="110"/>
      <c r="FS81" s="110"/>
      <c r="FT81" s="110"/>
      <c r="FU81" s="110"/>
      <c r="FV81" s="110"/>
      <c r="FW81" s="110"/>
      <c r="FX81" s="110"/>
      <c r="FY81" s="110"/>
      <c r="FZ81" s="110"/>
      <c r="GA81" s="110"/>
      <c r="GB81" s="110"/>
      <c r="GC81" s="110"/>
      <c r="GD81" s="110"/>
      <c r="GE81" s="110"/>
      <c r="GF81" s="110"/>
      <c r="GG81" s="110"/>
      <c r="GH81" s="110"/>
      <c r="GI81" s="110"/>
      <c r="GJ81" s="110"/>
      <c r="GK81" s="110"/>
      <c r="GL81" s="110"/>
      <c r="GM81" s="110"/>
      <c r="GN81" s="110"/>
      <c r="GO81" s="110"/>
      <c r="GP81" s="110"/>
      <c r="GQ81" s="110"/>
      <c r="GR81" s="110"/>
      <c r="GS81" s="110"/>
      <c r="GT81" s="110"/>
      <c r="GU81" s="110"/>
      <c r="GV81" s="110"/>
      <c r="GW81" s="110"/>
      <c r="GX81" s="110"/>
      <c r="GY81" s="110"/>
      <c r="GZ81" s="110"/>
      <c r="HA81" s="110"/>
      <c r="HB81" s="110"/>
      <c r="HC81" s="110"/>
      <c r="HD81" s="110"/>
      <c r="HE81" s="110"/>
      <c r="HF81" s="110"/>
      <c r="HG81" s="110"/>
      <c r="HH81" s="110"/>
      <c r="HI81" s="110"/>
      <c r="HJ81" s="110"/>
      <c r="HK81" s="110"/>
      <c r="HL81" s="110"/>
      <c r="HM81" s="110"/>
      <c r="HN81" s="110"/>
      <c r="HO81" s="110"/>
      <c r="HP81" s="110"/>
      <c r="HQ81" s="110"/>
      <c r="HR81" s="110"/>
      <c r="HS81" s="110"/>
      <c r="HT81" s="110"/>
      <c r="HU81" s="110"/>
      <c r="HV81" s="110"/>
      <c r="HW81" s="110"/>
      <c r="HX81" s="110"/>
      <c r="HY81" s="110"/>
      <c r="HZ81" s="110"/>
      <c r="IA81" s="110"/>
      <c r="IB81" s="110"/>
      <c r="IC81" s="110"/>
      <c r="ID81" s="110"/>
      <c r="IE81" s="110"/>
      <c r="IF81" s="110"/>
      <c r="IG81" s="110"/>
      <c r="IH81" s="110"/>
      <c r="II81" s="110"/>
      <c r="IJ81" s="110"/>
      <c r="IK81" s="110"/>
      <c r="IL81" s="110"/>
      <c r="IM81" s="110"/>
      <c r="IN81" s="110"/>
      <c r="IO81" s="110"/>
      <c r="IP81" s="110"/>
      <c r="IQ81" s="110"/>
      <c r="IR81" s="110"/>
      <c r="IS81" s="110"/>
      <c r="IT81" s="110"/>
      <c r="IU81" s="110"/>
      <c r="IV81" s="110"/>
      <c r="IW81" s="110"/>
    </row>
    <row r="82" spans="1:257" x14ac:dyDescent="0.3">
      <c r="A82" s="156"/>
      <c r="B82" s="156"/>
      <c r="C82" s="156"/>
      <c r="D82" s="156"/>
      <c r="E82" s="156"/>
      <c r="F82" s="156"/>
      <c r="G82" s="156"/>
      <c r="H82" s="156"/>
      <c r="I82" s="156"/>
      <c r="J82" s="156"/>
      <c r="K82" s="156"/>
      <c r="L82" s="156"/>
      <c r="M82" s="156"/>
      <c r="N82" s="156"/>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c r="BY82" s="110"/>
      <c r="BZ82" s="110"/>
      <c r="CA82" s="110"/>
      <c r="CB82" s="110"/>
      <c r="CC82" s="110"/>
      <c r="CD82" s="110"/>
      <c r="CE82" s="110"/>
      <c r="CF82" s="110"/>
      <c r="CG82" s="110"/>
      <c r="CH82" s="110"/>
      <c r="CI82" s="110"/>
      <c r="CJ82" s="110"/>
      <c r="CK82" s="110"/>
      <c r="CL82" s="110"/>
      <c r="CM82" s="110"/>
      <c r="CN82" s="110"/>
      <c r="CO82" s="110"/>
      <c r="CP82" s="110"/>
      <c r="CQ82" s="110"/>
      <c r="CR82" s="110"/>
      <c r="CS82" s="110"/>
      <c r="CT82" s="110"/>
      <c r="CU82" s="110"/>
      <c r="CV82" s="110"/>
      <c r="CW82" s="110"/>
      <c r="CX82" s="110"/>
      <c r="CY82" s="110"/>
      <c r="CZ82" s="110"/>
      <c r="DA82" s="110"/>
      <c r="DB82" s="110"/>
      <c r="DC82" s="110"/>
      <c r="DD82" s="110"/>
      <c r="DE82" s="110"/>
      <c r="DF82" s="110"/>
      <c r="DG82" s="110"/>
      <c r="DH82" s="110"/>
      <c r="DI82" s="110"/>
      <c r="DJ82" s="110"/>
      <c r="DK82" s="110"/>
      <c r="DL82" s="110"/>
      <c r="DM82" s="110"/>
      <c r="DN82" s="110"/>
      <c r="DO82" s="110"/>
      <c r="DP82" s="110"/>
      <c r="DQ82" s="110"/>
      <c r="DR82" s="110"/>
      <c r="DS82" s="110"/>
      <c r="DT82" s="110"/>
      <c r="DU82" s="110"/>
      <c r="DV82" s="110"/>
      <c r="DW82" s="110"/>
      <c r="DX82" s="110"/>
      <c r="DY82" s="110"/>
      <c r="DZ82" s="110"/>
      <c r="EA82" s="110"/>
      <c r="EB82" s="110"/>
      <c r="EC82" s="110"/>
      <c r="ED82" s="110"/>
      <c r="EE82" s="110"/>
      <c r="EF82" s="110"/>
      <c r="EG82" s="110"/>
      <c r="EH82" s="110"/>
      <c r="EI82" s="110"/>
      <c r="EJ82" s="110"/>
      <c r="EK82" s="110"/>
      <c r="EL82" s="110"/>
      <c r="EM82" s="110"/>
      <c r="EN82" s="110"/>
      <c r="EO82" s="110"/>
      <c r="EP82" s="110"/>
      <c r="EQ82" s="110"/>
      <c r="ER82" s="110"/>
      <c r="ES82" s="110"/>
      <c r="ET82" s="110"/>
      <c r="EU82" s="110"/>
      <c r="EV82" s="110"/>
      <c r="EW82" s="110"/>
      <c r="EX82" s="110"/>
      <c r="EY82" s="110"/>
      <c r="EZ82" s="110"/>
      <c r="FA82" s="110"/>
      <c r="FB82" s="110"/>
      <c r="FC82" s="110"/>
      <c r="FD82" s="110"/>
      <c r="FE82" s="110"/>
      <c r="FF82" s="110"/>
      <c r="FG82" s="110"/>
      <c r="FH82" s="110"/>
      <c r="FI82" s="110"/>
      <c r="FJ82" s="110"/>
      <c r="FK82" s="110"/>
      <c r="FL82" s="110"/>
      <c r="FM82" s="110"/>
      <c r="FN82" s="110"/>
      <c r="FO82" s="110"/>
      <c r="FP82" s="110"/>
      <c r="FQ82" s="110"/>
      <c r="FR82" s="110"/>
      <c r="FS82" s="110"/>
      <c r="FT82" s="110"/>
      <c r="FU82" s="110"/>
      <c r="FV82" s="110"/>
      <c r="FW82" s="110"/>
      <c r="FX82" s="110"/>
      <c r="FY82" s="110"/>
      <c r="FZ82" s="110"/>
      <c r="GA82" s="110"/>
      <c r="GB82" s="110"/>
      <c r="GC82" s="110"/>
      <c r="GD82" s="110"/>
      <c r="GE82" s="110"/>
      <c r="GF82" s="110"/>
      <c r="GG82" s="110"/>
      <c r="GH82" s="110"/>
      <c r="GI82" s="110"/>
      <c r="GJ82" s="110"/>
      <c r="GK82" s="110"/>
      <c r="GL82" s="110"/>
      <c r="GM82" s="110"/>
      <c r="GN82" s="110"/>
      <c r="GO82" s="110"/>
      <c r="GP82" s="110"/>
      <c r="GQ82" s="110"/>
      <c r="GR82" s="110"/>
      <c r="GS82" s="110"/>
      <c r="GT82" s="110"/>
      <c r="GU82" s="110"/>
      <c r="GV82" s="110"/>
      <c r="GW82" s="110"/>
      <c r="GX82" s="110"/>
      <c r="GY82" s="110"/>
      <c r="GZ82" s="110"/>
      <c r="HA82" s="110"/>
      <c r="HB82" s="110"/>
      <c r="HC82" s="110"/>
      <c r="HD82" s="110"/>
      <c r="HE82" s="110"/>
      <c r="HF82" s="110"/>
      <c r="HG82" s="110"/>
      <c r="HH82" s="110"/>
      <c r="HI82" s="110"/>
      <c r="HJ82" s="110"/>
      <c r="HK82" s="110"/>
      <c r="HL82" s="110"/>
      <c r="HM82" s="110"/>
      <c r="HN82" s="110"/>
      <c r="HO82" s="110"/>
      <c r="HP82" s="110"/>
      <c r="HQ82" s="110"/>
      <c r="HR82" s="110"/>
      <c r="HS82" s="110"/>
      <c r="HT82" s="110"/>
      <c r="HU82" s="110"/>
      <c r="HV82" s="110"/>
      <c r="HW82" s="110"/>
      <c r="HX82" s="110"/>
      <c r="HY82" s="110"/>
      <c r="HZ82" s="110"/>
      <c r="IA82" s="110"/>
      <c r="IB82" s="110"/>
      <c r="IC82" s="110"/>
      <c r="ID82" s="110"/>
      <c r="IE82" s="110"/>
      <c r="IF82" s="110"/>
      <c r="IG82" s="110"/>
      <c r="IH82" s="110"/>
      <c r="II82" s="110"/>
      <c r="IJ82" s="110"/>
      <c r="IK82" s="110"/>
      <c r="IL82" s="110"/>
      <c r="IM82" s="110"/>
      <c r="IN82" s="110"/>
      <c r="IO82" s="110"/>
      <c r="IP82" s="110"/>
      <c r="IQ82" s="110"/>
      <c r="IR82" s="110"/>
      <c r="IS82" s="110"/>
      <c r="IT82" s="110"/>
      <c r="IU82" s="110"/>
      <c r="IV82" s="110"/>
      <c r="IW82" s="110"/>
    </row>
    <row r="83" spans="1:257" x14ac:dyDescent="0.3">
      <c r="A83" s="156"/>
      <c r="B83" s="156"/>
      <c r="C83" s="156"/>
      <c r="D83" s="156"/>
      <c r="E83" s="156"/>
      <c r="F83" s="156"/>
      <c r="G83" s="156"/>
      <c r="H83" s="156"/>
      <c r="I83" s="156"/>
      <c r="J83" s="156"/>
      <c r="K83" s="156"/>
      <c r="L83" s="156"/>
      <c r="M83" s="156"/>
      <c r="N83" s="156"/>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c r="CY83" s="110"/>
      <c r="CZ83" s="110"/>
      <c r="DA83" s="110"/>
      <c r="DB83" s="110"/>
      <c r="DC83" s="110"/>
      <c r="DD83" s="110"/>
      <c r="DE83" s="110"/>
      <c r="DF83" s="110"/>
      <c r="DG83" s="110"/>
      <c r="DH83" s="110"/>
      <c r="DI83" s="110"/>
      <c r="DJ83" s="110"/>
      <c r="DK83" s="110"/>
      <c r="DL83" s="110"/>
      <c r="DM83" s="110"/>
      <c r="DN83" s="110"/>
      <c r="DO83" s="110"/>
      <c r="DP83" s="110"/>
      <c r="DQ83" s="110"/>
      <c r="DR83" s="110"/>
      <c r="DS83" s="110"/>
      <c r="DT83" s="110"/>
      <c r="DU83" s="110"/>
      <c r="DV83" s="110"/>
      <c r="DW83" s="110"/>
      <c r="DX83" s="110"/>
      <c r="DY83" s="110"/>
      <c r="DZ83" s="110"/>
      <c r="EA83" s="110"/>
      <c r="EB83" s="110"/>
      <c r="EC83" s="110"/>
      <c r="ED83" s="110"/>
      <c r="EE83" s="110"/>
      <c r="EF83" s="110"/>
      <c r="EG83" s="110"/>
      <c r="EH83" s="110"/>
      <c r="EI83" s="110"/>
      <c r="EJ83" s="110"/>
      <c r="EK83" s="110"/>
      <c r="EL83" s="110"/>
      <c r="EM83" s="110"/>
      <c r="EN83" s="110"/>
      <c r="EO83" s="110"/>
      <c r="EP83" s="110"/>
      <c r="EQ83" s="110"/>
      <c r="ER83" s="110"/>
      <c r="ES83" s="110"/>
      <c r="ET83" s="110"/>
      <c r="EU83" s="110"/>
      <c r="EV83" s="110"/>
      <c r="EW83" s="110"/>
      <c r="EX83" s="110"/>
      <c r="EY83" s="110"/>
      <c r="EZ83" s="110"/>
      <c r="FA83" s="110"/>
      <c r="FB83" s="110"/>
      <c r="FC83" s="110"/>
      <c r="FD83" s="110"/>
      <c r="FE83" s="110"/>
      <c r="FF83" s="110"/>
      <c r="FG83" s="110"/>
      <c r="FH83" s="110"/>
      <c r="FI83" s="110"/>
      <c r="FJ83" s="110"/>
      <c r="FK83" s="110"/>
      <c r="FL83" s="110"/>
      <c r="FM83" s="110"/>
      <c r="FN83" s="110"/>
      <c r="FO83" s="110"/>
      <c r="FP83" s="110"/>
      <c r="FQ83" s="110"/>
      <c r="FR83" s="110"/>
      <c r="FS83" s="110"/>
      <c r="FT83" s="110"/>
      <c r="FU83" s="110"/>
      <c r="FV83" s="110"/>
      <c r="FW83" s="110"/>
      <c r="FX83" s="110"/>
      <c r="FY83" s="110"/>
      <c r="FZ83" s="110"/>
      <c r="GA83" s="110"/>
      <c r="GB83" s="110"/>
      <c r="GC83" s="110"/>
      <c r="GD83" s="110"/>
      <c r="GE83" s="110"/>
      <c r="GF83" s="110"/>
      <c r="GG83" s="110"/>
      <c r="GH83" s="110"/>
      <c r="GI83" s="110"/>
      <c r="GJ83" s="110"/>
      <c r="GK83" s="110"/>
      <c r="GL83" s="110"/>
      <c r="GM83" s="110"/>
      <c r="GN83" s="110"/>
      <c r="GO83" s="110"/>
      <c r="GP83" s="110"/>
      <c r="GQ83" s="110"/>
      <c r="GR83" s="110"/>
      <c r="GS83" s="110"/>
      <c r="GT83" s="110"/>
      <c r="GU83" s="110"/>
      <c r="GV83" s="110"/>
      <c r="GW83" s="110"/>
      <c r="GX83" s="110"/>
      <c r="GY83" s="110"/>
      <c r="GZ83" s="110"/>
      <c r="HA83" s="110"/>
      <c r="HB83" s="110"/>
      <c r="HC83" s="110"/>
      <c r="HD83" s="110"/>
      <c r="HE83" s="110"/>
      <c r="HF83" s="110"/>
      <c r="HG83" s="110"/>
      <c r="HH83" s="110"/>
      <c r="HI83" s="110"/>
      <c r="HJ83" s="110"/>
      <c r="HK83" s="110"/>
      <c r="HL83" s="110"/>
      <c r="HM83" s="110"/>
      <c r="HN83" s="110"/>
      <c r="HO83" s="110"/>
      <c r="HP83" s="110"/>
      <c r="HQ83" s="110"/>
      <c r="HR83" s="110"/>
      <c r="HS83" s="110"/>
      <c r="HT83" s="110"/>
      <c r="HU83" s="110"/>
      <c r="HV83" s="110"/>
      <c r="HW83" s="110"/>
      <c r="HX83" s="110"/>
      <c r="HY83" s="110"/>
      <c r="HZ83" s="110"/>
      <c r="IA83" s="110"/>
      <c r="IB83" s="110"/>
      <c r="IC83" s="110"/>
      <c r="ID83" s="110"/>
      <c r="IE83" s="110"/>
      <c r="IF83" s="110"/>
      <c r="IG83" s="110"/>
      <c r="IH83" s="110"/>
      <c r="II83" s="110"/>
      <c r="IJ83" s="110"/>
      <c r="IK83" s="110"/>
      <c r="IL83" s="110"/>
      <c r="IM83" s="110"/>
      <c r="IN83" s="110"/>
      <c r="IO83" s="110"/>
      <c r="IP83" s="110"/>
      <c r="IQ83" s="110"/>
      <c r="IR83" s="110"/>
      <c r="IS83" s="110"/>
      <c r="IT83" s="110"/>
      <c r="IU83" s="110"/>
      <c r="IV83" s="110"/>
      <c r="IW83" s="110"/>
    </row>
    <row r="84" spans="1:257" x14ac:dyDescent="0.3">
      <c r="A84" s="156"/>
      <c r="B84" s="156"/>
      <c r="C84" s="156"/>
      <c r="D84" s="156"/>
      <c r="E84" s="156"/>
      <c r="F84" s="156"/>
      <c r="G84" s="156"/>
      <c r="H84" s="156"/>
      <c r="I84" s="156"/>
      <c r="J84" s="156"/>
      <c r="K84" s="156"/>
      <c r="L84" s="156"/>
      <c r="M84" s="156"/>
      <c r="N84" s="156"/>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c r="BY84" s="110"/>
      <c r="BZ84" s="110"/>
      <c r="CA84" s="110"/>
      <c r="CB84" s="110"/>
      <c r="CC84" s="110"/>
      <c r="CD84" s="110"/>
      <c r="CE84" s="110"/>
      <c r="CF84" s="110"/>
      <c r="CG84" s="110"/>
      <c r="CH84" s="110"/>
      <c r="CI84" s="110"/>
      <c r="CJ84" s="110"/>
      <c r="CK84" s="110"/>
      <c r="CL84" s="110"/>
      <c r="CM84" s="110"/>
      <c r="CN84" s="110"/>
      <c r="CO84" s="110"/>
      <c r="CP84" s="110"/>
      <c r="CQ84" s="110"/>
      <c r="CR84" s="110"/>
      <c r="CS84" s="110"/>
      <c r="CT84" s="110"/>
      <c r="CU84" s="110"/>
      <c r="CV84" s="110"/>
      <c r="CW84" s="110"/>
      <c r="CX84" s="110"/>
      <c r="CY84" s="110"/>
      <c r="CZ84" s="110"/>
      <c r="DA84" s="110"/>
      <c r="DB84" s="110"/>
      <c r="DC84" s="110"/>
      <c r="DD84" s="110"/>
      <c r="DE84" s="110"/>
      <c r="DF84" s="110"/>
      <c r="DG84" s="110"/>
      <c r="DH84" s="110"/>
      <c r="DI84" s="110"/>
      <c r="DJ84" s="110"/>
      <c r="DK84" s="110"/>
      <c r="DL84" s="110"/>
      <c r="DM84" s="110"/>
      <c r="DN84" s="110"/>
      <c r="DO84" s="110"/>
      <c r="DP84" s="110"/>
      <c r="DQ84" s="110"/>
      <c r="DR84" s="110"/>
      <c r="DS84" s="110"/>
      <c r="DT84" s="110"/>
      <c r="DU84" s="110"/>
      <c r="DV84" s="110"/>
      <c r="DW84" s="110"/>
      <c r="DX84" s="110"/>
      <c r="DY84" s="110"/>
      <c r="DZ84" s="110"/>
      <c r="EA84" s="110"/>
      <c r="EB84" s="110"/>
      <c r="EC84" s="110"/>
      <c r="ED84" s="110"/>
      <c r="EE84" s="110"/>
      <c r="EF84" s="110"/>
      <c r="EG84" s="110"/>
      <c r="EH84" s="110"/>
      <c r="EI84" s="110"/>
      <c r="EJ84" s="110"/>
      <c r="EK84" s="110"/>
      <c r="EL84" s="110"/>
      <c r="EM84" s="110"/>
      <c r="EN84" s="110"/>
      <c r="EO84" s="110"/>
      <c r="EP84" s="110"/>
      <c r="EQ84" s="110"/>
      <c r="ER84" s="110"/>
      <c r="ES84" s="110"/>
      <c r="ET84" s="110"/>
      <c r="EU84" s="110"/>
      <c r="EV84" s="110"/>
      <c r="EW84" s="110"/>
      <c r="EX84" s="110"/>
      <c r="EY84" s="110"/>
      <c r="EZ84" s="110"/>
      <c r="FA84" s="110"/>
      <c r="FB84" s="110"/>
      <c r="FC84" s="110"/>
      <c r="FD84" s="110"/>
      <c r="FE84" s="110"/>
      <c r="FF84" s="110"/>
      <c r="FG84" s="110"/>
      <c r="FH84" s="110"/>
      <c r="FI84" s="110"/>
      <c r="FJ84" s="110"/>
      <c r="FK84" s="110"/>
      <c r="FL84" s="110"/>
      <c r="FM84" s="110"/>
      <c r="FN84" s="110"/>
      <c r="FO84" s="110"/>
      <c r="FP84" s="110"/>
      <c r="FQ84" s="110"/>
      <c r="FR84" s="110"/>
      <c r="FS84" s="110"/>
      <c r="FT84" s="110"/>
      <c r="FU84" s="110"/>
      <c r="FV84" s="110"/>
      <c r="FW84" s="110"/>
      <c r="FX84" s="110"/>
      <c r="FY84" s="110"/>
      <c r="FZ84" s="110"/>
      <c r="GA84" s="110"/>
      <c r="GB84" s="110"/>
      <c r="GC84" s="110"/>
      <c r="GD84" s="110"/>
      <c r="GE84" s="110"/>
      <c r="GF84" s="110"/>
      <c r="GG84" s="110"/>
      <c r="GH84" s="110"/>
      <c r="GI84" s="110"/>
      <c r="GJ84" s="110"/>
      <c r="GK84" s="110"/>
      <c r="GL84" s="110"/>
      <c r="GM84" s="110"/>
      <c r="GN84" s="110"/>
      <c r="GO84" s="110"/>
      <c r="GP84" s="110"/>
      <c r="GQ84" s="110"/>
      <c r="GR84" s="110"/>
      <c r="GS84" s="110"/>
      <c r="GT84" s="110"/>
      <c r="GU84" s="110"/>
      <c r="GV84" s="110"/>
      <c r="GW84" s="110"/>
      <c r="GX84" s="110"/>
      <c r="GY84" s="110"/>
      <c r="GZ84" s="110"/>
      <c r="HA84" s="110"/>
      <c r="HB84" s="110"/>
      <c r="HC84" s="110"/>
      <c r="HD84" s="110"/>
      <c r="HE84" s="110"/>
      <c r="HF84" s="110"/>
      <c r="HG84" s="110"/>
      <c r="HH84" s="110"/>
      <c r="HI84" s="110"/>
      <c r="HJ84" s="110"/>
      <c r="HK84" s="110"/>
      <c r="HL84" s="110"/>
      <c r="HM84" s="110"/>
      <c r="HN84" s="110"/>
      <c r="HO84" s="110"/>
      <c r="HP84" s="110"/>
      <c r="HQ84" s="110"/>
      <c r="HR84" s="110"/>
      <c r="HS84" s="110"/>
      <c r="HT84" s="110"/>
      <c r="HU84" s="110"/>
      <c r="HV84" s="110"/>
      <c r="HW84" s="110"/>
      <c r="HX84" s="110"/>
      <c r="HY84" s="110"/>
      <c r="HZ84" s="110"/>
      <c r="IA84" s="110"/>
      <c r="IB84" s="110"/>
      <c r="IC84" s="110"/>
      <c r="ID84" s="110"/>
      <c r="IE84" s="110"/>
      <c r="IF84" s="110"/>
      <c r="IG84" s="110"/>
      <c r="IH84" s="110"/>
      <c r="II84" s="110"/>
      <c r="IJ84" s="110"/>
      <c r="IK84" s="110"/>
      <c r="IL84" s="110"/>
      <c r="IM84" s="110"/>
      <c r="IN84" s="110"/>
      <c r="IO84" s="110"/>
      <c r="IP84" s="110"/>
      <c r="IQ84" s="110"/>
      <c r="IR84" s="110"/>
      <c r="IS84" s="110"/>
      <c r="IT84" s="110"/>
      <c r="IU84" s="110"/>
      <c r="IV84" s="110"/>
      <c r="IW84" s="110"/>
    </row>
    <row r="85" spans="1:257" x14ac:dyDescent="0.3">
      <c r="A85" s="156"/>
      <c r="B85" s="156"/>
      <c r="C85" s="156"/>
      <c r="D85" s="156"/>
      <c r="E85" s="156"/>
      <c r="F85" s="156"/>
      <c r="G85" s="156"/>
      <c r="H85" s="156"/>
      <c r="I85" s="156"/>
      <c r="J85" s="156"/>
      <c r="K85" s="156"/>
      <c r="L85" s="156"/>
      <c r="M85" s="156"/>
      <c r="N85" s="156"/>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c r="BY85" s="110"/>
      <c r="BZ85" s="110"/>
      <c r="CA85" s="110"/>
      <c r="CB85" s="110"/>
      <c r="CC85" s="110"/>
      <c r="CD85" s="110"/>
      <c r="CE85" s="110"/>
      <c r="CF85" s="110"/>
      <c r="CG85" s="110"/>
      <c r="CH85" s="110"/>
      <c r="CI85" s="110"/>
      <c r="CJ85" s="110"/>
      <c r="CK85" s="110"/>
      <c r="CL85" s="110"/>
      <c r="CM85" s="110"/>
      <c r="CN85" s="110"/>
      <c r="CO85" s="110"/>
      <c r="CP85" s="110"/>
      <c r="CQ85" s="110"/>
      <c r="CR85" s="110"/>
      <c r="CS85" s="110"/>
      <c r="CT85" s="110"/>
      <c r="CU85" s="110"/>
      <c r="CV85" s="110"/>
      <c r="CW85" s="110"/>
      <c r="CX85" s="110"/>
      <c r="CY85" s="110"/>
      <c r="CZ85" s="110"/>
      <c r="DA85" s="110"/>
      <c r="DB85" s="110"/>
      <c r="DC85" s="110"/>
      <c r="DD85" s="110"/>
      <c r="DE85" s="110"/>
      <c r="DF85" s="110"/>
      <c r="DG85" s="110"/>
      <c r="DH85" s="110"/>
      <c r="DI85" s="110"/>
      <c r="DJ85" s="110"/>
      <c r="DK85" s="110"/>
      <c r="DL85" s="110"/>
      <c r="DM85" s="110"/>
      <c r="DN85" s="110"/>
      <c r="DO85" s="110"/>
      <c r="DP85" s="110"/>
      <c r="DQ85" s="110"/>
      <c r="DR85" s="110"/>
      <c r="DS85" s="110"/>
      <c r="DT85" s="110"/>
      <c r="DU85" s="110"/>
      <c r="DV85" s="110"/>
      <c r="DW85" s="110"/>
      <c r="DX85" s="110"/>
      <c r="DY85" s="110"/>
      <c r="DZ85" s="110"/>
      <c r="EA85" s="110"/>
      <c r="EB85" s="110"/>
      <c r="EC85" s="110"/>
      <c r="ED85" s="110"/>
      <c r="EE85" s="110"/>
      <c r="EF85" s="110"/>
      <c r="EG85" s="110"/>
      <c r="EH85" s="110"/>
      <c r="EI85" s="110"/>
      <c r="EJ85" s="110"/>
      <c r="EK85" s="110"/>
      <c r="EL85" s="110"/>
      <c r="EM85" s="110"/>
      <c r="EN85" s="110"/>
      <c r="EO85" s="110"/>
      <c r="EP85" s="110"/>
      <c r="EQ85" s="110"/>
      <c r="ER85" s="110"/>
      <c r="ES85" s="110"/>
      <c r="ET85" s="110"/>
      <c r="EU85" s="110"/>
      <c r="EV85" s="110"/>
      <c r="EW85" s="110"/>
      <c r="EX85" s="110"/>
      <c r="EY85" s="110"/>
      <c r="EZ85" s="110"/>
      <c r="FA85" s="110"/>
      <c r="FB85" s="110"/>
      <c r="FC85" s="110"/>
      <c r="FD85" s="110"/>
      <c r="FE85" s="110"/>
      <c r="FF85" s="110"/>
      <c r="FG85" s="110"/>
      <c r="FH85" s="110"/>
      <c r="FI85" s="110"/>
      <c r="FJ85" s="110"/>
      <c r="FK85" s="110"/>
      <c r="FL85" s="110"/>
      <c r="FM85" s="110"/>
      <c r="FN85" s="110"/>
      <c r="FO85" s="110"/>
      <c r="FP85" s="110"/>
      <c r="FQ85" s="110"/>
      <c r="FR85" s="110"/>
      <c r="FS85" s="110"/>
      <c r="FT85" s="110"/>
      <c r="FU85" s="110"/>
      <c r="FV85" s="110"/>
      <c r="FW85" s="110"/>
      <c r="FX85" s="110"/>
      <c r="FY85" s="110"/>
      <c r="FZ85" s="110"/>
      <c r="GA85" s="110"/>
      <c r="GB85" s="110"/>
      <c r="GC85" s="110"/>
      <c r="GD85" s="110"/>
      <c r="GE85" s="110"/>
      <c r="GF85" s="110"/>
      <c r="GG85" s="110"/>
      <c r="GH85" s="110"/>
      <c r="GI85" s="110"/>
      <c r="GJ85" s="110"/>
      <c r="GK85" s="110"/>
      <c r="GL85" s="110"/>
      <c r="GM85" s="110"/>
      <c r="GN85" s="110"/>
      <c r="GO85" s="110"/>
      <c r="GP85" s="110"/>
      <c r="GQ85" s="110"/>
      <c r="GR85" s="110"/>
      <c r="GS85" s="110"/>
      <c r="GT85" s="110"/>
      <c r="GU85" s="110"/>
      <c r="GV85" s="110"/>
      <c r="GW85" s="110"/>
      <c r="GX85" s="110"/>
      <c r="GY85" s="110"/>
      <c r="GZ85" s="110"/>
      <c r="HA85" s="110"/>
      <c r="HB85" s="110"/>
      <c r="HC85" s="110"/>
      <c r="HD85" s="110"/>
      <c r="HE85" s="110"/>
      <c r="HF85" s="110"/>
      <c r="HG85" s="110"/>
      <c r="HH85" s="110"/>
      <c r="HI85" s="110"/>
      <c r="HJ85" s="110"/>
      <c r="HK85" s="110"/>
      <c r="HL85" s="110"/>
      <c r="HM85" s="110"/>
      <c r="HN85" s="110"/>
      <c r="HO85" s="110"/>
      <c r="HP85" s="110"/>
      <c r="HQ85" s="110"/>
      <c r="HR85" s="110"/>
      <c r="HS85" s="110"/>
      <c r="HT85" s="110"/>
      <c r="HU85" s="110"/>
      <c r="HV85" s="110"/>
      <c r="HW85" s="110"/>
      <c r="HX85" s="110"/>
      <c r="HY85" s="110"/>
      <c r="HZ85" s="110"/>
      <c r="IA85" s="110"/>
      <c r="IB85" s="110"/>
      <c r="IC85" s="110"/>
      <c r="ID85" s="110"/>
      <c r="IE85" s="110"/>
      <c r="IF85" s="110"/>
      <c r="IG85" s="110"/>
      <c r="IH85" s="110"/>
      <c r="II85" s="110"/>
      <c r="IJ85" s="110"/>
      <c r="IK85" s="110"/>
      <c r="IL85" s="110"/>
      <c r="IM85" s="110"/>
      <c r="IN85" s="110"/>
      <c r="IO85" s="110"/>
      <c r="IP85" s="110"/>
      <c r="IQ85" s="110"/>
      <c r="IR85" s="110"/>
      <c r="IS85" s="110"/>
      <c r="IT85" s="110"/>
      <c r="IU85" s="110"/>
      <c r="IV85" s="110"/>
      <c r="IW85" s="110"/>
    </row>
    <row r="86" spans="1:257" x14ac:dyDescent="0.3">
      <c r="A86" s="156"/>
      <c r="B86" s="156"/>
      <c r="C86" s="156"/>
      <c r="D86" s="156"/>
      <c r="E86" s="156"/>
      <c r="F86" s="156"/>
      <c r="G86" s="156"/>
      <c r="H86" s="156"/>
      <c r="I86" s="156"/>
      <c r="J86" s="156"/>
      <c r="K86" s="156"/>
      <c r="L86" s="156"/>
      <c r="M86" s="156"/>
      <c r="N86" s="156"/>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c r="BY86" s="110"/>
      <c r="BZ86" s="110"/>
      <c r="CA86" s="110"/>
      <c r="CB86" s="110"/>
      <c r="CC86" s="110"/>
      <c r="CD86" s="110"/>
      <c r="CE86" s="110"/>
      <c r="CF86" s="110"/>
      <c r="CG86" s="110"/>
      <c r="CH86" s="110"/>
      <c r="CI86" s="110"/>
      <c r="CJ86" s="110"/>
      <c r="CK86" s="110"/>
      <c r="CL86" s="110"/>
      <c r="CM86" s="110"/>
      <c r="CN86" s="110"/>
      <c r="CO86" s="110"/>
      <c r="CP86" s="110"/>
      <c r="CQ86" s="110"/>
      <c r="CR86" s="110"/>
      <c r="CS86" s="110"/>
      <c r="CT86" s="110"/>
      <c r="CU86" s="110"/>
      <c r="CV86" s="110"/>
      <c r="CW86" s="110"/>
      <c r="CX86" s="110"/>
      <c r="CY86" s="110"/>
      <c r="CZ86" s="110"/>
      <c r="DA86" s="110"/>
      <c r="DB86" s="110"/>
      <c r="DC86" s="110"/>
      <c r="DD86" s="110"/>
      <c r="DE86" s="110"/>
      <c r="DF86" s="110"/>
      <c r="DG86" s="110"/>
      <c r="DH86" s="110"/>
      <c r="DI86" s="110"/>
      <c r="DJ86" s="110"/>
      <c r="DK86" s="110"/>
      <c r="DL86" s="110"/>
      <c r="DM86" s="110"/>
      <c r="DN86" s="110"/>
      <c r="DO86" s="110"/>
      <c r="DP86" s="110"/>
      <c r="DQ86" s="110"/>
      <c r="DR86" s="110"/>
      <c r="DS86" s="110"/>
      <c r="DT86" s="110"/>
      <c r="DU86" s="110"/>
      <c r="DV86" s="110"/>
      <c r="DW86" s="110"/>
      <c r="DX86" s="110"/>
      <c r="DY86" s="110"/>
      <c r="DZ86" s="110"/>
      <c r="EA86" s="110"/>
      <c r="EB86" s="110"/>
      <c r="EC86" s="110"/>
      <c r="ED86" s="110"/>
      <c r="EE86" s="110"/>
      <c r="EF86" s="110"/>
      <c r="EG86" s="110"/>
      <c r="EH86" s="110"/>
      <c r="EI86" s="110"/>
      <c r="EJ86" s="110"/>
      <c r="EK86" s="110"/>
      <c r="EL86" s="110"/>
      <c r="EM86" s="110"/>
      <c r="EN86" s="110"/>
      <c r="EO86" s="110"/>
      <c r="EP86" s="110"/>
      <c r="EQ86" s="110"/>
      <c r="ER86" s="110"/>
      <c r="ES86" s="110"/>
      <c r="ET86" s="110"/>
      <c r="EU86" s="110"/>
      <c r="EV86" s="110"/>
      <c r="EW86" s="110"/>
      <c r="EX86" s="110"/>
      <c r="EY86" s="110"/>
      <c r="EZ86" s="110"/>
      <c r="FA86" s="110"/>
      <c r="FB86" s="110"/>
      <c r="FC86" s="110"/>
      <c r="FD86" s="110"/>
      <c r="FE86" s="110"/>
      <c r="FF86" s="110"/>
      <c r="FG86" s="110"/>
      <c r="FH86" s="110"/>
      <c r="FI86" s="110"/>
      <c r="FJ86" s="110"/>
      <c r="FK86" s="110"/>
      <c r="FL86" s="110"/>
      <c r="FM86" s="110"/>
      <c r="FN86" s="110"/>
      <c r="FO86" s="110"/>
      <c r="FP86" s="110"/>
      <c r="FQ86" s="110"/>
      <c r="FR86" s="110"/>
      <c r="FS86" s="110"/>
      <c r="FT86" s="110"/>
      <c r="FU86" s="110"/>
      <c r="FV86" s="110"/>
      <c r="FW86" s="110"/>
      <c r="FX86" s="110"/>
      <c r="FY86" s="110"/>
      <c r="FZ86" s="110"/>
      <c r="GA86" s="110"/>
      <c r="GB86" s="110"/>
      <c r="GC86" s="110"/>
      <c r="GD86" s="110"/>
      <c r="GE86" s="110"/>
      <c r="GF86" s="110"/>
      <c r="GG86" s="110"/>
      <c r="GH86" s="110"/>
      <c r="GI86" s="110"/>
      <c r="GJ86" s="110"/>
      <c r="GK86" s="110"/>
      <c r="GL86" s="110"/>
      <c r="GM86" s="110"/>
      <c r="GN86" s="110"/>
      <c r="GO86" s="110"/>
      <c r="GP86" s="110"/>
      <c r="GQ86" s="110"/>
      <c r="GR86" s="110"/>
      <c r="GS86" s="110"/>
      <c r="GT86" s="110"/>
      <c r="GU86" s="110"/>
      <c r="GV86" s="110"/>
      <c r="GW86" s="110"/>
      <c r="GX86" s="110"/>
      <c r="GY86" s="110"/>
      <c r="GZ86" s="110"/>
      <c r="HA86" s="110"/>
      <c r="HB86" s="110"/>
      <c r="HC86" s="110"/>
      <c r="HD86" s="110"/>
      <c r="HE86" s="110"/>
      <c r="HF86" s="110"/>
      <c r="HG86" s="110"/>
      <c r="HH86" s="110"/>
      <c r="HI86" s="110"/>
      <c r="HJ86" s="110"/>
      <c r="HK86" s="110"/>
      <c r="HL86" s="110"/>
      <c r="HM86" s="110"/>
      <c r="HN86" s="110"/>
      <c r="HO86" s="110"/>
      <c r="HP86" s="110"/>
      <c r="HQ86" s="110"/>
      <c r="HR86" s="110"/>
      <c r="HS86" s="110"/>
      <c r="HT86" s="110"/>
      <c r="HU86" s="110"/>
      <c r="HV86" s="110"/>
      <c r="HW86" s="110"/>
      <c r="HX86" s="110"/>
      <c r="HY86" s="110"/>
      <c r="HZ86" s="110"/>
      <c r="IA86" s="110"/>
      <c r="IB86" s="110"/>
      <c r="IC86" s="110"/>
      <c r="ID86" s="110"/>
      <c r="IE86" s="110"/>
      <c r="IF86" s="110"/>
      <c r="IG86" s="110"/>
      <c r="IH86" s="110"/>
      <c r="II86" s="110"/>
      <c r="IJ86" s="110"/>
      <c r="IK86" s="110"/>
      <c r="IL86" s="110"/>
      <c r="IM86" s="110"/>
      <c r="IN86" s="110"/>
      <c r="IO86" s="110"/>
      <c r="IP86" s="110"/>
      <c r="IQ86" s="110"/>
      <c r="IR86" s="110"/>
      <c r="IS86" s="110"/>
      <c r="IT86" s="110"/>
      <c r="IU86" s="110"/>
      <c r="IV86" s="110"/>
      <c r="IW86" s="110"/>
    </row>
    <row r="87" spans="1:257" x14ac:dyDescent="0.3">
      <c r="A87" s="156"/>
      <c r="B87" s="156"/>
      <c r="C87" s="156"/>
      <c r="D87" s="156"/>
      <c r="E87" s="156"/>
      <c r="F87" s="156"/>
      <c r="G87" s="156"/>
      <c r="H87" s="156"/>
      <c r="I87" s="156"/>
      <c r="J87" s="156"/>
      <c r="K87" s="156"/>
      <c r="L87" s="156"/>
      <c r="M87" s="156"/>
      <c r="N87" s="156"/>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c r="BY87" s="110"/>
      <c r="BZ87" s="110"/>
      <c r="CA87" s="110"/>
      <c r="CB87" s="110"/>
      <c r="CC87" s="110"/>
      <c r="CD87" s="110"/>
      <c r="CE87" s="110"/>
      <c r="CF87" s="110"/>
      <c r="CG87" s="110"/>
      <c r="CH87" s="110"/>
      <c r="CI87" s="110"/>
      <c r="CJ87" s="110"/>
      <c r="CK87" s="110"/>
      <c r="CL87" s="110"/>
      <c r="CM87" s="110"/>
      <c r="CN87" s="110"/>
      <c r="CO87" s="110"/>
      <c r="CP87" s="110"/>
      <c r="CQ87" s="110"/>
      <c r="CR87" s="110"/>
      <c r="CS87" s="110"/>
      <c r="CT87" s="110"/>
      <c r="CU87" s="110"/>
      <c r="CV87" s="110"/>
      <c r="CW87" s="110"/>
      <c r="CX87" s="110"/>
      <c r="CY87" s="110"/>
      <c r="CZ87" s="110"/>
      <c r="DA87" s="110"/>
      <c r="DB87" s="110"/>
      <c r="DC87" s="110"/>
      <c r="DD87" s="110"/>
      <c r="DE87" s="110"/>
      <c r="DF87" s="110"/>
      <c r="DG87" s="110"/>
      <c r="DH87" s="110"/>
      <c r="DI87" s="110"/>
      <c r="DJ87" s="110"/>
      <c r="DK87" s="110"/>
      <c r="DL87" s="110"/>
      <c r="DM87" s="110"/>
      <c r="DN87" s="110"/>
      <c r="DO87" s="110"/>
      <c r="DP87" s="110"/>
      <c r="DQ87" s="110"/>
      <c r="DR87" s="110"/>
      <c r="DS87" s="110"/>
      <c r="DT87" s="110"/>
      <c r="DU87" s="110"/>
      <c r="DV87" s="110"/>
      <c r="DW87" s="110"/>
      <c r="DX87" s="110"/>
      <c r="DY87" s="110"/>
      <c r="DZ87" s="110"/>
      <c r="EA87" s="110"/>
      <c r="EB87" s="110"/>
      <c r="EC87" s="110"/>
      <c r="ED87" s="110"/>
      <c r="EE87" s="110"/>
      <c r="EF87" s="110"/>
      <c r="EG87" s="110"/>
      <c r="EH87" s="110"/>
      <c r="EI87" s="110"/>
      <c r="EJ87" s="110"/>
      <c r="EK87" s="110"/>
      <c r="EL87" s="110"/>
      <c r="EM87" s="110"/>
      <c r="EN87" s="110"/>
      <c r="EO87" s="110"/>
      <c r="EP87" s="110"/>
      <c r="EQ87" s="110"/>
      <c r="ER87" s="110"/>
      <c r="ES87" s="110"/>
      <c r="ET87" s="110"/>
      <c r="EU87" s="110"/>
      <c r="EV87" s="110"/>
      <c r="EW87" s="110"/>
      <c r="EX87" s="110"/>
      <c r="EY87" s="110"/>
      <c r="EZ87" s="110"/>
      <c r="FA87" s="110"/>
      <c r="FB87" s="110"/>
      <c r="FC87" s="110"/>
      <c r="FD87" s="110"/>
      <c r="FE87" s="110"/>
      <c r="FF87" s="110"/>
      <c r="FG87" s="110"/>
      <c r="FH87" s="110"/>
      <c r="FI87" s="110"/>
      <c r="FJ87" s="110"/>
      <c r="FK87" s="110"/>
      <c r="FL87" s="110"/>
      <c r="FM87" s="110"/>
      <c r="FN87" s="110"/>
      <c r="FO87" s="110"/>
      <c r="FP87" s="110"/>
      <c r="FQ87" s="110"/>
      <c r="FR87" s="110"/>
      <c r="FS87" s="110"/>
      <c r="FT87" s="110"/>
      <c r="FU87" s="110"/>
      <c r="FV87" s="110"/>
      <c r="FW87" s="110"/>
      <c r="FX87" s="110"/>
      <c r="FY87" s="110"/>
      <c r="FZ87" s="110"/>
      <c r="GA87" s="110"/>
      <c r="GB87" s="110"/>
      <c r="GC87" s="110"/>
      <c r="GD87" s="110"/>
      <c r="GE87" s="110"/>
      <c r="GF87" s="110"/>
      <c r="GG87" s="110"/>
      <c r="GH87" s="110"/>
      <c r="GI87" s="110"/>
      <c r="GJ87" s="110"/>
      <c r="GK87" s="110"/>
      <c r="GL87" s="110"/>
      <c r="GM87" s="110"/>
      <c r="GN87" s="110"/>
      <c r="GO87" s="110"/>
      <c r="GP87" s="110"/>
      <c r="GQ87" s="110"/>
      <c r="GR87" s="110"/>
      <c r="GS87" s="110"/>
      <c r="GT87" s="110"/>
      <c r="GU87" s="110"/>
      <c r="GV87" s="110"/>
      <c r="GW87" s="110"/>
      <c r="GX87" s="110"/>
      <c r="GY87" s="110"/>
      <c r="GZ87" s="110"/>
      <c r="HA87" s="110"/>
      <c r="HB87" s="110"/>
      <c r="HC87" s="110"/>
      <c r="HD87" s="110"/>
      <c r="HE87" s="110"/>
      <c r="HF87" s="110"/>
      <c r="HG87" s="110"/>
      <c r="HH87" s="110"/>
      <c r="HI87" s="110"/>
      <c r="HJ87" s="110"/>
      <c r="HK87" s="110"/>
      <c r="HL87" s="110"/>
      <c r="HM87" s="110"/>
      <c r="HN87" s="110"/>
      <c r="HO87" s="110"/>
      <c r="HP87" s="110"/>
      <c r="HQ87" s="110"/>
      <c r="HR87" s="110"/>
      <c r="HS87" s="110"/>
      <c r="HT87" s="110"/>
      <c r="HU87" s="110"/>
      <c r="HV87" s="110"/>
      <c r="HW87" s="110"/>
      <c r="HX87" s="110"/>
      <c r="HY87" s="110"/>
      <c r="HZ87" s="110"/>
      <c r="IA87" s="110"/>
      <c r="IB87" s="110"/>
      <c r="IC87" s="110"/>
      <c r="ID87" s="110"/>
      <c r="IE87" s="110"/>
      <c r="IF87" s="110"/>
      <c r="IG87" s="110"/>
      <c r="IH87" s="110"/>
      <c r="II87" s="110"/>
      <c r="IJ87" s="110"/>
      <c r="IK87" s="110"/>
      <c r="IL87" s="110"/>
      <c r="IM87" s="110"/>
      <c r="IN87" s="110"/>
      <c r="IO87" s="110"/>
      <c r="IP87" s="110"/>
      <c r="IQ87" s="110"/>
      <c r="IR87" s="110"/>
      <c r="IS87" s="110"/>
      <c r="IT87" s="110"/>
      <c r="IU87" s="110"/>
      <c r="IV87" s="110"/>
      <c r="IW87" s="110"/>
    </row>
    <row r="88" spans="1:257" x14ac:dyDescent="0.3">
      <c r="A88" s="156"/>
      <c r="B88" s="156"/>
      <c r="C88" s="156"/>
      <c r="D88" s="156"/>
      <c r="E88" s="156"/>
      <c r="F88" s="156"/>
      <c r="G88" s="156"/>
      <c r="H88" s="156"/>
      <c r="I88" s="156"/>
      <c r="J88" s="156"/>
      <c r="K88" s="156"/>
      <c r="L88" s="156"/>
      <c r="M88" s="156"/>
      <c r="N88" s="156"/>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c r="BY88" s="110"/>
      <c r="BZ88" s="110"/>
      <c r="CA88" s="110"/>
      <c r="CB88" s="110"/>
      <c r="CC88" s="110"/>
      <c r="CD88" s="110"/>
      <c r="CE88" s="110"/>
      <c r="CF88" s="110"/>
      <c r="CG88" s="110"/>
      <c r="CH88" s="110"/>
      <c r="CI88" s="110"/>
      <c r="CJ88" s="110"/>
      <c r="CK88" s="110"/>
      <c r="CL88" s="110"/>
      <c r="CM88" s="110"/>
      <c r="CN88" s="110"/>
      <c r="CO88" s="110"/>
      <c r="CP88" s="110"/>
      <c r="CQ88" s="110"/>
      <c r="CR88" s="110"/>
      <c r="CS88" s="110"/>
      <c r="CT88" s="110"/>
      <c r="CU88" s="110"/>
      <c r="CV88" s="110"/>
      <c r="CW88" s="110"/>
      <c r="CX88" s="110"/>
      <c r="CY88" s="110"/>
      <c r="CZ88" s="110"/>
      <c r="DA88" s="110"/>
      <c r="DB88" s="110"/>
      <c r="DC88" s="110"/>
      <c r="DD88" s="110"/>
      <c r="DE88" s="110"/>
      <c r="DF88" s="110"/>
      <c r="DG88" s="110"/>
      <c r="DH88" s="110"/>
      <c r="DI88" s="110"/>
      <c r="DJ88" s="110"/>
      <c r="DK88" s="110"/>
      <c r="DL88" s="110"/>
      <c r="DM88" s="110"/>
      <c r="DN88" s="110"/>
      <c r="DO88" s="110"/>
      <c r="DP88" s="110"/>
      <c r="DQ88" s="110"/>
      <c r="DR88" s="110"/>
      <c r="DS88" s="110"/>
      <c r="DT88" s="110"/>
      <c r="DU88" s="110"/>
      <c r="DV88" s="110"/>
      <c r="DW88" s="110"/>
      <c r="DX88" s="110"/>
      <c r="DY88" s="110"/>
      <c r="DZ88" s="110"/>
      <c r="EA88" s="110"/>
      <c r="EB88" s="110"/>
      <c r="EC88" s="110"/>
      <c r="ED88" s="110"/>
      <c r="EE88" s="110"/>
      <c r="EF88" s="110"/>
      <c r="EG88" s="110"/>
      <c r="EH88" s="110"/>
      <c r="EI88" s="110"/>
      <c r="EJ88" s="110"/>
      <c r="EK88" s="110"/>
      <c r="EL88" s="110"/>
      <c r="EM88" s="110"/>
      <c r="EN88" s="110"/>
      <c r="EO88" s="110"/>
      <c r="EP88" s="110"/>
      <c r="EQ88" s="110"/>
      <c r="ER88" s="110"/>
      <c r="ES88" s="110"/>
      <c r="ET88" s="110"/>
      <c r="EU88" s="110"/>
      <c r="EV88" s="110"/>
      <c r="EW88" s="110"/>
      <c r="EX88" s="110"/>
      <c r="EY88" s="110"/>
      <c r="EZ88" s="110"/>
      <c r="FA88" s="110"/>
      <c r="FB88" s="110"/>
      <c r="FC88" s="110"/>
      <c r="FD88" s="110"/>
      <c r="FE88" s="110"/>
      <c r="FF88" s="110"/>
      <c r="FG88" s="110"/>
      <c r="FH88" s="110"/>
      <c r="FI88" s="110"/>
      <c r="FJ88" s="110"/>
      <c r="FK88" s="110"/>
      <c r="FL88" s="110"/>
      <c r="FM88" s="110"/>
      <c r="FN88" s="110"/>
      <c r="FO88" s="110"/>
      <c r="FP88" s="110"/>
      <c r="FQ88" s="110"/>
      <c r="FR88" s="110"/>
      <c r="FS88" s="110"/>
      <c r="FT88" s="110"/>
      <c r="FU88" s="110"/>
      <c r="FV88" s="110"/>
      <c r="FW88" s="110"/>
      <c r="FX88" s="110"/>
      <c r="FY88" s="110"/>
      <c r="FZ88" s="110"/>
      <c r="GA88" s="110"/>
      <c r="GB88" s="110"/>
      <c r="GC88" s="110"/>
      <c r="GD88" s="110"/>
      <c r="GE88" s="110"/>
      <c r="GF88" s="110"/>
      <c r="GG88" s="110"/>
      <c r="GH88" s="110"/>
      <c r="GI88" s="110"/>
      <c r="GJ88" s="110"/>
      <c r="GK88" s="110"/>
      <c r="GL88" s="110"/>
      <c r="GM88" s="110"/>
      <c r="GN88" s="110"/>
      <c r="GO88" s="110"/>
      <c r="GP88" s="110"/>
      <c r="GQ88" s="110"/>
      <c r="GR88" s="110"/>
      <c r="GS88" s="110"/>
      <c r="GT88" s="110"/>
      <c r="GU88" s="110"/>
      <c r="GV88" s="110"/>
      <c r="GW88" s="110"/>
      <c r="GX88" s="110"/>
      <c r="GY88" s="110"/>
      <c r="GZ88" s="110"/>
      <c r="HA88" s="110"/>
      <c r="HB88" s="110"/>
      <c r="HC88" s="110"/>
      <c r="HD88" s="110"/>
      <c r="HE88" s="110"/>
      <c r="HF88" s="110"/>
      <c r="HG88" s="110"/>
      <c r="HH88" s="110"/>
      <c r="HI88" s="110"/>
      <c r="HJ88" s="110"/>
      <c r="HK88" s="110"/>
      <c r="HL88" s="110"/>
      <c r="HM88" s="110"/>
      <c r="HN88" s="110"/>
      <c r="HO88" s="110"/>
      <c r="HP88" s="110"/>
      <c r="HQ88" s="110"/>
      <c r="HR88" s="110"/>
      <c r="HS88" s="110"/>
      <c r="HT88" s="110"/>
      <c r="HU88" s="110"/>
      <c r="HV88" s="110"/>
      <c r="HW88" s="110"/>
      <c r="HX88" s="110"/>
      <c r="HY88" s="110"/>
      <c r="HZ88" s="110"/>
      <c r="IA88" s="110"/>
      <c r="IB88" s="110"/>
      <c r="IC88" s="110"/>
      <c r="ID88" s="110"/>
      <c r="IE88" s="110"/>
      <c r="IF88" s="110"/>
      <c r="IG88" s="110"/>
      <c r="IH88" s="110"/>
      <c r="II88" s="110"/>
      <c r="IJ88" s="110"/>
      <c r="IK88" s="110"/>
      <c r="IL88" s="110"/>
      <c r="IM88" s="110"/>
      <c r="IN88" s="110"/>
      <c r="IO88" s="110"/>
      <c r="IP88" s="110"/>
      <c r="IQ88" s="110"/>
      <c r="IR88" s="110"/>
      <c r="IS88" s="110"/>
      <c r="IT88" s="110"/>
      <c r="IU88" s="110"/>
      <c r="IV88" s="110"/>
      <c r="IW88" s="110"/>
    </row>
    <row r="89" spans="1:257" x14ac:dyDescent="0.3">
      <c r="A89" s="156"/>
      <c r="B89" s="156"/>
      <c r="C89" s="156"/>
      <c r="D89" s="156"/>
      <c r="E89" s="156"/>
      <c r="F89" s="156"/>
      <c r="G89" s="156"/>
      <c r="H89" s="156"/>
      <c r="I89" s="156"/>
      <c r="J89" s="156"/>
      <c r="K89" s="156"/>
      <c r="L89" s="156"/>
      <c r="M89" s="156"/>
      <c r="N89" s="156"/>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c r="BY89" s="110"/>
      <c r="BZ89" s="110"/>
      <c r="CA89" s="110"/>
      <c r="CB89" s="110"/>
      <c r="CC89" s="110"/>
      <c r="CD89" s="110"/>
      <c r="CE89" s="110"/>
      <c r="CF89" s="110"/>
      <c r="CG89" s="110"/>
      <c r="CH89" s="110"/>
      <c r="CI89" s="110"/>
      <c r="CJ89" s="110"/>
      <c r="CK89" s="110"/>
      <c r="CL89" s="110"/>
      <c r="CM89" s="110"/>
      <c r="CN89" s="110"/>
      <c r="CO89" s="110"/>
      <c r="CP89" s="110"/>
      <c r="CQ89" s="110"/>
      <c r="CR89" s="110"/>
      <c r="CS89" s="110"/>
      <c r="CT89" s="110"/>
      <c r="CU89" s="110"/>
      <c r="CV89" s="110"/>
      <c r="CW89" s="110"/>
      <c r="CX89" s="110"/>
      <c r="CY89" s="110"/>
      <c r="CZ89" s="110"/>
      <c r="DA89" s="110"/>
      <c r="DB89" s="110"/>
      <c r="DC89" s="110"/>
      <c r="DD89" s="110"/>
      <c r="DE89" s="110"/>
      <c r="DF89" s="110"/>
      <c r="DG89" s="110"/>
      <c r="DH89" s="110"/>
      <c r="DI89" s="110"/>
      <c r="DJ89" s="110"/>
      <c r="DK89" s="110"/>
      <c r="DL89" s="110"/>
      <c r="DM89" s="110"/>
      <c r="DN89" s="110"/>
      <c r="DO89" s="110"/>
      <c r="DP89" s="110"/>
      <c r="DQ89" s="110"/>
      <c r="DR89" s="110"/>
      <c r="DS89" s="110"/>
      <c r="DT89" s="110"/>
      <c r="DU89" s="110"/>
      <c r="DV89" s="110"/>
      <c r="DW89" s="110"/>
      <c r="DX89" s="110"/>
      <c r="DY89" s="110"/>
      <c r="DZ89" s="110"/>
      <c r="EA89" s="110"/>
      <c r="EB89" s="110"/>
      <c r="EC89" s="110"/>
      <c r="ED89" s="110"/>
      <c r="EE89" s="110"/>
      <c r="EF89" s="110"/>
      <c r="EG89" s="110"/>
      <c r="EH89" s="110"/>
      <c r="EI89" s="110"/>
      <c r="EJ89" s="110"/>
      <c r="EK89" s="110"/>
      <c r="EL89" s="110"/>
      <c r="EM89" s="110"/>
      <c r="EN89" s="110"/>
      <c r="EO89" s="110"/>
      <c r="EP89" s="110"/>
      <c r="EQ89" s="110"/>
      <c r="ER89" s="110"/>
      <c r="ES89" s="110"/>
      <c r="ET89" s="110"/>
      <c r="EU89" s="110"/>
      <c r="EV89" s="110"/>
      <c r="EW89" s="110"/>
      <c r="EX89" s="110"/>
      <c r="EY89" s="110"/>
      <c r="EZ89" s="110"/>
      <c r="FA89" s="110"/>
      <c r="FB89" s="110"/>
      <c r="FC89" s="110"/>
      <c r="FD89" s="110"/>
      <c r="FE89" s="110"/>
      <c r="FF89" s="110"/>
      <c r="FG89" s="110"/>
      <c r="FH89" s="110"/>
      <c r="FI89" s="110"/>
      <c r="FJ89" s="110"/>
      <c r="FK89" s="110"/>
      <c r="FL89" s="110"/>
      <c r="FM89" s="110"/>
      <c r="FN89" s="110"/>
      <c r="FO89" s="110"/>
      <c r="FP89" s="110"/>
      <c r="FQ89" s="110"/>
      <c r="FR89" s="110"/>
      <c r="FS89" s="110"/>
      <c r="FT89" s="110"/>
      <c r="FU89" s="110"/>
      <c r="FV89" s="110"/>
      <c r="FW89" s="110"/>
      <c r="FX89" s="110"/>
      <c r="FY89" s="110"/>
      <c r="FZ89" s="110"/>
      <c r="GA89" s="110"/>
      <c r="GB89" s="110"/>
      <c r="GC89" s="110"/>
      <c r="GD89" s="110"/>
      <c r="GE89" s="110"/>
      <c r="GF89" s="110"/>
      <c r="GG89" s="110"/>
      <c r="GH89" s="110"/>
      <c r="GI89" s="110"/>
      <c r="GJ89" s="110"/>
      <c r="GK89" s="110"/>
      <c r="GL89" s="110"/>
      <c r="GM89" s="110"/>
      <c r="GN89" s="110"/>
      <c r="GO89" s="110"/>
      <c r="GP89" s="110"/>
      <c r="GQ89" s="110"/>
      <c r="GR89" s="110"/>
      <c r="GS89" s="110"/>
      <c r="GT89" s="110"/>
      <c r="GU89" s="110"/>
      <c r="GV89" s="110"/>
      <c r="GW89" s="110"/>
      <c r="GX89" s="110"/>
      <c r="GY89" s="110"/>
      <c r="GZ89" s="110"/>
      <c r="HA89" s="110"/>
      <c r="HB89" s="110"/>
      <c r="HC89" s="110"/>
      <c r="HD89" s="110"/>
      <c r="HE89" s="110"/>
      <c r="HF89" s="110"/>
      <c r="HG89" s="110"/>
      <c r="HH89" s="110"/>
      <c r="HI89" s="110"/>
      <c r="HJ89" s="110"/>
      <c r="HK89" s="110"/>
      <c r="HL89" s="110"/>
      <c r="HM89" s="110"/>
      <c r="HN89" s="110"/>
      <c r="HO89" s="110"/>
      <c r="HP89" s="110"/>
      <c r="HQ89" s="110"/>
      <c r="HR89" s="110"/>
      <c r="HS89" s="110"/>
      <c r="HT89" s="110"/>
      <c r="HU89" s="110"/>
      <c r="HV89" s="110"/>
      <c r="HW89" s="110"/>
      <c r="HX89" s="110"/>
      <c r="HY89" s="110"/>
      <c r="HZ89" s="110"/>
      <c r="IA89" s="110"/>
      <c r="IB89" s="110"/>
      <c r="IC89" s="110"/>
      <c r="ID89" s="110"/>
      <c r="IE89" s="110"/>
      <c r="IF89" s="110"/>
      <c r="IG89" s="110"/>
      <c r="IH89" s="110"/>
      <c r="II89" s="110"/>
      <c r="IJ89" s="110"/>
      <c r="IK89" s="110"/>
      <c r="IL89" s="110"/>
      <c r="IM89" s="110"/>
      <c r="IN89" s="110"/>
      <c r="IO89" s="110"/>
      <c r="IP89" s="110"/>
      <c r="IQ89" s="110"/>
      <c r="IR89" s="110"/>
      <c r="IS89" s="110"/>
      <c r="IT89" s="110"/>
      <c r="IU89" s="110"/>
      <c r="IV89" s="110"/>
      <c r="IW89" s="110"/>
    </row>
    <row r="90" spans="1:257" x14ac:dyDescent="0.3">
      <c r="A90" s="156"/>
      <c r="B90" s="156"/>
      <c r="C90" s="156"/>
      <c r="D90" s="156"/>
      <c r="E90" s="156"/>
      <c r="F90" s="156"/>
      <c r="G90" s="156"/>
      <c r="H90" s="156"/>
      <c r="I90" s="156"/>
      <c r="J90" s="156"/>
      <c r="K90" s="156"/>
      <c r="L90" s="156"/>
      <c r="M90" s="156"/>
      <c r="N90" s="156"/>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c r="BY90" s="110"/>
      <c r="BZ90" s="110"/>
      <c r="CA90" s="110"/>
      <c r="CB90" s="110"/>
      <c r="CC90" s="110"/>
      <c r="CD90" s="110"/>
      <c r="CE90" s="110"/>
      <c r="CF90" s="110"/>
      <c r="CG90" s="110"/>
      <c r="CH90" s="110"/>
      <c r="CI90" s="110"/>
      <c r="CJ90" s="110"/>
      <c r="CK90" s="110"/>
      <c r="CL90" s="110"/>
      <c r="CM90" s="110"/>
      <c r="CN90" s="110"/>
      <c r="CO90" s="110"/>
      <c r="CP90" s="110"/>
      <c r="CQ90" s="110"/>
      <c r="CR90" s="110"/>
      <c r="CS90" s="110"/>
      <c r="CT90" s="110"/>
      <c r="CU90" s="110"/>
      <c r="CV90" s="110"/>
      <c r="CW90" s="110"/>
      <c r="CX90" s="110"/>
      <c r="CY90" s="110"/>
      <c r="CZ90" s="110"/>
      <c r="DA90" s="110"/>
      <c r="DB90" s="110"/>
      <c r="DC90" s="110"/>
      <c r="DD90" s="110"/>
      <c r="DE90" s="110"/>
      <c r="DF90" s="110"/>
      <c r="DG90" s="110"/>
      <c r="DH90" s="110"/>
      <c r="DI90" s="110"/>
      <c r="DJ90" s="110"/>
      <c r="DK90" s="110"/>
      <c r="DL90" s="110"/>
      <c r="DM90" s="110"/>
      <c r="DN90" s="110"/>
      <c r="DO90" s="110"/>
      <c r="DP90" s="110"/>
      <c r="DQ90" s="110"/>
      <c r="DR90" s="110"/>
      <c r="DS90" s="110"/>
      <c r="DT90" s="110"/>
      <c r="DU90" s="110"/>
      <c r="DV90" s="110"/>
      <c r="DW90" s="110"/>
      <c r="DX90" s="110"/>
      <c r="DY90" s="110"/>
      <c r="DZ90" s="110"/>
      <c r="EA90" s="110"/>
      <c r="EB90" s="110"/>
      <c r="EC90" s="110"/>
      <c r="ED90" s="110"/>
      <c r="EE90" s="110"/>
      <c r="EF90" s="110"/>
      <c r="EG90" s="110"/>
      <c r="EH90" s="110"/>
      <c r="EI90" s="110"/>
      <c r="EJ90" s="110"/>
      <c r="EK90" s="110"/>
      <c r="EL90" s="110"/>
      <c r="EM90" s="110"/>
      <c r="EN90" s="110"/>
      <c r="EO90" s="110"/>
      <c r="EP90" s="110"/>
      <c r="EQ90" s="110"/>
      <c r="ER90" s="110"/>
      <c r="ES90" s="110"/>
      <c r="ET90" s="110"/>
      <c r="EU90" s="110"/>
      <c r="EV90" s="110"/>
      <c r="EW90" s="110"/>
      <c r="EX90" s="110"/>
      <c r="EY90" s="110"/>
      <c r="EZ90" s="110"/>
      <c r="FA90" s="110"/>
      <c r="FB90" s="110"/>
      <c r="FC90" s="110"/>
      <c r="FD90" s="110"/>
      <c r="FE90" s="110"/>
      <c r="FF90" s="110"/>
      <c r="FG90" s="110"/>
      <c r="FH90" s="110"/>
      <c r="FI90" s="110"/>
      <c r="FJ90" s="110"/>
      <c r="FK90" s="110"/>
      <c r="FL90" s="110"/>
      <c r="FM90" s="110"/>
      <c r="FN90" s="110"/>
      <c r="FO90" s="110"/>
      <c r="FP90" s="110"/>
      <c r="FQ90" s="110"/>
      <c r="FR90" s="110"/>
      <c r="FS90" s="110"/>
      <c r="FT90" s="110"/>
      <c r="FU90" s="110"/>
      <c r="FV90" s="110"/>
      <c r="FW90" s="110"/>
      <c r="FX90" s="110"/>
      <c r="FY90" s="110"/>
      <c r="FZ90" s="110"/>
      <c r="GA90" s="110"/>
      <c r="GB90" s="110"/>
      <c r="GC90" s="110"/>
      <c r="GD90" s="110"/>
      <c r="GE90" s="110"/>
      <c r="GF90" s="110"/>
      <c r="GG90" s="110"/>
      <c r="GH90" s="110"/>
      <c r="GI90" s="110"/>
      <c r="GJ90" s="110"/>
      <c r="GK90" s="110"/>
      <c r="GL90" s="110"/>
      <c r="GM90" s="110"/>
      <c r="GN90" s="110"/>
      <c r="GO90" s="110"/>
      <c r="GP90" s="110"/>
      <c r="GQ90" s="110"/>
      <c r="GR90" s="110"/>
      <c r="GS90" s="110"/>
      <c r="GT90" s="110"/>
      <c r="GU90" s="110"/>
      <c r="GV90" s="110"/>
      <c r="GW90" s="110"/>
      <c r="GX90" s="110"/>
      <c r="GY90" s="110"/>
      <c r="GZ90" s="110"/>
      <c r="HA90" s="110"/>
      <c r="HB90" s="110"/>
      <c r="HC90" s="110"/>
      <c r="HD90" s="110"/>
      <c r="HE90" s="110"/>
      <c r="HF90" s="110"/>
      <c r="HG90" s="110"/>
      <c r="HH90" s="110"/>
      <c r="HI90" s="110"/>
      <c r="HJ90" s="110"/>
      <c r="HK90" s="110"/>
      <c r="HL90" s="110"/>
      <c r="HM90" s="110"/>
      <c r="HN90" s="110"/>
      <c r="HO90" s="110"/>
      <c r="HP90" s="110"/>
      <c r="HQ90" s="110"/>
      <c r="HR90" s="110"/>
      <c r="HS90" s="110"/>
      <c r="HT90" s="110"/>
      <c r="HU90" s="110"/>
      <c r="HV90" s="110"/>
      <c r="HW90" s="110"/>
      <c r="HX90" s="110"/>
      <c r="HY90" s="110"/>
      <c r="HZ90" s="110"/>
      <c r="IA90" s="110"/>
      <c r="IB90" s="110"/>
      <c r="IC90" s="110"/>
      <c r="ID90" s="110"/>
      <c r="IE90" s="110"/>
      <c r="IF90" s="110"/>
      <c r="IG90" s="110"/>
      <c r="IH90" s="110"/>
      <c r="II90" s="110"/>
      <c r="IJ90" s="110"/>
      <c r="IK90" s="110"/>
      <c r="IL90" s="110"/>
      <c r="IM90" s="110"/>
      <c r="IN90" s="110"/>
      <c r="IO90" s="110"/>
      <c r="IP90" s="110"/>
      <c r="IQ90" s="110"/>
      <c r="IR90" s="110"/>
      <c r="IS90" s="110"/>
      <c r="IT90" s="110"/>
      <c r="IU90" s="110"/>
      <c r="IV90" s="110"/>
      <c r="IW90" s="110"/>
    </row>
    <row r="91" spans="1:257" x14ac:dyDescent="0.3">
      <c r="A91" s="156"/>
      <c r="B91" s="156"/>
      <c r="C91" s="156"/>
      <c r="D91" s="156"/>
      <c r="E91" s="156"/>
      <c r="F91" s="156"/>
      <c r="G91" s="156"/>
      <c r="H91" s="156"/>
      <c r="I91" s="156"/>
      <c r="J91" s="156"/>
      <c r="K91" s="156"/>
      <c r="L91" s="156"/>
      <c r="M91" s="156"/>
      <c r="N91" s="156"/>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c r="BY91" s="110"/>
      <c r="BZ91" s="110"/>
      <c r="CA91" s="110"/>
      <c r="CB91" s="110"/>
      <c r="CC91" s="110"/>
      <c r="CD91" s="110"/>
      <c r="CE91" s="110"/>
      <c r="CF91" s="110"/>
      <c r="CG91" s="110"/>
      <c r="CH91" s="110"/>
      <c r="CI91" s="110"/>
      <c r="CJ91" s="110"/>
      <c r="CK91" s="110"/>
      <c r="CL91" s="110"/>
      <c r="CM91" s="110"/>
      <c r="CN91" s="110"/>
      <c r="CO91" s="110"/>
      <c r="CP91" s="110"/>
      <c r="CQ91" s="110"/>
      <c r="CR91" s="110"/>
      <c r="CS91" s="110"/>
      <c r="CT91" s="110"/>
      <c r="CU91" s="110"/>
      <c r="CV91" s="110"/>
      <c r="CW91" s="110"/>
      <c r="CX91" s="110"/>
      <c r="CY91" s="110"/>
      <c r="CZ91" s="110"/>
      <c r="DA91" s="110"/>
      <c r="DB91" s="110"/>
      <c r="DC91" s="110"/>
      <c r="DD91" s="110"/>
      <c r="DE91" s="110"/>
      <c r="DF91" s="110"/>
      <c r="DG91" s="110"/>
      <c r="DH91" s="110"/>
      <c r="DI91" s="110"/>
      <c r="DJ91" s="110"/>
      <c r="DK91" s="110"/>
      <c r="DL91" s="110"/>
      <c r="DM91" s="110"/>
      <c r="DN91" s="110"/>
      <c r="DO91" s="110"/>
      <c r="DP91" s="110"/>
      <c r="DQ91" s="110"/>
      <c r="DR91" s="110"/>
      <c r="DS91" s="110"/>
      <c r="DT91" s="110"/>
      <c r="DU91" s="110"/>
      <c r="DV91" s="110"/>
      <c r="DW91" s="110"/>
      <c r="DX91" s="110"/>
      <c r="DY91" s="110"/>
      <c r="DZ91" s="110"/>
      <c r="EA91" s="110"/>
      <c r="EB91" s="110"/>
      <c r="EC91" s="110"/>
      <c r="ED91" s="110"/>
      <c r="EE91" s="110"/>
      <c r="EF91" s="110"/>
      <c r="EG91" s="110"/>
      <c r="EH91" s="110"/>
      <c r="EI91" s="110"/>
      <c r="EJ91" s="110"/>
      <c r="EK91" s="110"/>
      <c r="EL91" s="110"/>
      <c r="EM91" s="110"/>
      <c r="EN91" s="110"/>
      <c r="EO91" s="110"/>
      <c r="EP91" s="110"/>
      <c r="EQ91" s="110"/>
      <c r="ER91" s="110"/>
      <c r="ES91" s="110"/>
      <c r="ET91" s="110"/>
      <c r="EU91" s="110"/>
      <c r="EV91" s="110"/>
      <c r="EW91" s="110"/>
      <c r="EX91" s="110"/>
      <c r="EY91" s="110"/>
      <c r="EZ91" s="110"/>
      <c r="FA91" s="110"/>
      <c r="FB91" s="110"/>
      <c r="FC91" s="110"/>
      <c r="FD91" s="110"/>
      <c r="FE91" s="110"/>
      <c r="FF91" s="110"/>
      <c r="FG91" s="110"/>
      <c r="FH91" s="110"/>
      <c r="FI91" s="110"/>
      <c r="FJ91" s="110"/>
      <c r="FK91" s="110"/>
      <c r="FL91" s="110"/>
      <c r="FM91" s="110"/>
      <c r="FN91" s="110"/>
      <c r="FO91" s="110"/>
      <c r="FP91" s="110"/>
      <c r="FQ91" s="110"/>
      <c r="FR91" s="110"/>
      <c r="FS91" s="110"/>
      <c r="FT91" s="110"/>
      <c r="FU91" s="110"/>
      <c r="FV91" s="110"/>
      <c r="FW91" s="110"/>
      <c r="FX91" s="110"/>
      <c r="FY91" s="110"/>
      <c r="FZ91" s="110"/>
      <c r="GA91" s="110"/>
      <c r="GB91" s="110"/>
      <c r="GC91" s="110"/>
      <c r="GD91" s="110"/>
      <c r="GE91" s="110"/>
      <c r="GF91" s="110"/>
      <c r="GG91" s="110"/>
      <c r="GH91" s="110"/>
      <c r="GI91" s="110"/>
      <c r="GJ91" s="110"/>
      <c r="GK91" s="110"/>
      <c r="GL91" s="110"/>
      <c r="GM91" s="110"/>
      <c r="GN91" s="110"/>
      <c r="GO91" s="110"/>
      <c r="GP91" s="110"/>
      <c r="GQ91" s="110"/>
      <c r="GR91" s="110"/>
      <c r="GS91" s="110"/>
      <c r="GT91" s="110"/>
      <c r="GU91" s="110"/>
      <c r="GV91" s="110"/>
      <c r="GW91" s="110"/>
      <c r="GX91" s="110"/>
      <c r="GY91" s="110"/>
      <c r="GZ91" s="110"/>
      <c r="HA91" s="110"/>
      <c r="HB91" s="110"/>
      <c r="HC91" s="110"/>
      <c r="HD91" s="110"/>
      <c r="HE91" s="110"/>
      <c r="HF91" s="110"/>
      <c r="HG91" s="110"/>
      <c r="HH91" s="110"/>
      <c r="HI91" s="110"/>
      <c r="HJ91" s="110"/>
      <c r="HK91" s="110"/>
      <c r="HL91" s="110"/>
      <c r="HM91" s="110"/>
      <c r="HN91" s="110"/>
      <c r="HO91" s="110"/>
      <c r="HP91" s="110"/>
      <c r="HQ91" s="110"/>
      <c r="HR91" s="110"/>
      <c r="HS91" s="110"/>
      <c r="HT91" s="110"/>
      <c r="HU91" s="110"/>
      <c r="HV91" s="110"/>
      <c r="HW91" s="110"/>
      <c r="HX91" s="110"/>
      <c r="HY91" s="110"/>
      <c r="HZ91" s="110"/>
      <c r="IA91" s="110"/>
      <c r="IB91" s="110"/>
      <c r="IC91" s="110"/>
      <c r="ID91" s="110"/>
      <c r="IE91" s="110"/>
      <c r="IF91" s="110"/>
      <c r="IG91" s="110"/>
      <c r="IH91" s="110"/>
      <c r="II91" s="110"/>
      <c r="IJ91" s="110"/>
      <c r="IK91" s="110"/>
      <c r="IL91" s="110"/>
      <c r="IM91" s="110"/>
      <c r="IN91" s="110"/>
      <c r="IO91" s="110"/>
      <c r="IP91" s="110"/>
      <c r="IQ91" s="110"/>
      <c r="IR91" s="110"/>
      <c r="IS91" s="110"/>
      <c r="IT91" s="110"/>
      <c r="IU91" s="110"/>
      <c r="IV91" s="110"/>
      <c r="IW91" s="110"/>
    </row>
    <row r="92" spans="1:257" x14ac:dyDescent="0.3">
      <c r="A92" s="156"/>
      <c r="B92" s="156"/>
      <c r="C92" s="156"/>
      <c r="D92" s="156"/>
      <c r="E92" s="156"/>
      <c r="F92" s="156"/>
      <c r="G92" s="156"/>
      <c r="H92" s="156"/>
      <c r="I92" s="156"/>
      <c r="J92" s="156"/>
      <c r="K92" s="156"/>
      <c r="L92" s="156"/>
      <c r="M92" s="156"/>
      <c r="N92" s="156"/>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c r="BY92" s="110"/>
      <c r="BZ92" s="110"/>
      <c r="CA92" s="110"/>
      <c r="CB92" s="110"/>
      <c r="CC92" s="110"/>
      <c r="CD92" s="110"/>
      <c r="CE92" s="110"/>
      <c r="CF92" s="110"/>
      <c r="CG92" s="110"/>
      <c r="CH92" s="110"/>
      <c r="CI92" s="110"/>
      <c r="CJ92" s="110"/>
      <c r="CK92" s="110"/>
      <c r="CL92" s="110"/>
      <c r="CM92" s="110"/>
      <c r="CN92" s="110"/>
      <c r="CO92" s="110"/>
      <c r="CP92" s="110"/>
      <c r="CQ92" s="110"/>
      <c r="CR92" s="110"/>
      <c r="CS92" s="110"/>
      <c r="CT92" s="110"/>
      <c r="CU92" s="110"/>
      <c r="CV92" s="110"/>
      <c r="CW92" s="110"/>
      <c r="CX92" s="110"/>
      <c r="CY92" s="110"/>
      <c r="CZ92" s="110"/>
      <c r="DA92" s="110"/>
      <c r="DB92" s="110"/>
      <c r="DC92" s="110"/>
      <c r="DD92" s="110"/>
      <c r="DE92" s="110"/>
      <c r="DF92" s="110"/>
      <c r="DG92" s="110"/>
      <c r="DH92" s="110"/>
      <c r="DI92" s="110"/>
      <c r="DJ92" s="110"/>
      <c r="DK92" s="110"/>
      <c r="DL92" s="110"/>
      <c r="DM92" s="110"/>
      <c r="DN92" s="110"/>
      <c r="DO92" s="110"/>
      <c r="DP92" s="110"/>
      <c r="DQ92" s="110"/>
      <c r="DR92" s="110"/>
      <c r="DS92" s="110"/>
      <c r="DT92" s="110"/>
      <c r="DU92" s="110"/>
      <c r="DV92" s="110"/>
      <c r="DW92" s="110"/>
      <c r="DX92" s="110"/>
      <c r="DY92" s="110"/>
      <c r="DZ92" s="110"/>
      <c r="EA92" s="110"/>
      <c r="EB92" s="110"/>
      <c r="EC92" s="110"/>
      <c r="ED92" s="110"/>
      <c r="EE92" s="110"/>
      <c r="EF92" s="110"/>
      <c r="EG92" s="110"/>
      <c r="EH92" s="110"/>
      <c r="EI92" s="110"/>
      <c r="EJ92" s="110"/>
      <c r="EK92" s="110"/>
      <c r="EL92" s="110"/>
      <c r="EM92" s="110"/>
      <c r="EN92" s="110"/>
      <c r="EO92" s="110"/>
      <c r="EP92" s="110"/>
      <c r="EQ92" s="110"/>
      <c r="ER92" s="110"/>
      <c r="ES92" s="110"/>
      <c r="ET92" s="110"/>
      <c r="EU92" s="110"/>
      <c r="EV92" s="110"/>
      <c r="EW92" s="110"/>
      <c r="EX92" s="110"/>
      <c r="EY92" s="110"/>
      <c r="EZ92" s="110"/>
      <c r="FA92" s="110"/>
      <c r="FB92" s="110"/>
      <c r="FC92" s="110"/>
      <c r="FD92" s="110"/>
      <c r="FE92" s="110"/>
      <c r="FF92" s="110"/>
      <c r="FG92" s="110"/>
      <c r="FH92" s="110"/>
      <c r="FI92" s="110"/>
      <c r="FJ92" s="110"/>
      <c r="FK92" s="110"/>
      <c r="FL92" s="110"/>
      <c r="FM92" s="110"/>
      <c r="FN92" s="110"/>
      <c r="FO92" s="110"/>
      <c r="FP92" s="110"/>
      <c r="FQ92" s="110"/>
      <c r="FR92" s="110"/>
      <c r="FS92" s="110"/>
      <c r="FT92" s="110"/>
      <c r="FU92" s="110"/>
      <c r="FV92" s="110"/>
      <c r="FW92" s="110"/>
      <c r="FX92" s="110"/>
      <c r="FY92" s="110"/>
      <c r="FZ92" s="110"/>
      <c r="GA92" s="110"/>
      <c r="GB92" s="110"/>
      <c r="GC92" s="110"/>
      <c r="GD92" s="110"/>
      <c r="GE92" s="110"/>
      <c r="GF92" s="110"/>
      <c r="GG92" s="110"/>
      <c r="GH92" s="110"/>
      <c r="GI92" s="110"/>
      <c r="GJ92" s="110"/>
      <c r="GK92" s="110"/>
      <c r="GL92" s="110"/>
      <c r="GM92" s="110"/>
      <c r="GN92" s="110"/>
      <c r="GO92" s="110"/>
      <c r="GP92" s="110"/>
      <c r="GQ92" s="110"/>
      <c r="GR92" s="110"/>
      <c r="GS92" s="110"/>
      <c r="GT92" s="110"/>
      <c r="GU92" s="110"/>
      <c r="GV92" s="110"/>
      <c r="GW92" s="110"/>
      <c r="GX92" s="110"/>
      <c r="GY92" s="110"/>
      <c r="GZ92" s="110"/>
      <c r="HA92" s="110"/>
      <c r="HB92" s="110"/>
      <c r="HC92" s="110"/>
      <c r="HD92" s="110"/>
      <c r="HE92" s="110"/>
      <c r="HF92" s="110"/>
      <c r="HG92" s="110"/>
      <c r="HH92" s="110"/>
      <c r="HI92" s="110"/>
      <c r="HJ92" s="110"/>
      <c r="HK92" s="110"/>
      <c r="HL92" s="110"/>
      <c r="HM92" s="110"/>
      <c r="HN92" s="110"/>
      <c r="HO92" s="110"/>
      <c r="HP92" s="110"/>
      <c r="HQ92" s="110"/>
      <c r="HR92" s="110"/>
      <c r="HS92" s="110"/>
      <c r="HT92" s="110"/>
      <c r="HU92" s="110"/>
      <c r="HV92" s="110"/>
      <c r="HW92" s="110"/>
      <c r="HX92" s="110"/>
      <c r="HY92" s="110"/>
      <c r="HZ92" s="110"/>
      <c r="IA92" s="110"/>
      <c r="IB92" s="110"/>
      <c r="IC92" s="110"/>
      <c r="ID92" s="110"/>
      <c r="IE92" s="110"/>
      <c r="IF92" s="110"/>
      <c r="IG92" s="110"/>
      <c r="IH92" s="110"/>
      <c r="II92" s="110"/>
      <c r="IJ92" s="110"/>
      <c r="IK92" s="110"/>
      <c r="IL92" s="110"/>
      <c r="IM92" s="110"/>
      <c r="IN92" s="110"/>
      <c r="IO92" s="110"/>
      <c r="IP92" s="110"/>
      <c r="IQ92" s="110"/>
      <c r="IR92" s="110"/>
      <c r="IS92" s="110"/>
      <c r="IT92" s="110"/>
      <c r="IU92" s="110"/>
      <c r="IV92" s="110"/>
      <c r="IW92" s="110"/>
    </row>
    <row r="93" spans="1:257" x14ac:dyDescent="0.3">
      <c r="A93" s="156"/>
      <c r="B93" s="156"/>
      <c r="C93" s="156"/>
      <c r="D93" s="156"/>
      <c r="E93" s="156"/>
      <c r="F93" s="156"/>
      <c r="G93" s="156"/>
      <c r="H93" s="156"/>
      <c r="I93" s="156"/>
      <c r="J93" s="156"/>
      <c r="K93" s="156"/>
      <c r="L93" s="156"/>
      <c r="M93" s="156"/>
      <c r="N93" s="156"/>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c r="BY93" s="110"/>
      <c r="BZ93" s="110"/>
      <c r="CA93" s="110"/>
      <c r="CB93" s="110"/>
      <c r="CC93" s="110"/>
      <c r="CD93" s="110"/>
      <c r="CE93" s="110"/>
      <c r="CF93" s="110"/>
      <c r="CG93" s="110"/>
      <c r="CH93" s="110"/>
      <c r="CI93" s="110"/>
      <c r="CJ93" s="110"/>
      <c r="CK93" s="110"/>
      <c r="CL93" s="110"/>
      <c r="CM93" s="110"/>
      <c r="CN93" s="110"/>
      <c r="CO93" s="110"/>
      <c r="CP93" s="110"/>
      <c r="CQ93" s="110"/>
      <c r="CR93" s="110"/>
      <c r="CS93" s="110"/>
      <c r="CT93" s="110"/>
      <c r="CU93" s="110"/>
      <c r="CV93" s="110"/>
      <c r="CW93" s="110"/>
      <c r="CX93" s="110"/>
      <c r="CY93" s="110"/>
      <c r="CZ93" s="110"/>
      <c r="DA93" s="110"/>
      <c r="DB93" s="110"/>
      <c r="DC93" s="110"/>
      <c r="DD93" s="110"/>
      <c r="DE93" s="110"/>
      <c r="DF93" s="110"/>
      <c r="DG93" s="110"/>
      <c r="DH93" s="110"/>
      <c r="DI93" s="110"/>
      <c r="DJ93" s="110"/>
      <c r="DK93" s="110"/>
      <c r="DL93" s="110"/>
      <c r="DM93" s="110"/>
      <c r="DN93" s="110"/>
      <c r="DO93" s="110"/>
      <c r="DP93" s="110"/>
      <c r="DQ93" s="110"/>
      <c r="DR93" s="110"/>
      <c r="DS93" s="110"/>
      <c r="DT93" s="110"/>
      <c r="DU93" s="110"/>
      <c r="DV93" s="110"/>
      <c r="DW93" s="110"/>
      <c r="DX93" s="110"/>
      <c r="DY93" s="110"/>
      <c r="DZ93" s="110"/>
      <c r="EA93" s="110"/>
      <c r="EB93" s="110"/>
      <c r="EC93" s="110"/>
      <c r="ED93" s="110"/>
      <c r="EE93" s="110"/>
      <c r="EF93" s="110"/>
      <c r="EG93" s="110"/>
      <c r="EH93" s="110"/>
      <c r="EI93" s="110"/>
      <c r="EJ93" s="110"/>
      <c r="EK93" s="110"/>
      <c r="EL93" s="110"/>
      <c r="EM93" s="110"/>
      <c r="EN93" s="110"/>
      <c r="EO93" s="110"/>
      <c r="EP93" s="110"/>
      <c r="EQ93" s="110"/>
      <c r="ER93" s="110"/>
      <c r="ES93" s="110"/>
      <c r="ET93" s="110"/>
      <c r="EU93" s="110"/>
      <c r="EV93" s="110"/>
      <c r="EW93" s="110"/>
      <c r="EX93" s="110"/>
      <c r="EY93" s="110"/>
      <c r="EZ93" s="110"/>
      <c r="FA93" s="110"/>
      <c r="FB93" s="110"/>
      <c r="FC93" s="110"/>
      <c r="FD93" s="110"/>
      <c r="FE93" s="110"/>
      <c r="FF93" s="110"/>
      <c r="FG93" s="110"/>
      <c r="FH93" s="110"/>
      <c r="FI93" s="110"/>
      <c r="FJ93" s="110"/>
      <c r="FK93" s="110"/>
      <c r="FL93" s="110"/>
      <c r="FM93" s="110"/>
      <c r="FN93" s="110"/>
      <c r="FO93" s="110"/>
      <c r="FP93" s="110"/>
      <c r="FQ93" s="110"/>
      <c r="FR93" s="110"/>
      <c r="FS93" s="110"/>
      <c r="FT93" s="110"/>
      <c r="FU93" s="110"/>
      <c r="FV93" s="110"/>
      <c r="FW93" s="110"/>
      <c r="FX93" s="110"/>
      <c r="FY93" s="110"/>
      <c r="FZ93" s="110"/>
      <c r="GA93" s="110"/>
      <c r="GB93" s="110"/>
      <c r="GC93" s="110"/>
      <c r="GD93" s="110"/>
      <c r="GE93" s="110"/>
      <c r="GF93" s="110"/>
      <c r="GG93" s="110"/>
      <c r="GH93" s="110"/>
      <c r="GI93" s="110"/>
      <c r="GJ93" s="110"/>
      <c r="GK93" s="110"/>
      <c r="GL93" s="110"/>
      <c r="GM93" s="110"/>
      <c r="GN93" s="110"/>
      <c r="GO93" s="110"/>
      <c r="GP93" s="110"/>
      <c r="GQ93" s="110"/>
      <c r="GR93" s="110"/>
      <c r="GS93" s="110"/>
      <c r="GT93" s="110"/>
      <c r="GU93" s="110"/>
      <c r="GV93" s="110"/>
      <c r="GW93" s="110"/>
      <c r="GX93" s="110"/>
      <c r="GY93" s="110"/>
      <c r="GZ93" s="110"/>
      <c r="HA93" s="110"/>
      <c r="HB93" s="110"/>
      <c r="HC93" s="110"/>
      <c r="HD93" s="110"/>
      <c r="HE93" s="110"/>
      <c r="HF93" s="110"/>
      <c r="HG93" s="110"/>
      <c r="HH93" s="110"/>
      <c r="HI93" s="110"/>
      <c r="HJ93" s="110"/>
      <c r="HK93" s="110"/>
      <c r="HL93" s="110"/>
      <c r="HM93" s="110"/>
      <c r="HN93" s="110"/>
      <c r="HO93" s="110"/>
      <c r="HP93" s="110"/>
      <c r="HQ93" s="110"/>
      <c r="HR93" s="110"/>
      <c r="HS93" s="110"/>
      <c r="HT93" s="110"/>
      <c r="HU93" s="110"/>
      <c r="HV93" s="110"/>
      <c r="HW93" s="110"/>
      <c r="HX93" s="110"/>
      <c r="HY93" s="110"/>
      <c r="HZ93" s="110"/>
      <c r="IA93" s="110"/>
      <c r="IB93" s="110"/>
      <c r="IC93" s="110"/>
      <c r="ID93" s="110"/>
      <c r="IE93" s="110"/>
      <c r="IF93" s="110"/>
      <c r="IG93" s="110"/>
      <c r="IH93" s="110"/>
      <c r="II93" s="110"/>
      <c r="IJ93" s="110"/>
      <c r="IK93" s="110"/>
      <c r="IL93" s="110"/>
      <c r="IM93" s="110"/>
      <c r="IN93" s="110"/>
      <c r="IO93" s="110"/>
      <c r="IP93" s="110"/>
      <c r="IQ93" s="110"/>
      <c r="IR93" s="110"/>
      <c r="IS93" s="110"/>
      <c r="IT93" s="110"/>
      <c r="IU93" s="110"/>
      <c r="IV93" s="110"/>
      <c r="IW93" s="110"/>
    </row>
    <row r="94" spans="1:257" x14ac:dyDescent="0.3">
      <c r="A94" s="156"/>
      <c r="B94" s="156"/>
      <c r="C94" s="156"/>
      <c r="D94" s="156"/>
      <c r="E94" s="156"/>
      <c r="F94" s="156"/>
      <c r="G94" s="156"/>
      <c r="H94" s="156"/>
      <c r="I94" s="156"/>
      <c r="J94" s="156"/>
      <c r="K94" s="156"/>
      <c r="L94" s="156"/>
      <c r="M94" s="156"/>
      <c r="N94" s="156"/>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c r="BY94" s="110"/>
      <c r="BZ94" s="110"/>
      <c r="CA94" s="110"/>
      <c r="CB94" s="110"/>
      <c r="CC94" s="110"/>
      <c r="CD94" s="110"/>
      <c r="CE94" s="110"/>
      <c r="CF94" s="110"/>
      <c r="CG94" s="110"/>
      <c r="CH94" s="110"/>
      <c r="CI94" s="110"/>
      <c r="CJ94" s="110"/>
      <c r="CK94" s="110"/>
      <c r="CL94" s="110"/>
      <c r="CM94" s="110"/>
      <c r="CN94" s="110"/>
      <c r="CO94" s="110"/>
      <c r="CP94" s="110"/>
      <c r="CQ94" s="110"/>
      <c r="CR94" s="110"/>
      <c r="CS94" s="110"/>
      <c r="CT94" s="110"/>
      <c r="CU94" s="110"/>
      <c r="CV94" s="110"/>
      <c r="CW94" s="110"/>
      <c r="CX94" s="110"/>
      <c r="CY94" s="110"/>
      <c r="CZ94" s="110"/>
      <c r="DA94" s="110"/>
      <c r="DB94" s="110"/>
      <c r="DC94" s="110"/>
      <c r="DD94" s="110"/>
      <c r="DE94" s="110"/>
      <c r="DF94" s="110"/>
      <c r="DG94" s="110"/>
      <c r="DH94" s="110"/>
      <c r="DI94" s="110"/>
      <c r="DJ94" s="110"/>
      <c r="DK94" s="110"/>
      <c r="DL94" s="110"/>
      <c r="DM94" s="110"/>
      <c r="DN94" s="110"/>
      <c r="DO94" s="110"/>
      <c r="DP94" s="110"/>
      <c r="DQ94" s="110"/>
      <c r="DR94" s="110"/>
      <c r="DS94" s="110"/>
      <c r="DT94" s="110"/>
      <c r="DU94" s="110"/>
      <c r="DV94" s="110"/>
      <c r="DW94" s="110"/>
      <c r="DX94" s="110"/>
      <c r="DY94" s="110"/>
      <c r="DZ94" s="110"/>
      <c r="EA94" s="110"/>
      <c r="EB94" s="110"/>
      <c r="EC94" s="110"/>
      <c r="ED94" s="110"/>
      <c r="EE94" s="110"/>
      <c r="EF94" s="110"/>
      <c r="EG94" s="110"/>
      <c r="EH94" s="110"/>
      <c r="EI94" s="110"/>
      <c r="EJ94" s="110"/>
      <c r="EK94" s="110"/>
      <c r="EL94" s="110"/>
      <c r="EM94" s="110"/>
      <c r="EN94" s="110"/>
      <c r="EO94" s="110"/>
      <c r="EP94" s="110"/>
      <c r="EQ94" s="110"/>
      <c r="ER94" s="110"/>
      <c r="ES94" s="110"/>
      <c r="ET94" s="110"/>
      <c r="EU94" s="110"/>
      <c r="EV94" s="110"/>
      <c r="EW94" s="110"/>
      <c r="EX94" s="110"/>
      <c r="EY94" s="110"/>
      <c r="EZ94" s="110"/>
      <c r="FA94" s="110"/>
      <c r="FB94" s="110"/>
      <c r="FC94" s="110"/>
      <c r="FD94" s="110"/>
      <c r="FE94" s="110"/>
      <c r="FF94" s="110"/>
      <c r="FG94" s="110"/>
      <c r="FH94" s="110"/>
      <c r="FI94" s="110"/>
      <c r="FJ94" s="110"/>
      <c r="FK94" s="110"/>
      <c r="FL94" s="110"/>
      <c r="FM94" s="110"/>
      <c r="FN94" s="110"/>
      <c r="FO94" s="110"/>
      <c r="FP94" s="110"/>
      <c r="FQ94" s="110"/>
      <c r="FR94" s="110"/>
      <c r="FS94" s="110"/>
      <c r="FT94" s="110"/>
      <c r="FU94" s="110"/>
      <c r="FV94" s="110"/>
      <c r="FW94" s="110"/>
      <c r="FX94" s="110"/>
      <c r="FY94" s="110"/>
      <c r="FZ94" s="110"/>
      <c r="GA94" s="110"/>
      <c r="GB94" s="110"/>
      <c r="GC94" s="110"/>
      <c r="GD94" s="110"/>
      <c r="GE94" s="110"/>
      <c r="GF94" s="110"/>
      <c r="GG94" s="110"/>
      <c r="GH94" s="110"/>
      <c r="GI94" s="110"/>
      <c r="GJ94" s="110"/>
      <c r="GK94" s="110"/>
      <c r="GL94" s="110"/>
      <c r="GM94" s="110"/>
      <c r="GN94" s="110"/>
      <c r="GO94" s="110"/>
      <c r="GP94" s="110"/>
      <c r="GQ94" s="110"/>
      <c r="GR94" s="110"/>
      <c r="GS94" s="110"/>
      <c r="GT94" s="110"/>
      <c r="GU94" s="110"/>
      <c r="GV94" s="110"/>
      <c r="GW94" s="110"/>
      <c r="GX94" s="110"/>
      <c r="GY94" s="110"/>
      <c r="GZ94" s="110"/>
      <c r="HA94" s="110"/>
      <c r="HB94" s="110"/>
      <c r="HC94" s="110"/>
      <c r="HD94" s="110"/>
      <c r="HE94" s="110"/>
      <c r="HF94" s="110"/>
      <c r="HG94" s="110"/>
      <c r="HH94" s="110"/>
      <c r="HI94" s="110"/>
      <c r="HJ94" s="110"/>
      <c r="HK94" s="110"/>
      <c r="HL94" s="110"/>
      <c r="HM94" s="110"/>
      <c r="HN94" s="110"/>
      <c r="HO94" s="110"/>
      <c r="HP94" s="110"/>
      <c r="HQ94" s="110"/>
      <c r="HR94" s="110"/>
      <c r="HS94" s="110"/>
      <c r="HT94" s="110"/>
      <c r="HU94" s="110"/>
      <c r="HV94" s="110"/>
      <c r="HW94" s="110"/>
      <c r="HX94" s="110"/>
      <c r="HY94" s="110"/>
      <c r="HZ94" s="110"/>
      <c r="IA94" s="110"/>
      <c r="IB94" s="110"/>
      <c r="IC94" s="110"/>
      <c r="ID94" s="110"/>
      <c r="IE94" s="110"/>
      <c r="IF94" s="110"/>
      <c r="IG94" s="110"/>
      <c r="IH94" s="110"/>
      <c r="II94" s="110"/>
      <c r="IJ94" s="110"/>
      <c r="IK94" s="110"/>
      <c r="IL94" s="110"/>
      <c r="IM94" s="110"/>
      <c r="IN94" s="110"/>
      <c r="IO94" s="110"/>
      <c r="IP94" s="110"/>
      <c r="IQ94" s="110"/>
      <c r="IR94" s="110"/>
      <c r="IS94" s="110"/>
      <c r="IT94" s="110"/>
      <c r="IU94" s="110"/>
      <c r="IV94" s="110"/>
      <c r="IW94" s="110"/>
    </row>
    <row r="95" spans="1:257" x14ac:dyDescent="0.3">
      <c r="A95" s="156"/>
      <c r="B95" s="156"/>
      <c r="C95" s="156"/>
      <c r="D95" s="156"/>
      <c r="E95" s="156"/>
      <c r="F95" s="156"/>
      <c r="G95" s="156"/>
      <c r="H95" s="156"/>
      <c r="I95" s="156"/>
      <c r="J95" s="156"/>
      <c r="K95" s="156"/>
      <c r="L95" s="156"/>
      <c r="M95" s="156"/>
      <c r="N95" s="156"/>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c r="BY95" s="110"/>
      <c r="BZ95" s="110"/>
      <c r="CA95" s="110"/>
      <c r="CB95" s="110"/>
      <c r="CC95" s="110"/>
      <c r="CD95" s="110"/>
      <c r="CE95" s="110"/>
      <c r="CF95" s="110"/>
      <c r="CG95" s="110"/>
      <c r="CH95" s="110"/>
      <c r="CI95" s="110"/>
      <c r="CJ95" s="110"/>
      <c r="CK95" s="110"/>
      <c r="CL95" s="110"/>
      <c r="CM95" s="110"/>
      <c r="CN95" s="110"/>
      <c r="CO95" s="110"/>
      <c r="CP95" s="110"/>
      <c r="CQ95" s="110"/>
      <c r="CR95" s="110"/>
      <c r="CS95" s="110"/>
      <c r="CT95" s="110"/>
      <c r="CU95" s="110"/>
      <c r="CV95" s="110"/>
      <c r="CW95" s="110"/>
      <c r="CX95" s="110"/>
      <c r="CY95" s="110"/>
      <c r="CZ95" s="110"/>
      <c r="DA95" s="110"/>
      <c r="DB95" s="110"/>
      <c r="DC95" s="110"/>
      <c r="DD95" s="110"/>
      <c r="DE95" s="110"/>
      <c r="DF95" s="110"/>
      <c r="DG95" s="110"/>
      <c r="DH95" s="110"/>
      <c r="DI95" s="110"/>
      <c r="DJ95" s="110"/>
      <c r="DK95" s="110"/>
      <c r="DL95" s="110"/>
      <c r="DM95" s="110"/>
      <c r="DN95" s="110"/>
      <c r="DO95" s="110"/>
      <c r="DP95" s="110"/>
      <c r="DQ95" s="110"/>
      <c r="DR95" s="110"/>
      <c r="DS95" s="110"/>
      <c r="DT95" s="110"/>
      <c r="DU95" s="110"/>
      <c r="DV95" s="110"/>
      <c r="DW95" s="110"/>
      <c r="DX95" s="110"/>
      <c r="DY95" s="110"/>
      <c r="DZ95" s="110"/>
      <c r="EA95" s="110"/>
      <c r="EB95" s="110"/>
      <c r="EC95" s="110"/>
      <c r="ED95" s="110"/>
      <c r="EE95" s="110"/>
      <c r="EF95" s="110"/>
      <c r="EG95" s="110"/>
      <c r="EH95" s="110"/>
      <c r="EI95" s="110"/>
      <c r="EJ95" s="110"/>
      <c r="EK95" s="110"/>
      <c r="EL95" s="110"/>
      <c r="EM95" s="110"/>
      <c r="EN95" s="110"/>
      <c r="EO95" s="110"/>
      <c r="EP95" s="110"/>
      <c r="EQ95" s="110"/>
      <c r="ER95" s="110"/>
      <c r="ES95" s="110"/>
      <c r="ET95" s="110"/>
      <c r="EU95" s="110"/>
      <c r="EV95" s="110"/>
      <c r="EW95" s="110"/>
      <c r="EX95" s="110"/>
      <c r="EY95" s="110"/>
      <c r="EZ95" s="110"/>
      <c r="FA95" s="110"/>
      <c r="FB95" s="110"/>
      <c r="FC95" s="110"/>
      <c r="FD95" s="110"/>
      <c r="FE95" s="110"/>
      <c r="FF95" s="110"/>
      <c r="FG95" s="110"/>
      <c r="FH95" s="110"/>
      <c r="FI95" s="110"/>
      <c r="FJ95" s="110"/>
      <c r="FK95" s="110"/>
      <c r="FL95" s="110"/>
      <c r="FM95" s="110"/>
      <c r="FN95" s="110"/>
      <c r="FO95" s="110"/>
      <c r="FP95" s="110"/>
      <c r="FQ95" s="110"/>
      <c r="FR95" s="110"/>
      <c r="FS95" s="110"/>
      <c r="FT95" s="110"/>
      <c r="FU95" s="110"/>
      <c r="FV95" s="110"/>
      <c r="FW95" s="110"/>
      <c r="FX95" s="110"/>
      <c r="FY95" s="110"/>
      <c r="FZ95" s="110"/>
      <c r="GA95" s="110"/>
      <c r="GB95" s="110"/>
      <c r="GC95" s="110"/>
      <c r="GD95" s="110"/>
      <c r="GE95" s="110"/>
      <c r="GF95" s="110"/>
      <c r="GG95" s="110"/>
      <c r="GH95" s="110"/>
      <c r="GI95" s="110"/>
      <c r="GJ95" s="110"/>
      <c r="GK95" s="110"/>
      <c r="GL95" s="110"/>
      <c r="GM95" s="110"/>
      <c r="GN95" s="110"/>
      <c r="GO95" s="110"/>
      <c r="GP95" s="110"/>
      <c r="GQ95" s="110"/>
      <c r="GR95" s="110"/>
      <c r="GS95" s="110"/>
      <c r="GT95" s="110"/>
      <c r="GU95" s="110"/>
      <c r="GV95" s="110"/>
      <c r="GW95" s="110"/>
      <c r="GX95" s="110"/>
      <c r="GY95" s="110"/>
      <c r="GZ95" s="110"/>
      <c r="HA95" s="110"/>
      <c r="HB95" s="110"/>
      <c r="HC95" s="110"/>
      <c r="HD95" s="110"/>
      <c r="HE95" s="110"/>
      <c r="HF95" s="110"/>
      <c r="HG95" s="110"/>
      <c r="HH95" s="110"/>
      <c r="HI95" s="110"/>
      <c r="HJ95" s="110"/>
      <c r="HK95" s="110"/>
      <c r="HL95" s="110"/>
      <c r="HM95" s="110"/>
      <c r="HN95" s="110"/>
      <c r="HO95" s="110"/>
      <c r="HP95" s="110"/>
      <c r="HQ95" s="110"/>
      <c r="HR95" s="110"/>
      <c r="HS95" s="110"/>
      <c r="HT95" s="110"/>
      <c r="HU95" s="110"/>
      <c r="HV95" s="110"/>
      <c r="HW95" s="110"/>
      <c r="HX95" s="110"/>
      <c r="HY95" s="110"/>
      <c r="HZ95" s="110"/>
      <c r="IA95" s="110"/>
      <c r="IB95" s="110"/>
      <c r="IC95" s="110"/>
      <c r="ID95" s="110"/>
      <c r="IE95" s="110"/>
      <c r="IF95" s="110"/>
      <c r="IG95" s="110"/>
      <c r="IH95" s="110"/>
      <c r="II95" s="110"/>
      <c r="IJ95" s="110"/>
      <c r="IK95" s="110"/>
      <c r="IL95" s="110"/>
      <c r="IM95" s="110"/>
      <c r="IN95" s="110"/>
      <c r="IO95" s="110"/>
      <c r="IP95" s="110"/>
      <c r="IQ95" s="110"/>
      <c r="IR95" s="110"/>
      <c r="IS95" s="110"/>
      <c r="IT95" s="110"/>
      <c r="IU95" s="110"/>
      <c r="IV95" s="110"/>
      <c r="IW95" s="110"/>
    </row>
    <row r="96" spans="1:257" x14ac:dyDescent="0.3">
      <c r="A96" s="156"/>
      <c r="B96" s="156"/>
      <c r="C96" s="156"/>
      <c r="D96" s="156"/>
      <c r="E96" s="156"/>
      <c r="F96" s="156"/>
      <c r="G96" s="156"/>
      <c r="H96" s="156"/>
      <c r="I96" s="156"/>
      <c r="J96" s="156"/>
      <c r="K96" s="156"/>
      <c r="L96" s="156"/>
      <c r="M96" s="156"/>
      <c r="N96" s="156"/>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c r="BY96" s="110"/>
      <c r="BZ96" s="110"/>
      <c r="CA96" s="110"/>
      <c r="CB96" s="110"/>
      <c r="CC96" s="110"/>
      <c r="CD96" s="110"/>
      <c r="CE96" s="110"/>
      <c r="CF96" s="110"/>
      <c r="CG96" s="110"/>
      <c r="CH96" s="110"/>
      <c r="CI96" s="110"/>
      <c r="CJ96" s="110"/>
      <c r="CK96" s="110"/>
      <c r="CL96" s="110"/>
      <c r="CM96" s="110"/>
      <c r="CN96" s="110"/>
      <c r="CO96" s="110"/>
      <c r="CP96" s="110"/>
      <c r="CQ96" s="110"/>
      <c r="CR96" s="110"/>
      <c r="CS96" s="110"/>
      <c r="CT96" s="110"/>
      <c r="CU96" s="110"/>
      <c r="CV96" s="110"/>
      <c r="CW96" s="110"/>
      <c r="CX96" s="110"/>
      <c r="CY96" s="110"/>
      <c r="CZ96" s="110"/>
      <c r="DA96" s="110"/>
      <c r="DB96" s="110"/>
      <c r="DC96" s="110"/>
      <c r="DD96" s="110"/>
      <c r="DE96" s="110"/>
      <c r="DF96" s="110"/>
      <c r="DG96" s="110"/>
      <c r="DH96" s="110"/>
      <c r="DI96" s="110"/>
      <c r="DJ96" s="110"/>
      <c r="DK96" s="110"/>
      <c r="DL96" s="110"/>
      <c r="DM96" s="110"/>
      <c r="DN96" s="110"/>
      <c r="DO96" s="110"/>
      <c r="DP96" s="110"/>
      <c r="DQ96" s="110"/>
      <c r="DR96" s="110"/>
      <c r="DS96" s="110"/>
      <c r="DT96" s="110"/>
      <c r="DU96" s="110"/>
      <c r="DV96" s="110"/>
      <c r="DW96" s="110"/>
      <c r="DX96" s="110"/>
      <c r="DY96" s="110"/>
      <c r="DZ96" s="110"/>
      <c r="EA96" s="110"/>
      <c r="EB96" s="110"/>
      <c r="EC96" s="110"/>
      <c r="ED96" s="110"/>
      <c r="EE96" s="110"/>
      <c r="EF96" s="110"/>
      <c r="EG96" s="110"/>
      <c r="EH96" s="110"/>
      <c r="EI96" s="110"/>
      <c r="EJ96" s="110"/>
      <c r="EK96" s="110"/>
      <c r="EL96" s="110"/>
      <c r="EM96" s="110"/>
      <c r="EN96" s="110"/>
      <c r="EO96" s="110"/>
      <c r="EP96" s="110"/>
      <c r="EQ96" s="110"/>
      <c r="ER96" s="110"/>
      <c r="ES96" s="110"/>
      <c r="ET96" s="110"/>
      <c r="EU96" s="110"/>
      <c r="EV96" s="110"/>
      <c r="EW96" s="110"/>
      <c r="EX96" s="110"/>
      <c r="EY96" s="110"/>
      <c r="EZ96" s="110"/>
      <c r="FA96" s="110"/>
      <c r="FB96" s="110"/>
      <c r="FC96" s="110"/>
      <c r="FD96" s="110"/>
      <c r="FE96" s="110"/>
      <c r="FF96" s="110"/>
      <c r="FG96" s="110"/>
      <c r="FH96" s="110"/>
      <c r="FI96" s="110"/>
      <c r="FJ96" s="110"/>
      <c r="FK96" s="110"/>
      <c r="FL96" s="110"/>
      <c r="FM96" s="110"/>
      <c r="FN96" s="110"/>
      <c r="FO96" s="110"/>
      <c r="FP96" s="110"/>
      <c r="FQ96" s="110"/>
      <c r="FR96" s="110"/>
      <c r="FS96" s="110"/>
      <c r="FT96" s="110"/>
      <c r="FU96" s="110"/>
      <c r="FV96" s="110"/>
      <c r="FW96" s="110"/>
      <c r="FX96" s="110"/>
      <c r="FY96" s="110"/>
      <c r="FZ96" s="110"/>
      <c r="GA96" s="110"/>
      <c r="GB96" s="110"/>
      <c r="GC96" s="110"/>
      <c r="GD96" s="110"/>
      <c r="GE96" s="110"/>
      <c r="GF96" s="110"/>
      <c r="GG96" s="110"/>
      <c r="GH96" s="110"/>
      <c r="GI96" s="110"/>
      <c r="GJ96" s="110"/>
      <c r="GK96" s="110"/>
      <c r="GL96" s="110"/>
      <c r="GM96" s="110"/>
      <c r="GN96" s="110"/>
      <c r="GO96" s="110"/>
      <c r="GP96" s="110"/>
      <c r="GQ96" s="110"/>
      <c r="GR96" s="110"/>
      <c r="GS96" s="110"/>
      <c r="GT96" s="110"/>
      <c r="GU96" s="110"/>
      <c r="GV96" s="110"/>
      <c r="GW96" s="110"/>
      <c r="GX96" s="110"/>
      <c r="GY96" s="110"/>
      <c r="GZ96" s="110"/>
      <c r="HA96" s="110"/>
      <c r="HB96" s="110"/>
      <c r="HC96" s="110"/>
      <c r="HD96" s="110"/>
      <c r="HE96" s="110"/>
      <c r="HF96" s="110"/>
      <c r="HG96" s="110"/>
      <c r="HH96" s="110"/>
      <c r="HI96" s="110"/>
      <c r="HJ96" s="110"/>
      <c r="HK96" s="110"/>
      <c r="HL96" s="110"/>
      <c r="HM96" s="110"/>
      <c r="HN96" s="110"/>
      <c r="HO96" s="110"/>
      <c r="HP96" s="110"/>
      <c r="HQ96" s="110"/>
      <c r="HR96" s="110"/>
      <c r="HS96" s="110"/>
      <c r="HT96" s="110"/>
      <c r="HU96" s="110"/>
      <c r="HV96" s="110"/>
      <c r="HW96" s="110"/>
      <c r="HX96" s="110"/>
      <c r="HY96" s="110"/>
      <c r="HZ96" s="110"/>
      <c r="IA96" s="110"/>
      <c r="IB96" s="110"/>
      <c r="IC96" s="110"/>
      <c r="ID96" s="110"/>
      <c r="IE96" s="110"/>
      <c r="IF96" s="110"/>
      <c r="IG96" s="110"/>
      <c r="IH96" s="110"/>
      <c r="II96" s="110"/>
      <c r="IJ96" s="110"/>
      <c r="IK96" s="110"/>
      <c r="IL96" s="110"/>
      <c r="IM96" s="110"/>
      <c r="IN96" s="110"/>
      <c r="IO96" s="110"/>
      <c r="IP96" s="110"/>
      <c r="IQ96" s="110"/>
      <c r="IR96" s="110"/>
      <c r="IS96" s="110"/>
      <c r="IT96" s="110"/>
      <c r="IU96" s="110"/>
      <c r="IV96" s="110"/>
      <c r="IW96" s="110"/>
    </row>
    <row r="97" spans="1:257" x14ac:dyDescent="0.3">
      <c r="A97" s="156"/>
      <c r="B97" s="156"/>
      <c r="C97" s="156"/>
      <c r="D97" s="156"/>
      <c r="E97" s="156"/>
      <c r="F97" s="156"/>
      <c r="G97" s="156"/>
      <c r="H97" s="156"/>
      <c r="I97" s="156"/>
      <c r="J97" s="156"/>
      <c r="K97" s="156"/>
      <c r="L97" s="156"/>
      <c r="M97" s="156"/>
      <c r="N97" s="156"/>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c r="BY97" s="110"/>
      <c r="BZ97" s="110"/>
      <c r="CA97" s="110"/>
      <c r="CB97" s="110"/>
      <c r="CC97" s="110"/>
      <c r="CD97" s="110"/>
      <c r="CE97" s="110"/>
      <c r="CF97" s="110"/>
      <c r="CG97" s="110"/>
      <c r="CH97" s="110"/>
      <c r="CI97" s="110"/>
      <c r="CJ97" s="110"/>
      <c r="CK97" s="110"/>
      <c r="CL97" s="110"/>
      <c r="CM97" s="110"/>
      <c r="CN97" s="110"/>
      <c r="CO97" s="110"/>
      <c r="CP97" s="110"/>
      <c r="CQ97" s="110"/>
      <c r="CR97" s="110"/>
      <c r="CS97" s="110"/>
      <c r="CT97" s="110"/>
      <c r="CU97" s="110"/>
      <c r="CV97" s="110"/>
      <c r="CW97" s="110"/>
      <c r="CX97" s="110"/>
      <c r="CY97" s="110"/>
      <c r="CZ97" s="110"/>
      <c r="DA97" s="110"/>
      <c r="DB97" s="110"/>
      <c r="DC97" s="110"/>
      <c r="DD97" s="110"/>
      <c r="DE97" s="110"/>
      <c r="DF97" s="110"/>
      <c r="DG97" s="110"/>
      <c r="DH97" s="110"/>
      <c r="DI97" s="110"/>
      <c r="DJ97" s="110"/>
      <c r="DK97" s="110"/>
      <c r="DL97" s="110"/>
      <c r="DM97" s="110"/>
      <c r="DN97" s="110"/>
      <c r="DO97" s="110"/>
      <c r="DP97" s="110"/>
      <c r="DQ97" s="110"/>
      <c r="DR97" s="110"/>
      <c r="DS97" s="110"/>
      <c r="DT97" s="110"/>
      <c r="DU97" s="110"/>
      <c r="DV97" s="110"/>
      <c r="DW97" s="110"/>
      <c r="DX97" s="110"/>
      <c r="DY97" s="110"/>
      <c r="DZ97" s="110"/>
      <c r="EA97" s="110"/>
      <c r="EB97" s="110"/>
      <c r="EC97" s="110"/>
      <c r="ED97" s="110"/>
      <c r="EE97" s="110"/>
      <c r="EF97" s="110"/>
      <c r="EG97" s="110"/>
      <c r="EH97" s="110"/>
      <c r="EI97" s="110"/>
      <c r="EJ97" s="110"/>
      <c r="EK97" s="110"/>
      <c r="EL97" s="110"/>
      <c r="EM97" s="110"/>
      <c r="EN97" s="110"/>
      <c r="EO97" s="110"/>
      <c r="EP97" s="110"/>
      <c r="EQ97" s="110"/>
      <c r="ER97" s="110"/>
      <c r="ES97" s="110"/>
      <c r="ET97" s="110"/>
      <c r="EU97" s="110"/>
      <c r="EV97" s="110"/>
      <c r="EW97" s="110"/>
      <c r="EX97" s="110"/>
      <c r="EY97" s="110"/>
      <c r="EZ97" s="110"/>
      <c r="FA97" s="110"/>
      <c r="FB97" s="110"/>
      <c r="FC97" s="110"/>
      <c r="FD97" s="110"/>
      <c r="FE97" s="110"/>
      <c r="FF97" s="110"/>
      <c r="FG97" s="110"/>
      <c r="FH97" s="110"/>
      <c r="FI97" s="110"/>
      <c r="FJ97" s="110"/>
      <c r="FK97" s="110"/>
      <c r="FL97" s="110"/>
      <c r="FM97" s="110"/>
      <c r="FN97" s="110"/>
      <c r="FO97" s="110"/>
      <c r="FP97" s="110"/>
      <c r="FQ97" s="110"/>
      <c r="FR97" s="110"/>
      <c r="FS97" s="110"/>
      <c r="FT97" s="110"/>
      <c r="FU97" s="110"/>
      <c r="FV97" s="110"/>
      <c r="FW97" s="110"/>
      <c r="FX97" s="110"/>
      <c r="FY97" s="110"/>
      <c r="FZ97" s="110"/>
      <c r="GA97" s="110"/>
      <c r="GB97" s="110"/>
      <c r="GC97" s="110"/>
      <c r="GD97" s="110"/>
      <c r="GE97" s="110"/>
      <c r="GF97" s="110"/>
      <c r="GG97" s="110"/>
      <c r="GH97" s="110"/>
      <c r="GI97" s="110"/>
      <c r="GJ97" s="110"/>
      <c r="GK97" s="110"/>
      <c r="GL97" s="110"/>
      <c r="GM97" s="110"/>
      <c r="GN97" s="110"/>
      <c r="GO97" s="110"/>
      <c r="GP97" s="110"/>
      <c r="GQ97" s="110"/>
      <c r="GR97" s="110"/>
      <c r="GS97" s="110"/>
      <c r="GT97" s="110"/>
      <c r="GU97" s="110"/>
      <c r="GV97" s="110"/>
      <c r="GW97" s="110"/>
      <c r="GX97" s="110"/>
      <c r="GY97" s="110"/>
      <c r="GZ97" s="110"/>
      <c r="HA97" s="110"/>
      <c r="HB97" s="110"/>
      <c r="HC97" s="110"/>
      <c r="HD97" s="110"/>
      <c r="HE97" s="110"/>
      <c r="HF97" s="110"/>
      <c r="HG97" s="110"/>
      <c r="HH97" s="110"/>
      <c r="HI97" s="110"/>
      <c r="HJ97" s="110"/>
      <c r="HK97" s="110"/>
      <c r="HL97" s="110"/>
      <c r="HM97" s="110"/>
      <c r="HN97" s="110"/>
      <c r="HO97" s="110"/>
      <c r="HP97" s="110"/>
      <c r="HQ97" s="110"/>
      <c r="HR97" s="110"/>
      <c r="HS97" s="110"/>
      <c r="HT97" s="110"/>
      <c r="HU97" s="110"/>
      <c r="HV97" s="110"/>
      <c r="HW97" s="110"/>
      <c r="HX97" s="110"/>
      <c r="HY97" s="110"/>
      <c r="HZ97" s="110"/>
      <c r="IA97" s="110"/>
      <c r="IB97" s="110"/>
      <c r="IC97" s="110"/>
      <c r="ID97" s="110"/>
      <c r="IE97" s="110"/>
      <c r="IF97" s="110"/>
      <c r="IG97" s="110"/>
      <c r="IH97" s="110"/>
      <c r="II97" s="110"/>
      <c r="IJ97" s="110"/>
      <c r="IK97" s="110"/>
      <c r="IL97" s="110"/>
      <c r="IM97" s="110"/>
      <c r="IN97" s="110"/>
      <c r="IO97" s="110"/>
      <c r="IP97" s="110"/>
      <c r="IQ97" s="110"/>
      <c r="IR97" s="110"/>
      <c r="IS97" s="110"/>
      <c r="IT97" s="110"/>
      <c r="IU97" s="110"/>
      <c r="IV97" s="110"/>
      <c r="IW97" s="110"/>
    </row>
    <row r="98" spans="1:257" x14ac:dyDescent="0.3">
      <c r="A98" s="156"/>
      <c r="B98" s="156"/>
      <c r="C98" s="156"/>
      <c r="D98" s="156"/>
      <c r="E98" s="156"/>
      <c r="F98" s="156"/>
      <c r="G98" s="156"/>
      <c r="H98" s="156"/>
      <c r="I98" s="156"/>
      <c r="J98" s="156"/>
      <c r="K98" s="156"/>
      <c r="L98" s="156"/>
      <c r="M98" s="156"/>
      <c r="N98" s="156"/>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10"/>
      <c r="CB98" s="110"/>
      <c r="CC98" s="110"/>
      <c r="CD98" s="110"/>
      <c r="CE98" s="110"/>
      <c r="CF98" s="110"/>
      <c r="CG98" s="110"/>
      <c r="CH98" s="110"/>
      <c r="CI98" s="110"/>
      <c r="CJ98" s="110"/>
      <c r="CK98" s="110"/>
      <c r="CL98" s="110"/>
      <c r="CM98" s="110"/>
      <c r="CN98" s="110"/>
      <c r="CO98" s="110"/>
      <c r="CP98" s="110"/>
      <c r="CQ98" s="110"/>
      <c r="CR98" s="110"/>
      <c r="CS98" s="110"/>
      <c r="CT98" s="110"/>
      <c r="CU98" s="110"/>
      <c r="CV98" s="110"/>
      <c r="CW98" s="110"/>
      <c r="CX98" s="110"/>
      <c r="CY98" s="110"/>
      <c r="CZ98" s="110"/>
      <c r="DA98" s="110"/>
      <c r="DB98" s="110"/>
      <c r="DC98" s="110"/>
      <c r="DD98" s="110"/>
      <c r="DE98" s="110"/>
      <c r="DF98" s="110"/>
      <c r="DG98" s="110"/>
      <c r="DH98" s="110"/>
      <c r="DI98" s="110"/>
      <c r="DJ98" s="110"/>
      <c r="DK98" s="110"/>
      <c r="DL98" s="110"/>
      <c r="DM98" s="110"/>
      <c r="DN98" s="110"/>
      <c r="DO98" s="110"/>
      <c r="DP98" s="110"/>
      <c r="DQ98" s="110"/>
      <c r="DR98" s="110"/>
      <c r="DS98" s="110"/>
      <c r="DT98" s="110"/>
      <c r="DU98" s="110"/>
      <c r="DV98" s="110"/>
      <c r="DW98" s="110"/>
      <c r="DX98" s="110"/>
      <c r="DY98" s="110"/>
      <c r="DZ98" s="110"/>
      <c r="EA98" s="110"/>
      <c r="EB98" s="110"/>
      <c r="EC98" s="110"/>
      <c r="ED98" s="110"/>
      <c r="EE98" s="110"/>
      <c r="EF98" s="110"/>
      <c r="EG98" s="110"/>
      <c r="EH98" s="110"/>
      <c r="EI98" s="110"/>
      <c r="EJ98" s="110"/>
      <c r="EK98" s="110"/>
      <c r="EL98" s="110"/>
      <c r="EM98" s="110"/>
      <c r="EN98" s="110"/>
      <c r="EO98" s="110"/>
      <c r="EP98" s="110"/>
      <c r="EQ98" s="110"/>
      <c r="ER98" s="110"/>
      <c r="ES98" s="110"/>
      <c r="ET98" s="110"/>
      <c r="EU98" s="110"/>
      <c r="EV98" s="110"/>
      <c r="EW98" s="110"/>
      <c r="EX98" s="110"/>
      <c r="EY98" s="110"/>
      <c r="EZ98" s="110"/>
      <c r="FA98" s="110"/>
      <c r="FB98" s="110"/>
      <c r="FC98" s="110"/>
      <c r="FD98" s="110"/>
      <c r="FE98" s="110"/>
      <c r="FF98" s="110"/>
      <c r="FG98" s="110"/>
      <c r="FH98" s="110"/>
      <c r="FI98" s="110"/>
      <c r="FJ98" s="110"/>
      <c r="FK98" s="110"/>
      <c r="FL98" s="110"/>
      <c r="FM98" s="110"/>
      <c r="FN98" s="110"/>
      <c r="FO98" s="110"/>
      <c r="FP98" s="110"/>
      <c r="FQ98" s="110"/>
      <c r="FR98" s="110"/>
      <c r="FS98" s="110"/>
      <c r="FT98" s="110"/>
      <c r="FU98" s="110"/>
      <c r="FV98" s="110"/>
      <c r="FW98" s="110"/>
      <c r="FX98" s="110"/>
      <c r="FY98" s="110"/>
      <c r="FZ98" s="110"/>
      <c r="GA98" s="110"/>
      <c r="GB98" s="110"/>
      <c r="GC98" s="110"/>
      <c r="GD98" s="110"/>
      <c r="GE98" s="110"/>
      <c r="GF98" s="110"/>
      <c r="GG98" s="110"/>
      <c r="GH98" s="110"/>
      <c r="GI98" s="110"/>
      <c r="GJ98" s="110"/>
      <c r="GK98" s="110"/>
      <c r="GL98" s="110"/>
      <c r="GM98" s="110"/>
      <c r="GN98" s="110"/>
      <c r="GO98" s="110"/>
      <c r="GP98" s="110"/>
      <c r="GQ98" s="110"/>
      <c r="GR98" s="110"/>
      <c r="GS98" s="110"/>
      <c r="GT98" s="110"/>
      <c r="GU98" s="110"/>
      <c r="GV98" s="110"/>
      <c r="GW98" s="110"/>
      <c r="GX98" s="110"/>
      <c r="GY98" s="110"/>
      <c r="GZ98" s="110"/>
      <c r="HA98" s="110"/>
      <c r="HB98" s="110"/>
      <c r="HC98" s="110"/>
      <c r="HD98" s="110"/>
      <c r="HE98" s="110"/>
      <c r="HF98" s="110"/>
      <c r="HG98" s="110"/>
      <c r="HH98" s="110"/>
      <c r="HI98" s="110"/>
      <c r="HJ98" s="110"/>
      <c r="HK98" s="110"/>
      <c r="HL98" s="110"/>
      <c r="HM98" s="110"/>
      <c r="HN98" s="110"/>
      <c r="HO98" s="110"/>
      <c r="HP98" s="110"/>
      <c r="HQ98" s="110"/>
      <c r="HR98" s="110"/>
      <c r="HS98" s="110"/>
      <c r="HT98" s="110"/>
      <c r="HU98" s="110"/>
      <c r="HV98" s="110"/>
      <c r="HW98" s="110"/>
      <c r="HX98" s="110"/>
      <c r="HY98" s="110"/>
      <c r="HZ98" s="110"/>
      <c r="IA98" s="110"/>
      <c r="IB98" s="110"/>
      <c r="IC98" s="110"/>
      <c r="ID98" s="110"/>
      <c r="IE98" s="110"/>
      <c r="IF98" s="110"/>
      <c r="IG98" s="110"/>
      <c r="IH98" s="110"/>
      <c r="II98" s="110"/>
      <c r="IJ98" s="110"/>
      <c r="IK98" s="110"/>
      <c r="IL98" s="110"/>
      <c r="IM98" s="110"/>
      <c r="IN98" s="110"/>
      <c r="IO98" s="110"/>
      <c r="IP98" s="110"/>
      <c r="IQ98" s="110"/>
      <c r="IR98" s="110"/>
      <c r="IS98" s="110"/>
      <c r="IT98" s="110"/>
      <c r="IU98" s="110"/>
      <c r="IV98" s="110"/>
      <c r="IW98" s="110"/>
    </row>
    <row r="99" spans="1:257" x14ac:dyDescent="0.3">
      <c r="A99" s="156"/>
      <c r="B99" s="156"/>
      <c r="C99" s="156"/>
      <c r="D99" s="156"/>
      <c r="E99" s="156"/>
      <c r="F99" s="156"/>
      <c r="G99" s="156"/>
      <c r="H99" s="156"/>
      <c r="I99" s="156"/>
      <c r="J99" s="156"/>
      <c r="K99" s="156"/>
      <c r="L99" s="156"/>
      <c r="M99" s="156"/>
      <c r="N99" s="156"/>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c r="BY99" s="110"/>
      <c r="BZ99" s="110"/>
      <c r="CA99" s="110"/>
      <c r="CB99" s="110"/>
      <c r="CC99" s="110"/>
      <c r="CD99" s="110"/>
      <c r="CE99" s="110"/>
      <c r="CF99" s="110"/>
      <c r="CG99" s="110"/>
      <c r="CH99" s="110"/>
      <c r="CI99" s="110"/>
      <c r="CJ99" s="110"/>
      <c r="CK99" s="110"/>
      <c r="CL99" s="110"/>
      <c r="CM99" s="110"/>
      <c r="CN99" s="110"/>
      <c r="CO99" s="110"/>
      <c r="CP99" s="110"/>
      <c r="CQ99" s="110"/>
      <c r="CR99" s="110"/>
      <c r="CS99" s="110"/>
      <c r="CT99" s="110"/>
      <c r="CU99" s="110"/>
      <c r="CV99" s="110"/>
      <c r="CW99" s="110"/>
      <c r="CX99" s="110"/>
      <c r="CY99" s="110"/>
      <c r="CZ99" s="110"/>
      <c r="DA99" s="110"/>
      <c r="DB99" s="110"/>
      <c r="DC99" s="110"/>
      <c r="DD99" s="110"/>
      <c r="DE99" s="110"/>
      <c r="DF99" s="110"/>
      <c r="DG99" s="110"/>
      <c r="DH99" s="110"/>
      <c r="DI99" s="110"/>
      <c r="DJ99" s="110"/>
      <c r="DK99" s="110"/>
      <c r="DL99" s="110"/>
      <c r="DM99" s="110"/>
      <c r="DN99" s="110"/>
      <c r="DO99" s="110"/>
      <c r="DP99" s="110"/>
      <c r="DQ99" s="110"/>
      <c r="DR99" s="110"/>
      <c r="DS99" s="110"/>
      <c r="DT99" s="110"/>
      <c r="DU99" s="110"/>
      <c r="DV99" s="110"/>
      <c r="DW99" s="110"/>
      <c r="DX99" s="110"/>
      <c r="DY99" s="110"/>
      <c r="DZ99" s="110"/>
      <c r="EA99" s="110"/>
      <c r="EB99" s="110"/>
      <c r="EC99" s="110"/>
      <c r="ED99" s="110"/>
      <c r="EE99" s="110"/>
      <c r="EF99" s="110"/>
      <c r="EG99" s="110"/>
      <c r="EH99" s="110"/>
      <c r="EI99" s="110"/>
      <c r="EJ99" s="110"/>
      <c r="EK99" s="110"/>
      <c r="EL99" s="110"/>
      <c r="EM99" s="110"/>
      <c r="EN99" s="110"/>
      <c r="EO99" s="110"/>
      <c r="EP99" s="110"/>
      <c r="EQ99" s="110"/>
      <c r="ER99" s="110"/>
      <c r="ES99" s="110"/>
      <c r="ET99" s="110"/>
      <c r="EU99" s="110"/>
      <c r="EV99" s="110"/>
      <c r="EW99" s="110"/>
      <c r="EX99" s="110"/>
      <c r="EY99" s="110"/>
      <c r="EZ99" s="110"/>
      <c r="FA99" s="110"/>
      <c r="FB99" s="110"/>
      <c r="FC99" s="110"/>
      <c r="FD99" s="110"/>
      <c r="FE99" s="110"/>
      <c r="FF99" s="110"/>
      <c r="FG99" s="110"/>
      <c r="FH99" s="110"/>
      <c r="FI99" s="110"/>
      <c r="FJ99" s="110"/>
      <c r="FK99" s="110"/>
      <c r="FL99" s="110"/>
      <c r="FM99" s="110"/>
      <c r="FN99" s="110"/>
      <c r="FO99" s="110"/>
      <c r="FP99" s="110"/>
      <c r="FQ99" s="110"/>
      <c r="FR99" s="110"/>
      <c r="FS99" s="110"/>
      <c r="FT99" s="110"/>
      <c r="FU99" s="110"/>
      <c r="FV99" s="110"/>
      <c r="FW99" s="110"/>
      <c r="FX99" s="110"/>
      <c r="FY99" s="110"/>
      <c r="FZ99" s="110"/>
      <c r="GA99" s="110"/>
      <c r="GB99" s="110"/>
      <c r="GC99" s="110"/>
      <c r="GD99" s="110"/>
      <c r="GE99" s="110"/>
      <c r="GF99" s="110"/>
      <c r="GG99" s="110"/>
      <c r="GH99" s="110"/>
      <c r="GI99" s="110"/>
      <c r="GJ99" s="110"/>
      <c r="GK99" s="110"/>
      <c r="GL99" s="110"/>
      <c r="GM99" s="110"/>
      <c r="GN99" s="110"/>
      <c r="GO99" s="110"/>
      <c r="GP99" s="110"/>
      <c r="GQ99" s="110"/>
      <c r="GR99" s="110"/>
      <c r="GS99" s="110"/>
      <c r="GT99" s="110"/>
      <c r="GU99" s="110"/>
      <c r="GV99" s="110"/>
      <c r="GW99" s="110"/>
      <c r="GX99" s="110"/>
      <c r="GY99" s="110"/>
      <c r="GZ99" s="110"/>
      <c r="HA99" s="110"/>
      <c r="HB99" s="110"/>
      <c r="HC99" s="110"/>
      <c r="HD99" s="110"/>
      <c r="HE99" s="110"/>
      <c r="HF99" s="110"/>
      <c r="HG99" s="110"/>
      <c r="HH99" s="110"/>
      <c r="HI99" s="110"/>
      <c r="HJ99" s="110"/>
      <c r="HK99" s="110"/>
      <c r="HL99" s="110"/>
      <c r="HM99" s="110"/>
      <c r="HN99" s="110"/>
      <c r="HO99" s="110"/>
      <c r="HP99" s="110"/>
      <c r="HQ99" s="110"/>
      <c r="HR99" s="110"/>
      <c r="HS99" s="110"/>
      <c r="HT99" s="110"/>
      <c r="HU99" s="110"/>
      <c r="HV99" s="110"/>
      <c r="HW99" s="110"/>
      <c r="HX99" s="110"/>
      <c r="HY99" s="110"/>
      <c r="HZ99" s="110"/>
      <c r="IA99" s="110"/>
      <c r="IB99" s="110"/>
      <c r="IC99" s="110"/>
      <c r="ID99" s="110"/>
      <c r="IE99" s="110"/>
      <c r="IF99" s="110"/>
      <c r="IG99" s="110"/>
      <c r="IH99" s="110"/>
      <c r="II99" s="110"/>
      <c r="IJ99" s="110"/>
      <c r="IK99" s="110"/>
      <c r="IL99" s="110"/>
      <c r="IM99" s="110"/>
      <c r="IN99" s="110"/>
      <c r="IO99" s="110"/>
      <c r="IP99" s="110"/>
      <c r="IQ99" s="110"/>
      <c r="IR99" s="110"/>
      <c r="IS99" s="110"/>
      <c r="IT99" s="110"/>
      <c r="IU99" s="110"/>
      <c r="IV99" s="110"/>
      <c r="IW99" s="110"/>
    </row>
    <row r="100" spans="1:257" x14ac:dyDescent="0.3">
      <c r="A100" s="156"/>
      <c r="B100" s="156"/>
      <c r="C100" s="156"/>
      <c r="D100" s="156"/>
      <c r="E100" s="156"/>
      <c r="F100" s="156"/>
      <c r="G100" s="156"/>
      <c r="H100" s="156"/>
      <c r="I100" s="156"/>
      <c r="J100" s="156"/>
      <c r="K100" s="156"/>
      <c r="L100" s="156"/>
      <c r="M100" s="156"/>
      <c r="N100" s="156"/>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c r="BY100" s="110"/>
      <c r="BZ100" s="110"/>
      <c r="CA100" s="110"/>
      <c r="CB100" s="110"/>
      <c r="CC100" s="110"/>
      <c r="CD100" s="110"/>
      <c r="CE100" s="110"/>
      <c r="CF100" s="110"/>
      <c r="CG100" s="110"/>
      <c r="CH100" s="110"/>
      <c r="CI100" s="110"/>
      <c r="CJ100" s="110"/>
      <c r="CK100" s="110"/>
      <c r="CL100" s="110"/>
      <c r="CM100" s="110"/>
      <c r="CN100" s="110"/>
      <c r="CO100" s="110"/>
      <c r="CP100" s="110"/>
      <c r="CQ100" s="110"/>
      <c r="CR100" s="110"/>
      <c r="CS100" s="110"/>
      <c r="CT100" s="110"/>
      <c r="CU100" s="110"/>
      <c r="CV100" s="110"/>
      <c r="CW100" s="110"/>
      <c r="CX100" s="110"/>
      <c r="CY100" s="110"/>
      <c r="CZ100" s="110"/>
      <c r="DA100" s="110"/>
      <c r="DB100" s="110"/>
      <c r="DC100" s="110"/>
      <c r="DD100" s="110"/>
      <c r="DE100" s="110"/>
      <c r="DF100" s="110"/>
      <c r="DG100" s="110"/>
      <c r="DH100" s="110"/>
      <c r="DI100" s="110"/>
      <c r="DJ100" s="110"/>
      <c r="DK100" s="110"/>
      <c r="DL100" s="110"/>
      <c r="DM100" s="110"/>
      <c r="DN100" s="110"/>
      <c r="DO100" s="110"/>
      <c r="DP100" s="110"/>
      <c r="DQ100" s="110"/>
      <c r="DR100" s="110"/>
      <c r="DS100" s="110"/>
      <c r="DT100" s="110"/>
      <c r="DU100" s="110"/>
      <c r="DV100" s="110"/>
      <c r="DW100" s="110"/>
      <c r="DX100" s="110"/>
      <c r="DY100" s="110"/>
      <c r="DZ100" s="110"/>
      <c r="EA100" s="110"/>
      <c r="EB100" s="110"/>
      <c r="EC100" s="110"/>
      <c r="ED100" s="110"/>
      <c r="EE100" s="110"/>
      <c r="EF100" s="110"/>
      <c r="EG100" s="110"/>
      <c r="EH100" s="110"/>
      <c r="EI100" s="110"/>
      <c r="EJ100" s="110"/>
      <c r="EK100" s="110"/>
      <c r="EL100" s="110"/>
      <c r="EM100" s="110"/>
      <c r="EN100" s="110"/>
      <c r="EO100" s="110"/>
      <c r="EP100" s="110"/>
      <c r="EQ100" s="110"/>
      <c r="ER100" s="110"/>
      <c r="ES100" s="110"/>
      <c r="ET100" s="110"/>
      <c r="EU100" s="110"/>
      <c r="EV100" s="110"/>
      <c r="EW100" s="110"/>
      <c r="EX100" s="110"/>
      <c r="EY100" s="110"/>
      <c r="EZ100" s="110"/>
      <c r="FA100" s="110"/>
      <c r="FB100" s="110"/>
      <c r="FC100" s="110"/>
      <c r="FD100" s="110"/>
      <c r="FE100" s="110"/>
      <c r="FF100" s="110"/>
      <c r="FG100" s="110"/>
      <c r="FH100" s="110"/>
      <c r="FI100" s="110"/>
      <c r="FJ100" s="110"/>
      <c r="FK100" s="110"/>
      <c r="FL100" s="110"/>
      <c r="FM100" s="110"/>
      <c r="FN100" s="110"/>
      <c r="FO100" s="110"/>
      <c r="FP100" s="110"/>
      <c r="FQ100" s="110"/>
      <c r="FR100" s="110"/>
      <c r="FS100" s="110"/>
      <c r="FT100" s="110"/>
      <c r="FU100" s="110"/>
      <c r="FV100" s="110"/>
      <c r="FW100" s="110"/>
      <c r="FX100" s="110"/>
      <c r="FY100" s="110"/>
      <c r="FZ100" s="110"/>
      <c r="GA100" s="110"/>
      <c r="GB100" s="110"/>
      <c r="GC100" s="110"/>
      <c r="GD100" s="110"/>
      <c r="GE100" s="110"/>
      <c r="GF100" s="110"/>
      <c r="GG100" s="110"/>
      <c r="GH100" s="110"/>
      <c r="GI100" s="110"/>
      <c r="GJ100" s="110"/>
      <c r="GK100" s="110"/>
      <c r="GL100" s="110"/>
      <c r="GM100" s="110"/>
      <c r="GN100" s="110"/>
      <c r="GO100" s="110"/>
      <c r="GP100" s="110"/>
      <c r="GQ100" s="110"/>
      <c r="GR100" s="110"/>
      <c r="GS100" s="110"/>
      <c r="GT100" s="110"/>
      <c r="GU100" s="110"/>
      <c r="GV100" s="110"/>
      <c r="GW100" s="110"/>
      <c r="GX100" s="110"/>
      <c r="GY100" s="110"/>
      <c r="GZ100" s="110"/>
      <c r="HA100" s="110"/>
      <c r="HB100" s="110"/>
      <c r="HC100" s="110"/>
      <c r="HD100" s="110"/>
      <c r="HE100" s="110"/>
      <c r="HF100" s="110"/>
      <c r="HG100" s="110"/>
      <c r="HH100" s="110"/>
      <c r="HI100" s="110"/>
      <c r="HJ100" s="110"/>
      <c r="HK100" s="110"/>
      <c r="HL100" s="110"/>
      <c r="HM100" s="110"/>
      <c r="HN100" s="110"/>
      <c r="HO100" s="110"/>
      <c r="HP100" s="110"/>
      <c r="HQ100" s="110"/>
      <c r="HR100" s="110"/>
      <c r="HS100" s="110"/>
      <c r="HT100" s="110"/>
      <c r="HU100" s="110"/>
      <c r="HV100" s="110"/>
      <c r="HW100" s="110"/>
      <c r="HX100" s="110"/>
      <c r="HY100" s="110"/>
      <c r="HZ100" s="110"/>
      <c r="IA100" s="110"/>
      <c r="IB100" s="110"/>
      <c r="IC100" s="110"/>
      <c r="ID100" s="110"/>
      <c r="IE100" s="110"/>
      <c r="IF100" s="110"/>
      <c r="IG100" s="110"/>
      <c r="IH100" s="110"/>
      <c r="II100" s="110"/>
      <c r="IJ100" s="110"/>
      <c r="IK100" s="110"/>
      <c r="IL100" s="110"/>
      <c r="IM100" s="110"/>
      <c r="IN100" s="110"/>
      <c r="IO100" s="110"/>
      <c r="IP100" s="110"/>
      <c r="IQ100" s="110"/>
      <c r="IR100" s="110"/>
      <c r="IS100" s="110"/>
      <c r="IT100" s="110"/>
      <c r="IU100" s="110"/>
      <c r="IV100" s="110"/>
      <c r="IW100" s="110"/>
    </row>
    <row r="101" spans="1:257" x14ac:dyDescent="0.3">
      <c r="A101" s="156"/>
      <c r="B101" s="156"/>
      <c r="C101" s="156"/>
      <c r="D101" s="156"/>
      <c r="E101" s="156"/>
      <c r="F101" s="156"/>
      <c r="G101" s="156"/>
      <c r="H101" s="156"/>
      <c r="I101" s="156"/>
      <c r="J101" s="156"/>
      <c r="K101" s="156"/>
      <c r="L101" s="156"/>
      <c r="M101" s="156"/>
      <c r="N101" s="156"/>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c r="BY101" s="110"/>
      <c r="BZ101" s="110"/>
      <c r="CA101" s="110"/>
      <c r="CB101" s="110"/>
      <c r="CC101" s="110"/>
      <c r="CD101" s="110"/>
      <c r="CE101" s="110"/>
      <c r="CF101" s="110"/>
      <c r="CG101" s="110"/>
      <c r="CH101" s="110"/>
      <c r="CI101" s="110"/>
      <c r="CJ101" s="110"/>
      <c r="CK101" s="110"/>
      <c r="CL101" s="110"/>
      <c r="CM101" s="110"/>
      <c r="CN101" s="110"/>
      <c r="CO101" s="110"/>
      <c r="CP101" s="110"/>
      <c r="CQ101" s="110"/>
      <c r="CR101" s="110"/>
      <c r="CS101" s="110"/>
      <c r="CT101" s="110"/>
      <c r="CU101" s="110"/>
      <c r="CV101" s="110"/>
      <c r="CW101" s="110"/>
      <c r="CX101" s="110"/>
      <c r="CY101" s="110"/>
      <c r="CZ101" s="110"/>
      <c r="DA101" s="110"/>
      <c r="DB101" s="110"/>
      <c r="DC101" s="110"/>
      <c r="DD101" s="110"/>
      <c r="DE101" s="110"/>
      <c r="DF101" s="110"/>
      <c r="DG101" s="110"/>
      <c r="DH101" s="110"/>
      <c r="DI101" s="110"/>
      <c r="DJ101" s="110"/>
      <c r="DK101" s="110"/>
      <c r="DL101" s="110"/>
      <c r="DM101" s="110"/>
      <c r="DN101" s="110"/>
      <c r="DO101" s="110"/>
      <c r="DP101" s="110"/>
      <c r="DQ101" s="110"/>
      <c r="DR101" s="110"/>
      <c r="DS101" s="110"/>
      <c r="DT101" s="110"/>
      <c r="DU101" s="110"/>
      <c r="DV101" s="110"/>
      <c r="DW101" s="110"/>
      <c r="DX101" s="110"/>
      <c r="DY101" s="110"/>
      <c r="DZ101" s="110"/>
      <c r="EA101" s="110"/>
      <c r="EB101" s="110"/>
      <c r="EC101" s="110"/>
      <c r="ED101" s="110"/>
      <c r="EE101" s="110"/>
      <c r="EF101" s="110"/>
      <c r="EG101" s="110"/>
      <c r="EH101" s="110"/>
      <c r="EI101" s="110"/>
      <c r="EJ101" s="110"/>
      <c r="EK101" s="110"/>
      <c r="EL101" s="110"/>
      <c r="EM101" s="110"/>
      <c r="EN101" s="110"/>
      <c r="EO101" s="110"/>
      <c r="EP101" s="110"/>
      <c r="EQ101" s="110"/>
      <c r="ER101" s="110"/>
      <c r="ES101" s="110"/>
      <c r="ET101" s="110"/>
      <c r="EU101" s="110"/>
      <c r="EV101" s="110"/>
      <c r="EW101" s="110"/>
      <c r="EX101" s="110"/>
      <c r="EY101" s="110"/>
      <c r="EZ101" s="110"/>
      <c r="FA101" s="110"/>
      <c r="FB101" s="110"/>
      <c r="FC101" s="110"/>
      <c r="FD101" s="110"/>
      <c r="FE101" s="110"/>
      <c r="FF101" s="110"/>
      <c r="FG101" s="110"/>
      <c r="FH101" s="110"/>
      <c r="FI101" s="110"/>
      <c r="FJ101" s="110"/>
      <c r="FK101" s="110"/>
      <c r="FL101" s="110"/>
      <c r="FM101" s="110"/>
      <c r="FN101" s="110"/>
      <c r="FO101" s="110"/>
      <c r="FP101" s="110"/>
      <c r="FQ101" s="110"/>
      <c r="FR101" s="110"/>
      <c r="FS101" s="110"/>
      <c r="FT101" s="110"/>
      <c r="FU101" s="110"/>
      <c r="FV101" s="110"/>
      <c r="FW101" s="110"/>
      <c r="FX101" s="110"/>
      <c r="FY101" s="110"/>
      <c r="FZ101" s="110"/>
      <c r="GA101" s="110"/>
      <c r="GB101" s="110"/>
      <c r="GC101" s="110"/>
      <c r="GD101" s="110"/>
      <c r="GE101" s="110"/>
      <c r="GF101" s="110"/>
      <c r="GG101" s="110"/>
      <c r="GH101" s="110"/>
      <c r="GI101" s="110"/>
      <c r="GJ101" s="110"/>
      <c r="GK101" s="110"/>
      <c r="GL101" s="110"/>
      <c r="GM101" s="110"/>
      <c r="GN101" s="110"/>
      <c r="GO101" s="110"/>
      <c r="GP101" s="110"/>
      <c r="GQ101" s="110"/>
      <c r="GR101" s="110"/>
      <c r="GS101" s="110"/>
      <c r="GT101" s="110"/>
      <c r="GU101" s="110"/>
      <c r="GV101" s="110"/>
      <c r="GW101" s="110"/>
      <c r="GX101" s="110"/>
      <c r="GY101" s="110"/>
      <c r="GZ101" s="110"/>
      <c r="HA101" s="110"/>
      <c r="HB101" s="110"/>
      <c r="HC101" s="110"/>
      <c r="HD101" s="110"/>
      <c r="HE101" s="110"/>
      <c r="HF101" s="110"/>
      <c r="HG101" s="110"/>
      <c r="HH101" s="110"/>
      <c r="HI101" s="110"/>
      <c r="HJ101" s="110"/>
      <c r="HK101" s="110"/>
      <c r="HL101" s="110"/>
      <c r="HM101" s="110"/>
      <c r="HN101" s="110"/>
      <c r="HO101" s="110"/>
      <c r="HP101" s="110"/>
      <c r="HQ101" s="110"/>
      <c r="HR101" s="110"/>
      <c r="HS101" s="110"/>
      <c r="HT101" s="110"/>
      <c r="HU101" s="110"/>
      <c r="HV101" s="110"/>
      <c r="HW101" s="110"/>
      <c r="HX101" s="110"/>
      <c r="HY101" s="110"/>
      <c r="HZ101" s="110"/>
      <c r="IA101" s="110"/>
      <c r="IB101" s="110"/>
      <c r="IC101" s="110"/>
      <c r="ID101" s="110"/>
      <c r="IE101" s="110"/>
      <c r="IF101" s="110"/>
      <c r="IG101" s="110"/>
      <c r="IH101" s="110"/>
      <c r="II101" s="110"/>
      <c r="IJ101" s="110"/>
      <c r="IK101" s="110"/>
      <c r="IL101" s="110"/>
      <c r="IM101" s="110"/>
      <c r="IN101" s="110"/>
      <c r="IO101" s="110"/>
      <c r="IP101" s="110"/>
      <c r="IQ101" s="110"/>
      <c r="IR101" s="110"/>
      <c r="IS101" s="110"/>
      <c r="IT101" s="110"/>
      <c r="IU101" s="110"/>
      <c r="IV101" s="110"/>
      <c r="IW101" s="110"/>
    </row>
    <row r="102" spans="1:257" x14ac:dyDescent="0.3">
      <c r="A102" s="156"/>
      <c r="B102" s="156"/>
      <c r="C102" s="156"/>
      <c r="D102" s="156"/>
      <c r="E102" s="156"/>
      <c r="F102" s="156"/>
      <c r="G102" s="156"/>
      <c r="H102" s="156"/>
      <c r="I102" s="156"/>
      <c r="J102" s="156"/>
      <c r="K102" s="156"/>
      <c r="L102" s="156"/>
      <c r="M102" s="156"/>
      <c r="N102" s="156"/>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c r="BY102" s="110"/>
      <c r="BZ102" s="110"/>
      <c r="CA102" s="110"/>
      <c r="CB102" s="110"/>
      <c r="CC102" s="110"/>
      <c r="CD102" s="110"/>
      <c r="CE102" s="110"/>
      <c r="CF102" s="110"/>
      <c r="CG102" s="110"/>
      <c r="CH102" s="110"/>
      <c r="CI102" s="110"/>
      <c r="CJ102" s="110"/>
      <c r="CK102" s="110"/>
      <c r="CL102" s="110"/>
      <c r="CM102" s="110"/>
      <c r="CN102" s="110"/>
      <c r="CO102" s="110"/>
      <c r="CP102" s="110"/>
      <c r="CQ102" s="110"/>
      <c r="CR102" s="110"/>
      <c r="CS102" s="110"/>
      <c r="CT102" s="110"/>
      <c r="CU102" s="110"/>
      <c r="CV102" s="110"/>
      <c r="CW102" s="110"/>
      <c r="CX102" s="110"/>
      <c r="CY102" s="110"/>
      <c r="CZ102" s="110"/>
      <c r="DA102" s="110"/>
      <c r="DB102" s="110"/>
      <c r="DC102" s="110"/>
      <c r="DD102" s="110"/>
      <c r="DE102" s="110"/>
      <c r="DF102" s="110"/>
      <c r="DG102" s="110"/>
      <c r="DH102" s="110"/>
      <c r="DI102" s="110"/>
      <c r="DJ102" s="110"/>
      <c r="DK102" s="110"/>
      <c r="DL102" s="110"/>
      <c r="DM102" s="110"/>
      <c r="DN102" s="110"/>
      <c r="DO102" s="110"/>
      <c r="DP102" s="110"/>
      <c r="DQ102" s="110"/>
      <c r="DR102" s="110"/>
      <c r="DS102" s="110"/>
      <c r="DT102" s="110"/>
      <c r="DU102" s="110"/>
      <c r="DV102" s="110"/>
      <c r="DW102" s="110"/>
      <c r="DX102" s="110"/>
      <c r="DY102" s="110"/>
      <c r="DZ102" s="110"/>
      <c r="EA102" s="110"/>
      <c r="EB102" s="110"/>
      <c r="EC102" s="110"/>
      <c r="ED102" s="110"/>
      <c r="EE102" s="110"/>
      <c r="EF102" s="110"/>
      <c r="EG102" s="110"/>
      <c r="EH102" s="110"/>
      <c r="EI102" s="110"/>
      <c r="EJ102" s="110"/>
      <c r="EK102" s="110"/>
      <c r="EL102" s="110"/>
      <c r="EM102" s="110"/>
      <c r="EN102" s="110"/>
      <c r="EO102" s="110"/>
      <c r="EP102" s="110"/>
      <c r="EQ102" s="110"/>
      <c r="ER102" s="110"/>
      <c r="ES102" s="110"/>
      <c r="ET102" s="110"/>
      <c r="EU102" s="110"/>
      <c r="EV102" s="110"/>
      <c r="EW102" s="110"/>
      <c r="EX102" s="110"/>
      <c r="EY102" s="110"/>
      <c r="EZ102" s="110"/>
      <c r="FA102" s="110"/>
      <c r="FB102" s="110"/>
      <c r="FC102" s="110"/>
      <c r="FD102" s="110"/>
      <c r="FE102" s="110"/>
      <c r="FF102" s="110"/>
      <c r="FG102" s="110"/>
      <c r="FH102" s="110"/>
      <c r="FI102" s="110"/>
      <c r="FJ102" s="110"/>
      <c r="FK102" s="110"/>
      <c r="FL102" s="110"/>
      <c r="FM102" s="110"/>
      <c r="FN102" s="110"/>
      <c r="FO102" s="110"/>
      <c r="FP102" s="110"/>
      <c r="FQ102" s="110"/>
      <c r="FR102" s="110"/>
      <c r="FS102" s="110"/>
      <c r="FT102" s="110"/>
      <c r="FU102" s="110"/>
      <c r="FV102" s="110"/>
      <c r="FW102" s="110"/>
      <c r="FX102" s="110"/>
      <c r="FY102" s="110"/>
      <c r="FZ102" s="110"/>
      <c r="GA102" s="110"/>
      <c r="GB102" s="110"/>
      <c r="GC102" s="110"/>
      <c r="GD102" s="110"/>
      <c r="GE102" s="110"/>
      <c r="GF102" s="110"/>
      <c r="GG102" s="110"/>
      <c r="GH102" s="110"/>
      <c r="GI102" s="110"/>
      <c r="GJ102" s="110"/>
      <c r="GK102" s="110"/>
      <c r="GL102" s="110"/>
      <c r="GM102" s="110"/>
      <c r="GN102" s="110"/>
      <c r="GO102" s="110"/>
      <c r="GP102" s="110"/>
      <c r="GQ102" s="110"/>
      <c r="GR102" s="110"/>
      <c r="GS102" s="110"/>
      <c r="GT102" s="110"/>
      <c r="GU102" s="110"/>
      <c r="GV102" s="110"/>
      <c r="GW102" s="110"/>
      <c r="GX102" s="110"/>
      <c r="GY102" s="110"/>
      <c r="GZ102" s="110"/>
      <c r="HA102" s="110"/>
      <c r="HB102" s="110"/>
      <c r="HC102" s="110"/>
      <c r="HD102" s="110"/>
      <c r="HE102" s="110"/>
      <c r="HF102" s="110"/>
      <c r="HG102" s="110"/>
      <c r="HH102" s="110"/>
      <c r="HI102" s="110"/>
      <c r="HJ102" s="110"/>
      <c r="HK102" s="110"/>
      <c r="HL102" s="110"/>
      <c r="HM102" s="110"/>
      <c r="HN102" s="110"/>
      <c r="HO102" s="110"/>
      <c r="HP102" s="110"/>
      <c r="HQ102" s="110"/>
      <c r="HR102" s="110"/>
      <c r="HS102" s="110"/>
      <c r="HT102" s="110"/>
      <c r="HU102" s="110"/>
      <c r="HV102" s="110"/>
      <c r="HW102" s="110"/>
      <c r="HX102" s="110"/>
      <c r="HY102" s="110"/>
      <c r="HZ102" s="110"/>
      <c r="IA102" s="110"/>
      <c r="IB102" s="110"/>
      <c r="IC102" s="110"/>
      <c r="ID102" s="110"/>
      <c r="IE102" s="110"/>
      <c r="IF102" s="110"/>
      <c r="IG102" s="110"/>
      <c r="IH102" s="110"/>
      <c r="II102" s="110"/>
      <c r="IJ102" s="110"/>
      <c r="IK102" s="110"/>
      <c r="IL102" s="110"/>
      <c r="IM102" s="110"/>
      <c r="IN102" s="110"/>
      <c r="IO102" s="110"/>
      <c r="IP102" s="110"/>
      <c r="IQ102" s="110"/>
      <c r="IR102" s="110"/>
      <c r="IS102" s="110"/>
      <c r="IT102" s="110"/>
      <c r="IU102" s="110"/>
      <c r="IV102" s="110"/>
      <c r="IW102" s="110"/>
    </row>
    <row r="103" spans="1:257" x14ac:dyDescent="0.3">
      <c r="A103" s="156"/>
      <c r="B103" s="156"/>
      <c r="C103" s="156"/>
      <c r="D103" s="156"/>
      <c r="E103" s="156"/>
      <c r="F103" s="156"/>
      <c r="G103" s="156"/>
      <c r="H103" s="156"/>
      <c r="I103" s="156"/>
      <c r="J103" s="156"/>
      <c r="K103" s="156"/>
      <c r="L103" s="156"/>
      <c r="M103" s="156"/>
      <c r="N103" s="156"/>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c r="BY103" s="110"/>
      <c r="BZ103" s="110"/>
      <c r="CA103" s="110"/>
      <c r="CB103" s="110"/>
      <c r="CC103" s="110"/>
      <c r="CD103" s="110"/>
      <c r="CE103" s="110"/>
      <c r="CF103" s="110"/>
      <c r="CG103" s="110"/>
      <c r="CH103" s="110"/>
      <c r="CI103" s="110"/>
      <c r="CJ103" s="110"/>
      <c r="CK103" s="110"/>
      <c r="CL103" s="110"/>
      <c r="CM103" s="110"/>
      <c r="CN103" s="110"/>
      <c r="CO103" s="110"/>
      <c r="CP103" s="110"/>
      <c r="CQ103" s="110"/>
      <c r="CR103" s="110"/>
      <c r="CS103" s="110"/>
      <c r="CT103" s="110"/>
      <c r="CU103" s="110"/>
      <c r="CV103" s="110"/>
      <c r="CW103" s="110"/>
      <c r="CX103" s="110"/>
      <c r="CY103" s="110"/>
      <c r="CZ103" s="110"/>
      <c r="DA103" s="110"/>
      <c r="DB103" s="110"/>
      <c r="DC103" s="110"/>
      <c r="DD103" s="110"/>
      <c r="DE103" s="110"/>
      <c r="DF103" s="110"/>
      <c r="DG103" s="110"/>
      <c r="DH103" s="110"/>
      <c r="DI103" s="110"/>
      <c r="DJ103" s="110"/>
      <c r="DK103" s="110"/>
      <c r="DL103" s="110"/>
      <c r="DM103" s="110"/>
      <c r="DN103" s="110"/>
      <c r="DO103" s="110"/>
      <c r="DP103" s="110"/>
      <c r="DQ103" s="110"/>
      <c r="DR103" s="110"/>
      <c r="DS103" s="110"/>
      <c r="DT103" s="110"/>
      <c r="DU103" s="110"/>
      <c r="DV103" s="110"/>
      <c r="DW103" s="110"/>
      <c r="DX103" s="110"/>
      <c r="DY103" s="110"/>
      <c r="DZ103" s="110"/>
      <c r="EA103" s="110"/>
      <c r="EB103" s="110"/>
      <c r="EC103" s="110"/>
      <c r="ED103" s="110"/>
      <c r="EE103" s="110"/>
      <c r="EF103" s="110"/>
      <c r="EG103" s="110"/>
      <c r="EH103" s="110"/>
      <c r="EI103" s="110"/>
      <c r="EJ103" s="110"/>
      <c r="EK103" s="110"/>
      <c r="EL103" s="110"/>
      <c r="EM103" s="110"/>
      <c r="EN103" s="110"/>
      <c r="EO103" s="110"/>
      <c r="EP103" s="110"/>
      <c r="EQ103" s="110"/>
      <c r="ER103" s="110"/>
      <c r="ES103" s="110"/>
      <c r="ET103" s="110"/>
      <c r="EU103" s="110"/>
      <c r="EV103" s="110"/>
      <c r="EW103" s="110"/>
      <c r="EX103" s="110"/>
      <c r="EY103" s="110"/>
      <c r="EZ103" s="110"/>
      <c r="FA103" s="110"/>
      <c r="FB103" s="110"/>
      <c r="FC103" s="110"/>
      <c r="FD103" s="110"/>
      <c r="FE103" s="110"/>
      <c r="FF103" s="110"/>
      <c r="FG103" s="110"/>
      <c r="FH103" s="110"/>
      <c r="FI103" s="110"/>
      <c r="FJ103" s="110"/>
      <c r="FK103" s="110"/>
      <c r="FL103" s="110"/>
      <c r="FM103" s="110"/>
      <c r="FN103" s="110"/>
      <c r="FO103" s="110"/>
      <c r="FP103" s="110"/>
      <c r="FQ103" s="110"/>
      <c r="FR103" s="110"/>
      <c r="FS103" s="110"/>
      <c r="FT103" s="110"/>
      <c r="FU103" s="110"/>
      <c r="FV103" s="110"/>
      <c r="FW103" s="110"/>
      <c r="FX103" s="110"/>
      <c r="FY103" s="110"/>
      <c r="FZ103" s="110"/>
      <c r="GA103" s="110"/>
      <c r="GB103" s="110"/>
      <c r="GC103" s="110"/>
      <c r="GD103" s="110"/>
      <c r="GE103" s="110"/>
      <c r="GF103" s="110"/>
      <c r="GG103" s="110"/>
      <c r="GH103" s="110"/>
      <c r="GI103" s="110"/>
      <c r="GJ103" s="110"/>
      <c r="GK103" s="110"/>
      <c r="GL103" s="110"/>
      <c r="GM103" s="110"/>
      <c r="GN103" s="110"/>
      <c r="GO103" s="110"/>
      <c r="GP103" s="110"/>
      <c r="GQ103" s="110"/>
      <c r="GR103" s="110"/>
      <c r="GS103" s="110"/>
      <c r="GT103" s="110"/>
      <c r="GU103" s="110"/>
      <c r="GV103" s="110"/>
      <c r="GW103" s="110"/>
      <c r="GX103" s="110"/>
      <c r="GY103" s="110"/>
      <c r="GZ103" s="110"/>
      <c r="HA103" s="110"/>
      <c r="HB103" s="110"/>
      <c r="HC103" s="110"/>
      <c r="HD103" s="110"/>
      <c r="HE103" s="110"/>
      <c r="HF103" s="110"/>
      <c r="HG103" s="110"/>
      <c r="HH103" s="110"/>
      <c r="HI103" s="110"/>
      <c r="HJ103" s="110"/>
      <c r="HK103" s="110"/>
      <c r="HL103" s="110"/>
      <c r="HM103" s="110"/>
      <c r="HN103" s="110"/>
      <c r="HO103" s="110"/>
      <c r="HP103" s="110"/>
      <c r="HQ103" s="110"/>
      <c r="HR103" s="110"/>
      <c r="HS103" s="110"/>
      <c r="HT103" s="110"/>
      <c r="HU103" s="110"/>
      <c r="HV103" s="110"/>
      <c r="HW103" s="110"/>
      <c r="HX103" s="110"/>
      <c r="HY103" s="110"/>
      <c r="HZ103" s="110"/>
      <c r="IA103" s="110"/>
      <c r="IB103" s="110"/>
      <c r="IC103" s="110"/>
      <c r="ID103" s="110"/>
      <c r="IE103" s="110"/>
      <c r="IF103" s="110"/>
      <c r="IG103" s="110"/>
      <c r="IH103" s="110"/>
      <c r="II103" s="110"/>
      <c r="IJ103" s="110"/>
      <c r="IK103" s="110"/>
      <c r="IL103" s="110"/>
      <c r="IM103" s="110"/>
      <c r="IN103" s="110"/>
      <c r="IO103" s="110"/>
      <c r="IP103" s="110"/>
      <c r="IQ103" s="110"/>
      <c r="IR103" s="110"/>
      <c r="IS103" s="110"/>
      <c r="IT103" s="110"/>
      <c r="IU103" s="110"/>
      <c r="IV103" s="110"/>
      <c r="IW103" s="110"/>
    </row>
    <row r="104" spans="1:257" x14ac:dyDescent="0.3">
      <c r="A104" s="156"/>
      <c r="B104" s="156"/>
      <c r="C104" s="156"/>
      <c r="D104" s="156"/>
      <c r="E104" s="156"/>
      <c r="F104" s="156"/>
      <c r="G104" s="156"/>
      <c r="H104" s="156"/>
      <c r="I104" s="156"/>
      <c r="J104" s="156"/>
      <c r="K104" s="156"/>
      <c r="L104" s="156"/>
      <c r="M104" s="156"/>
      <c r="N104" s="156"/>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c r="BY104" s="110"/>
      <c r="BZ104" s="110"/>
      <c r="CA104" s="110"/>
      <c r="CB104" s="110"/>
      <c r="CC104" s="110"/>
      <c r="CD104" s="110"/>
      <c r="CE104" s="110"/>
      <c r="CF104" s="110"/>
      <c r="CG104" s="110"/>
      <c r="CH104" s="110"/>
      <c r="CI104" s="110"/>
      <c r="CJ104" s="110"/>
      <c r="CK104" s="110"/>
      <c r="CL104" s="110"/>
      <c r="CM104" s="110"/>
      <c r="CN104" s="110"/>
      <c r="CO104" s="110"/>
      <c r="CP104" s="110"/>
      <c r="CQ104" s="110"/>
      <c r="CR104" s="110"/>
      <c r="CS104" s="110"/>
      <c r="CT104" s="110"/>
      <c r="CU104" s="110"/>
      <c r="CV104" s="110"/>
      <c r="CW104" s="110"/>
      <c r="CX104" s="110"/>
      <c r="CY104" s="110"/>
      <c r="CZ104" s="110"/>
      <c r="DA104" s="110"/>
      <c r="DB104" s="110"/>
      <c r="DC104" s="110"/>
      <c r="DD104" s="110"/>
      <c r="DE104" s="110"/>
      <c r="DF104" s="110"/>
      <c r="DG104" s="110"/>
      <c r="DH104" s="110"/>
      <c r="DI104" s="110"/>
      <c r="DJ104" s="110"/>
      <c r="DK104" s="110"/>
      <c r="DL104" s="110"/>
      <c r="DM104" s="110"/>
      <c r="DN104" s="110"/>
      <c r="DO104" s="110"/>
      <c r="DP104" s="110"/>
      <c r="DQ104" s="110"/>
      <c r="DR104" s="110"/>
      <c r="DS104" s="110"/>
      <c r="DT104" s="110"/>
      <c r="DU104" s="110"/>
      <c r="DV104" s="110"/>
      <c r="DW104" s="110"/>
      <c r="DX104" s="110"/>
      <c r="DY104" s="110"/>
      <c r="DZ104" s="110"/>
      <c r="EA104" s="110"/>
      <c r="EB104" s="110"/>
      <c r="EC104" s="110"/>
      <c r="ED104" s="110"/>
      <c r="EE104" s="110"/>
      <c r="EF104" s="110"/>
      <c r="EG104" s="110"/>
      <c r="EH104" s="110"/>
      <c r="EI104" s="110"/>
      <c r="EJ104" s="110"/>
      <c r="EK104" s="110"/>
      <c r="EL104" s="110"/>
      <c r="EM104" s="110"/>
      <c r="EN104" s="110"/>
      <c r="EO104" s="110"/>
      <c r="EP104" s="110"/>
      <c r="EQ104" s="110"/>
      <c r="ER104" s="110"/>
      <c r="ES104" s="110"/>
      <c r="ET104" s="110"/>
      <c r="EU104" s="110"/>
      <c r="EV104" s="110"/>
      <c r="EW104" s="110"/>
      <c r="EX104" s="110"/>
      <c r="EY104" s="110"/>
      <c r="EZ104" s="110"/>
      <c r="FA104" s="110"/>
      <c r="FB104" s="110"/>
      <c r="FC104" s="110"/>
      <c r="FD104" s="110"/>
      <c r="FE104" s="110"/>
      <c r="FF104" s="110"/>
      <c r="FG104" s="110"/>
      <c r="FH104" s="110"/>
      <c r="FI104" s="110"/>
      <c r="FJ104" s="110"/>
      <c r="FK104" s="110"/>
      <c r="FL104" s="110"/>
      <c r="FM104" s="110"/>
      <c r="FN104" s="110"/>
      <c r="FO104" s="110"/>
      <c r="FP104" s="110"/>
      <c r="FQ104" s="110"/>
      <c r="FR104" s="110"/>
      <c r="FS104" s="110"/>
      <c r="FT104" s="110"/>
      <c r="FU104" s="110"/>
      <c r="FV104" s="110"/>
      <c r="FW104" s="110"/>
      <c r="FX104" s="110"/>
      <c r="FY104" s="110"/>
      <c r="FZ104" s="110"/>
      <c r="GA104" s="110"/>
      <c r="GB104" s="110"/>
      <c r="GC104" s="110"/>
      <c r="GD104" s="110"/>
      <c r="GE104" s="110"/>
      <c r="GF104" s="110"/>
      <c r="GG104" s="110"/>
      <c r="GH104" s="110"/>
      <c r="GI104" s="110"/>
      <c r="GJ104" s="110"/>
      <c r="GK104" s="110"/>
      <c r="GL104" s="110"/>
      <c r="GM104" s="110"/>
      <c r="GN104" s="110"/>
      <c r="GO104" s="110"/>
      <c r="GP104" s="110"/>
      <c r="GQ104" s="110"/>
      <c r="GR104" s="110"/>
      <c r="GS104" s="110"/>
      <c r="GT104" s="110"/>
      <c r="GU104" s="110"/>
      <c r="GV104" s="110"/>
      <c r="GW104" s="110"/>
      <c r="GX104" s="110"/>
      <c r="GY104" s="110"/>
      <c r="GZ104" s="110"/>
      <c r="HA104" s="110"/>
      <c r="HB104" s="110"/>
      <c r="HC104" s="110"/>
      <c r="HD104" s="110"/>
      <c r="HE104" s="110"/>
      <c r="HF104" s="110"/>
      <c r="HG104" s="110"/>
      <c r="HH104" s="110"/>
      <c r="HI104" s="110"/>
      <c r="HJ104" s="110"/>
      <c r="HK104" s="110"/>
      <c r="HL104" s="110"/>
      <c r="HM104" s="110"/>
      <c r="HN104" s="110"/>
      <c r="HO104" s="110"/>
      <c r="HP104" s="110"/>
      <c r="HQ104" s="110"/>
      <c r="HR104" s="110"/>
      <c r="HS104" s="110"/>
      <c r="HT104" s="110"/>
      <c r="HU104" s="110"/>
      <c r="HV104" s="110"/>
      <c r="HW104" s="110"/>
      <c r="HX104" s="110"/>
      <c r="HY104" s="110"/>
      <c r="HZ104" s="110"/>
      <c r="IA104" s="110"/>
      <c r="IB104" s="110"/>
      <c r="IC104" s="110"/>
      <c r="ID104" s="110"/>
      <c r="IE104" s="110"/>
      <c r="IF104" s="110"/>
      <c r="IG104" s="110"/>
      <c r="IH104" s="110"/>
      <c r="II104" s="110"/>
      <c r="IJ104" s="110"/>
      <c r="IK104" s="110"/>
      <c r="IL104" s="110"/>
      <c r="IM104" s="110"/>
      <c r="IN104" s="110"/>
      <c r="IO104" s="110"/>
      <c r="IP104" s="110"/>
      <c r="IQ104" s="110"/>
      <c r="IR104" s="110"/>
      <c r="IS104" s="110"/>
      <c r="IT104" s="110"/>
      <c r="IU104" s="110"/>
      <c r="IV104" s="110"/>
      <c r="IW104" s="110"/>
    </row>
    <row r="105" spans="1:257" x14ac:dyDescent="0.3">
      <c r="A105" s="156"/>
      <c r="B105" s="156"/>
      <c r="C105" s="156"/>
      <c r="D105" s="156"/>
      <c r="E105" s="156"/>
      <c r="F105" s="156"/>
      <c r="G105" s="156"/>
      <c r="H105" s="156"/>
      <c r="I105" s="156"/>
      <c r="J105" s="156"/>
      <c r="K105" s="156"/>
      <c r="L105" s="156"/>
      <c r="M105" s="156"/>
      <c r="N105" s="156"/>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c r="BY105" s="110"/>
      <c r="BZ105" s="110"/>
      <c r="CA105" s="110"/>
      <c r="CB105" s="110"/>
      <c r="CC105" s="110"/>
      <c r="CD105" s="110"/>
      <c r="CE105" s="110"/>
      <c r="CF105" s="110"/>
      <c r="CG105" s="110"/>
      <c r="CH105" s="110"/>
      <c r="CI105" s="110"/>
      <c r="CJ105" s="110"/>
      <c r="CK105" s="110"/>
      <c r="CL105" s="110"/>
      <c r="CM105" s="110"/>
      <c r="CN105" s="110"/>
      <c r="CO105" s="110"/>
      <c r="CP105" s="110"/>
      <c r="CQ105" s="110"/>
      <c r="CR105" s="110"/>
      <c r="CS105" s="110"/>
      <c r="CT105" s="110"/>
      <c r="CU105" s="110"/>
      <c r="CV105" s="110"/>
      <c r="CW105" s="110"/>
      <c r="CX105" s="110"/>
      <c r="CY105" s="110"/>
      <c r="CZ105" s="110"/>
      <c r="DA105" s="110"/>
      <c r="DB105" s="110"/>
      <c r="DC105" s="110"/>
      <c r="DD105" s="110"/>
      <c r="DE105" s="110"/>
      <c r="DF105" s="110"/>
      <c r="DG105" s="110"/>
      <c r="DH105" s="110"/>
      <c r="DI105" s="110"/>
      <c r="DJ105" s="110"/>
      <c r="DK105" s="110"/>
      <c r="DL105" s="110"/>
      <c r="DM105" s="110"/>
      <c r="DN105" s="110"/>
      <c r="DO105" s="110"/>
      <c r="DP105" s="110"/>
      <c r="DQ105" s="110"/>
      <c r="DR105" s="110"/>
      <c r="DS105" s="110"/>
      <c r="DT105" s="110"/>
      <c r="DU105" s="110"/>
      <c r="DV105" s="110"/>
      <c r="DW105" s="110"/>
      <c r="DX105" s="110"/>
      <c r="DY105" s="110"/>
      <c r="DZ105" s="110"/>
      <c r="EA105" s="110"/>
      <c r="EB105" s="110"/>
      <c r="EC105" s="110"/>
      <c r="ED105" s="110"/>
      <c r="EE105" s="110"/>
      <c r="EF105" s="110"/>
      <c r="EG105" s="110"/>
      <c r="EH105" s="110"/>
      <c r="EI105" s="110"/>
      <c r="EJ105" s="110"/>
      <c r="EK105" s="110"/>
      <c r="EL105" s="110"/>
      <c r="EM105" s="110"/>
      <c r="EN105" s="110"/>
      <c r="EO105" s="110"/>
      <c r="EP105" s="110"/>
      <c r="EQ105" s="110"/>
      <c r="ER105" s="110"/>
      <c r="ES105" s="110"/>
      <c r="ET105" s="110"/>
      <c r="EU105" s="110"/>
      <c r="EV105" s="110"/>
      <c r="EW105" s="110"/>
      <c r="EX105" s="110"/>
      <c r="EY105" s="110"/>
      <c r="EZ105" s="110"/>
      <c r="FA105" s="110"/>
      <c r="FB105" s="110"/>
      <c r="FC105" s="110"/>
      <c r="FD105" s="110"/>
      <c r="FE105" s="110"/>
      <c r="FF105" s="110"/>
      <c r="FG105" s="110"/>
      <c r="FH105" s="110"/>
      <c r="FI105" s="110"/>
      <c r="FJ105" s="110"/>
      <c r="FK105" s="110"/>
      <c r="FL105" s="110"/>
      <c r="FM105" s="110"/>
      <c r="FN105" s="110"/>
      <c r="FO105" s="110"/>
      <c r="FP105" s="110"/>
      <c r="FQ105" s="110"/>
      <c r="FR105" s="110"/>
      <c r="FS105" s="110"/>
      <c r="FT105" s="110"/>
      <c r="FU105" s="110"/>
      <c r="FV105" s="110"/>
      <c r="FW105" s="110"/>
      <c r="FX105" s="110"/>
      <c r="FY105" s="110"/>
      <c r="FZ105" s="110"/>
      <c r="GA105" s="110"/>
      <c r="GB105" s="110"/>
      <c r="GC105" s="110"/>
      <c r="GD105" s="110"/>
      <c r="GE105" s="110"/>
      <c r="GF105" s="110"/>
      <c r="GG105" s="110"/>
      <c r="GH105" s="110"/>
      <c r="GI105" s="110"/>
      <c r="GJ105" s="110"/>
      <c r="GK105" s="110"/>
      <c r="GL105" s="110"/>
      <c r="GM105" s="110"/>
      <c r="GN105" s="110"/>
      <c r="GO105" s="110"/>
      <c r="GP105" s="110"/>
      <c r="GQ105" s="110"/>
      <c r="GR105" s="110"/>
      <c r="GS105" s="110"/>
      <c r="GT105" s="110"/>
      <c r="GU105" s="110"/>
      <c r="GV105" s="110"/>
      <c r="GW105" s="110"/>
      <c r="GX105" s="110"/>
      <c r="GY105" s="110"/>
      <c r="GZ105" s="110"/>
      <c r="HA105" s="110"/>
      <c r="HB105" s="110"/>
      <c r="HC105" s="110"/>
      <c r="HD105" s="110"/>
      <c r="HE105" s="110"/>
      <c r="HF105" s="110"/>
      <c r="HG105" s="110"/>
      <c r="HH105" s="110"/>
      <c r="HI105" s="110"/>
      <c r="HJ105" s="110"/>
      <c r="HK105" s="110"/>
      <c r="HL105" s="110"/>
      <c r="HM105" s="110"/>
      <c r="HN105" s="110"/>
      <c r="HO105" s="110"/>
      <c r="HP105" s="110"/>
      <c r="HQ105" s="110"/>
      <c r="HR105" s="110"/>
      <c r="HS105" s="110"/>
      <c r="HT105" s="110"/>
      <c r="HU105" s="110"/>
      <c r="HV105" s="110"/>
      <c r="HW105" s="110"/>
      <c r="HX105" s="110"/>
      <c r="HY105" s="110"/>
      <c r="HZ105" s="110"/>
      <c r="IA105" s="110"/>
      <c r="IB105" s="110"/>
      <c r="IC105" s="110"/>
      <c r="ID105" s="110"/>
      <c r="IE105" s="110"/>
      <c r="IF105" s="110"/>
      <c r="IG105" s="110"/>
      <c r="IH105" s="110"/>
      <c r="II105" s="110"/>
      <c r="IJ105" s="110"/>
      <c r="IK105" s="110"/>
      <c r="IL105" s="110"/>
      <c r="IM105" s="110"/>
      <c r="IN105" s="110"/>
      <c r="IO105" s="110"/>
      <c r="IP105" s="110"/>
      <c r="IQ105" s="110"/>
      <c r="IR105" s="110"/>
      <c r="IS105" s="110"/>
      <c r="IT105" s="110"/>
      <c r="IU105" s="110"/>
      <c r="IV105" s="110"/>
      <c r="IW105" s="110"/>
    </row>
    <row r="106" spans="1:257" x14ac:dyDescent="0.3">
      <c r="A106" s="156"/>
      <c r="B106" s="156"/>
      <c r="C106" s="156"/>
      <c r="D106" s="156"/>
      <c r="E106" s="156"/>
      <c r="F106" s="156"/>
      <c r="G106" s="156"/>
      <c r="H106" s="156"/>
      <c r="I106" s="156"/>
      <c r="J106" s="156"/>
      <c r="K106" s="156"/>
      <c r="L106" s="156"/>
      <c r="M106" s="156"/>
      <c r="N106" s="156"/>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c r="BY106" s="110"/>
      <c r="BZ106" s="110"/>
      <c r="CA106" s="110"/>
      <c r="CB106" s="110"/>
      <c r="CC106" s="110"/>
      <c r="CD106" s="110"/>
      <c r="CE106" s="110"/>
      <c r="CF106" s="110"/>
      <c r="CG106" s="110"/>
      <c r="CH106" s="110"/>
      <c r="CI106" s="110"/>
      <c r="CJ106" s="110"/>
      <c r="CK106" s="110"/>
      <c r="CL106" s="110"/>
      <c r="CM106" s="110"/>
      <c r="CN106" s="110"/>
      <c r="CO106" s="110"/>
      <c r="CP106" s="110"/>
      <c r="CQ106" s="110"/>
      <c r="CR106" s="110"/>
      <c r="CS106" s="110"/>
      <c r="CT106" s="110"/>
      <c r="CU106" s="110"/>
      <c r="CV106" s="110"/>
      <c r="CW106" s="110"/>
      <c r="CX106" s="110"/>
      <c r="CY106" s="110"/>
      <c r="CZ106" s="110"/>
      <c r="DA106" s="110"/>
      <c r="DB106" s="110"/>
      <c r="DC106" s="110"/>
      <c r="DD106" s="110"/>
      <c r="DE106" s="110"/>
      <c r="DF106" s="110"/>
      <c r="DG106" s="110"/>
      <c r="DH106" s="110"/>
      <c r="DI106" s="110"/>
      <c r="DJ106" s="110"/>
      <c r="DK106" s="110"/>
      <c r="DL106" s="110"/>
      <c r="DM106" s="110"/>
      <c r="DN106" s="110"/>
      <c r="DO106" s="110"/>
      <c r="DP106" s="110"/>
      <c r="DQ106" s="110"/>
      <c r="DR106" s="110"/>
      <c r="DS106" s="110"/>
      <c r="DT106" s="110"/>
      <c r="DU106" s="110"/>
      <c r="DV106" s="110"/>
      <c r="DW106" s="110"/>
      <c r="DX106" s="110"/>
      <c r="DY106" s="110"/>
      <c r="DZ106" s="110"/>
      <c r="EA106" s="110"/>
      <c r="EB106" s="110"/>
      <c r="EC106" s="110"/>
      <c r="ED106" s="110"/>
      <c r="EE106" s="110"/>
      <c r="EF106" s="110"/>
      <c r="EG106" s="110"/>
      <c r="EH106" s="110"/>
      <c r="EI106" s="110"/>
      <c r="EJ106" s="110"/>
      <c r="EK106" s="110"/>
      <c r="EL106" s="110"/>
      <c r="EM106" s="110"/>
      <c r="EN106" s="110"/>
      <c r="EO106" s="110"/>
      <c r="EP106" s="110"/>
      <c r="EQ106" s="110"/>
      <c r="ER106" s="110"/>
      <c r="ES106" s="110"/>
      <c r="ET106" s="110"/>
      <c r="EU106" s="110"/>
      <c r="EV106" s="110"/>
      <c r="EW106" s="110"/>
      <c r="EX106" s="110"/>
      <c r="EY106" s="110"/>
      <c r="EZ106" s="110"/>
      <c r="FA106" s="110"/>
      <c r="FB106" s="110"/>
      <c r="FC106" s="110"/>
      <c r="FD106" s="110"/>
      <c r="FE106" s="110"/>
      <c r="FF106" s="110"/>
      <c r="FG106" s="110"/>
      <c r="FH106" s="110"/>
      <c r="FI106" s="110"/>
      <c r="FJ106" s="110"/>
      <c r="FK106" s="110"/>
      <c r="FL106" s="110"/>
      <c r="FM106" s="110"/>
      <c r="FN106" s="110"/>
      <c r="FO106" s="110"/>
      <c r="FP106" s="110"/>
      <c r="FQ106" s="110"/>
      <c r="FR106" s="110"/>
      <c r="FS106" s="110"/>
      <c r="FT106" s="110"/>
      <c r="FU106" s="110"/>
      <c r="FV106" s="110"/>
      <c r="FW106" s="110"/>
      <c r="FX106" s="110"/>
      <c r="FY106" s="110"/>
      <c r="FZ106" s="110"/>
      <c r="GA106" s="110"/>
      <c r="GB106" s="110"/>
      <c r="GC106" s="110"/>
      <c r="GD106" s="110"/>
      <c r="GE106" s="110"/>
      <c r="GF106" s="110"/>
      <c r="GG106" s="110"/>
      <c r="GH106" s="110"/>
      <c r="GI106" s="110"/>
      <c r="GJ106" s="110"/>
      <c r="GK106" s="110"/>
      <c r="GL106" s="110"/>
      <c r="GM106" s="110"/>
      <c r="GN106" s="110"/>
      <c r="GO106" s="110"/>
      <c r="GP106" s="110"/>
      <c r="GQ106" s="110"/>
      <c r="GR106" s="110"/>
      <c r="GS106" s="110"/>
      <c r="GT106" s="110"/>
      <c r="GU106" s="110"/>
      <c r="GV106" s="110"/>
      <c r="GW106" s="110"/>
      <c r="GX106" s="110"/>
      <c r="GY106" s="110"/>
      <c r="GZ106" s="110"/>
      <c r="HA106" s="110"/>
      <c r="HB106" s="110"/>
      <c r="HC106" s="110"/>
      <c r="HD106" s="110"/>
      <c r="HE106" s="110"/>
      <c r="HF106" s="110"/>
      <c r="HG106" s="110"/>
      <c r="HH106" s="110"/>
      <c r="HI106" s="110"/>
      <c r="HJ106" s="110"/>
      <c r="HK106" s="110"/>
      <c r="HL106" s="110"/>
      <c r="HM106" s="110"/>
      <c r="HN106" s="110"/>
      <c r="HO106" s="110"/>
      <c r="HP106" s="110"/>
      <c r="HQ106" s="110"/>
      <c r="HR106" s="110"/>
      <c r="HS106" s="110"/>
      <c r="HT106" s="110"/>
      <c r="HU106" s="110"/>
      <c r="HV106" s="110"/>
      <c r="HW106" s="110"/>
      <c r="HX106" s="110"/>
      <c r="HY106" s="110"/>
      <c r="HZ106" s="110"/>
      <c r="IA106" s="110"/>
      <c r="IB106" s="110"/>
      <c r="IC106" s="110"/>
      <c r="ID106" s="110"/>
      <c r="IE106" s="110"/>
      <c r="IF106" s="110"/>
      <c r="IG106" s="110"/>
      <c r="IH106" s="110"/>
      <c r="II106" s="110"/>
      <c r="IJ106" s="110"/>
      <c r="IK106" s="110"/>
      <c r="IL106" s="110"/>
      <c r="IM106" s="110"/>
      <c r="IN106" s="110"/>
      <c r="IO106" s="110"/>
      <c r="IP106" s="110"/>
      <c r="IQ106" s="110"/>
      <c r="IR106" s="110"/>
      <c r="IS106" s="110"/>
      <c r="IT106" s="110"/>
      <c r="IU106" s="110"/>
      <c r="IV106" s="110"/>
      <c r="IW106" s="110"/>
    </row>
    <row r="107" spans="1:257" x14ac:dyDescent="0.3">
      <c r="A107" s="156"/>
      <c r="B107" s="156"/>
      <c r="C107" s="156"/>
      <c r="D107" s="156"/>
      <c r="E107" s="156"/>
      <c r="F107" s="156"/>
      <c r="G107" s="156"/>
      <c r="H107" s="156"/>
      <c r="I107" s="156"/>
      <c r="J107" s="156"/>
      <c r="K107" s="156"/>
      <c r="L107" s="156"/>
      <c r="M107" s="156"/>
      <c r="N107" s="156"/>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c r="BY107" s="110"/>
      <c r="BZ107" s="110"/>
      <c r="CA107" s="110"/>
      <c r="CB107" s="110"/>
      <c r="CC107" s="110"/>
      <c r="CD107" s="110"/>
      <c r="CE107" s="110"/>
      <c r="CF107" s="110"/>
      <c r="CG107" s="110"/>
      <c r="CH107" s="110"/>
      <c r="CI107" s="110"/>
      <c r="CJ107" s="110"/>
      <c r="CK107" s="110"/>
      <c r="CL107" s="110"/>
      <c r="CM107" s="110"/>
      <c r="CN107" s="110"/>
      <c r="CO107" s="110"/>
      <c r="CP107" s="110"/>
      <c r="CQ107" s="110"/>
      <c r="CR107" s="110"/>
      <c r="CS107" s="110"/>
      <c r="CT107" s="110"/>
      <c r="CU107" s="110"/>
      <c r="CV107" s="110"/>
      <c r="CW107" s="110"/>
      <c r="CX107" s="110"/>
      <c r="CY107" s="110"/>
      <c r="CZ107" s="110"/>
      <c r="DA107" s="110"/>
      <c r="DB107" s="110"/>
      <c r="DC107" s="110"/>
      <c r="DD107" s="110"/>
      <c r="DE107" s="110"/>
      <c r="DF107" s="110"/>
      <c r="DG107" s="110"/>
      <c r="DH107" s="110"/>
      <c r="DI107" s="110"/>
      <c r="DJ107" s="110"/>
      <c r="DK107" s="110"/>
      <c r="DL107" s="110"/>
      <c r="DM107" s="110"/>
      <c r="DN107" s="110"/>
      <c r="DO107" s="110"/>
      <c r="DP107" s="110"/>
      <c r="DQ107" s="110"/>
      <c r="DR107" s="110"/>
      <c r="DS107" s="110"/>
      <c r="DT107" s="110"/>
      <c r="DU107" s="110"/>
      <c r="DV107" s="110"/>
      <c r="DW107" s="110"/>
      <c r="DX107" s="110"/>
      <c r="DY107" s="110"/>
      <c r="DZ107" s="110"/>
      <c r="EA107" s="110"/>
      <c r="EB107" s="110"/>
      <c r="EC107" s="110"/>
      <c r="ED107" s="110"/>
      <c r="EE107" s="110"/>
      <c r="EF107" s="110"/>
      <c r="EG107" s="110"/>
      <c r="EH107" s="110"/>
      <c r="EI107" s="110"/>
      <c r="EJ107" s="110"/>
      <c r="EK107" s="110"/>
      <c r="EL107" s="110"/>
      <c r="EM107" s="110"/>
      <c r="EN107" s="110"/>
      <c r="EO107" s="110"/>
      <c r="EP107" s="110"/>
      <c r="EQ107" s="110"/>
      <c r="ER107" s="110"/>
      <c r="ES107" s="110"/>
      <c r="ET107" s="110"/>
      <c r="EU107" s="110"/>
      <c r="EV107" s="110"/>
      <c r="EW107" s="110"/>
      <c r="EX107" s="110"/>
      <c r="EY107" s="110"/>
      <c r="EZ107" s="110"/>
      <c r="FA107" s="110"/>
      <c r="FB107" s="110"/>
      <c r="FC107" s="110"/>
      <c r="FD107" s="110"/>
      <c r="FE107" s="110"/>
      <c r="FF107" s="110"/>
      <c r="FG107" s="110"/>
      <c r="FH107" s="110"/>
      <c r="FI107" s="110"/>
      <c r="FJ107" s="110"/>
      <c r="FK107" s="110"/>
      <c r="FL107" s="110"/>
      <c r="FM107" s="110"/>
      <c r="FN107" s="110"/>
      <c r="FO107" s="110"/>
      <c r="FP107" s="110"/>
      <c r="FQ107" s="110"/>
      <c r="FR107" s="110"/>
      <c r="FS107" s="110"/>
      <c r="FT107" s="110"/>
      <c r="FU107" s="110"/>
      <c r="FV107" s="110"/>
      <c r="FW107" s="110"/>
      <c r="FX107" s="110"/>
      <c r="FY107" s="110"/>
      <c r="FZ107" s="110"/>
      <c r="GA107" s="110"/>
      <c r="GB107" s="110"/>
      <c r="GC107" s="110"/>
      <c r="GD107" s="110"/>
      <c r="GE107" s="110"/>
      <c r="GF107" s="110"/>
      <c r="GG107" s="110"/>
      <c r="GH107" s="110"/>
      <c r="GI107" s="110"/>
      <c r="GJ107" s="110"/>
      <c r="GK107" s="110"/>
      <c r="GL107" s="110"/>
      <c r="GM107" s="110"/>
      <c r="GN107" s="110"/>
      <c r="GO107" s="110"/>
      <c r="GP107" s="110"/>
      <c r="GQ107" s="110"/>
      <c r="GR107" s="110"/>
      <c r="GS107" s="110"/>
      <c r="GT107" s="110"/>
      <c r="GU107" s="110"/>
      <c r="GV107" s="110"/>
      <c r="GW107" s="110"/>
      <c r="GX107" s="110"/>
      <c r="GY107" s="110"/>
      <c r="GZ107" s="110"/>
      <c r="HA107" s="110"/>
      <c r="HB107" s="110"/>
      <c r="HC107" s="110"/>
      <c r="HD107" s="110"/>
      <c r="HE107" s="110"/>
      <c r="HF107" s="110"/>
      <c r="HG107" s="110"/>
      <c r="HH107" s="110"/>
      <c r="HI107" s="110"/>
      <c r="HJ107" s="110"/>
      <c r="HK107" s="110"/>
      <c r="HL107" s="110"/>
      <c r="HM107" s="110"/>
      <c r="HN107" s="110"/>
      <c r="HO107" s="110"/>
      <c r="HP107" s="110"/>
      <c r="HQ107" s="110"/>
      <c r="HR107" s="110"/>
      <c r="HS107" s="110"/>
      <c r="HT107" s="110"/>
      <c r="HU107" s="110"/>
      <c r="HV107" s="110"/>
      <c r="HW107" s="110"/>
      <c r="HX107" s="110"/>
      <c r="HY107" s="110"/>
      <c r="HZ107" s="110"/>
      <c r="IA107" s="110"/>
      <c r="IB107" s="110"/>
      <c r="IC107" s="110"/>
      <c r="ID107" s="110"/>
      <c r="IE107" s="110"/>
      <c r="IF107" s="110"/>
      <c r="IG107" s="110"/>
      <c r="IH107" s="110"/>
      <c r="II107" s="110"/>
      <c r="IJ107" s="110"/>
      <c r="IK107" s="110"/>
      <c r="IL107" s="110"/>
      <c r="IM107" s="110"/>
      <c r="IN107" s="110"/>
      <c r="IO107" s="110"/>
      <c r="IP107" s="110"/>
      <c r="IQ107" s="110"/>
      <c r="IR107" s="110"/>
      <c r="IS107" s="110"/>
      <c r="IT107" s="110"/>
      <c r="IU107" s="110"/>
      <c r="IV107" s="110"/>
      <c r="IW107" s="110"/>
    </row>
    <row r="108" spans="1:257" x14ac:dyDescent="0.3">
      <c r="A108" s="156"/>
      <c r="B108" s="156"/>
      <c r="C108" s="156"/>
      <c r="D108" s="156"/>
      <c r="E108" s="156"/>
      <c r="F108" s="156"/>
      <c r="G108" s="156"/>
      <c r="H108" s="156"/>
      <c r="I108" s="156"/>
      <c r="J108" s="156"/>
      <c r="K108" s="156"/>
      <c r="L108" s="156"/>
      <c r="M108" s="156"/>
      <c r="N108" s="156"/>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c r="BY108" s="110"/>
      <c r="BZ108" s="110"/>
      <c r="CA108" s="110"/>
      <c r="CB108" s="110"/>
      <c r="CC108" s="110"/>
      <c r="CD108" s="110"/>
      <c r="CE108" s="110"/>
      <c r="CF108" s="110"/>
      <c r="CG108" s="110"/>
      <c r="CH108" s="110"/>
      <c r="CI108" s="110"/>
      <c r="CJ108" s="110"/>
      <c r="CK108" s="110"/>
      <c r="CL108" s="110"/>
      <c r="CM108" s="110"/>
      <c r="CN108" s="110"/>
      <c r="CO108" s="110"/>
      <c r="CP108" s="110"/>
      <c r="CQ108" s="110"/>
      <c r="CR108" s="110"/>
      <c r="CS108" s="110"/>
      <c r="CT108" s="110"/>
      <c r="CU108" s="110"/>
      <c r="CV108" s="110"/>
      <c r="CW108" s="110"/>
      <c r="CX108" s="110"/>
      <c r="CY108" s="110"/>
      <c r="CZ108" s="110"/>
      <c r="DA108" s="110"/>
      <c r="DB108" s="110"/>
      <c r="DC108" s="110"/>
      <c r="DD108" s="110"/>
      <c r="DE108" s="110"/>
      <c r="DF108" s="110"/>
      <c r="DG108" s="110"/>
      <c r="DH108" s="110"/>
      <c r="DI108" s="110"/>
      <c r="DJ108" s="110"/>
      <c r="DK108" s="110"/>
      <c r="DL108" s="110"/>
      <c r="DM108" s="110"/>
      <c r="DN108" s="110"/>
      <c r="DO108" s="110"/>
      <c r="DP108" s="110"/>
      <c r="DQ108" s="110"/>
      <c r="DR108" s="110"/>
      <c r="DS108" s="110"/>
      <c r="DT108" s="110"/>
      <c r="DU108" s="110"/>
      <c r="DV108" s="110"/>
      <c r="DW108" s="110"/>
      <c r="DX108" s="110"/>
      <c r="DY108" s="110"/>
      <c r="DZ108" s="110"/>
      <c r="EA108" s="110"/>
      <c r="EB108" s="110"/>
      <c r="EC108" s="110"/>
      <c r="ED108" s="110"/>
      <c r="EE108" s="110"/>
      <c r="EF108" s="110"/>
      <c r="EG108" s="110"/>
      <c r="EH108" s="110"/>
      <c r="EI108" s="110"/>
      <c r="EJ108" s="110"/>
      <c r="EK108" s="110"/>
      <c r="EL108" s="110"/>
      <c r="EM108" s="110"/>
      <c r="EN108" s="110"/>
      <c r="EO108" s="110"/>
      <c r="EP108" s="110"/>
      <c r="EQ108" s="110"/>
      <c r="ER108" s="110"/>
      <c r="ES108" s="110"/>
      <c r="ET108" s="110"/>
      <c r="EU108" s="110"/>
      <c r="EV108" s="110"/>
      <c r="EW108" s="110"/>
      <c r="EX108" s="110"/>
      <c r="EY108" s="110"/>
      <c r="EZ108" s="110"/>
      <c r="FA108" s="110"/>
      <c r="FB108" s="110"/>
      <c r="FC108" s="110"/>
      <c r="FD108" s="110"/>
      <c r="FE108" s="110"/>
      <c r="FF108" s="110"/>
      <c r="FG108" s="110"/>
      <c r="FH108" s="110"/>
      <c r="FI108" s="110"/>
      <c r="FJ108" s="110"/>
      <c r="FK108" s="110"/>
      <c r="FL108" s="110"/>
      <c r="FM108" s="110"/>
      <c r="FN108" s="110"/>
      <c r="FO108" s="110"/>
      <c r="FP108" s="110"/>
      <c r="FQ108" s="110"/>
      <c r="FR108" s="110"/>
      <c r="FS108" s="110"/>
      <c r="FT108" s="110"/>
      <c r="FU108" s="110"/>
      <c r="FV108" s="110"/>
      <c r="FW108" s="110"/>
      <c r="FX108" s="110"/>
      <c r="FY108" s="110"/>
      <c r="FZ108" s="110"/>
      <c r="GA108" s="110"/>
      <c r="GB108" s="110"/>
      <c r="GC108" s="110"/>
      <c r="GD108" s="110"/>
      <c r="GE108" s="110"/>
      <c r="GF108" s="110"/>
      <c r="GG108" s="110"/>
      <c r="GH108" s="110"/>
      <c r="GI108" s="110"/>
      <c r="GJ108" s="110"/>
      <c r="GK108" s="110"/>
      <c r="GL108" s="110"/>
      <c r="GM108" s="110"/>
      <c r="GN108" s="110"/>
      <c r="GO108" s="110"/>
      <c r="GP108" s="110"/>
      <c r="GQ108" s="110"/>
      <c r="GR108" s="110"/>
      <c r="GS108" s="110"/>
      <c r="GT108" s="110"/>
      <c r="GU108" s="110"/>
      <c r="GV108" s="110"/>
      <c r="GW108" s="110"/>
      <c r="GX108" s="110"/>
      <c r="GY108" s="110"/>
      <c r="GZ108" s="110"/>
      <c r="HA108" s="110"/>
      <c r="HB108" s="110"/>
      <c r="HC108" s="110"/>
      <c r="HD108" s="110"/>
      <c r="HE108" s="110"/>
      <c r="HF108" s="110"/>
      <c r="HG108" s="110"/>
      <c r="HH108" s="110"/>
      <c r="HI108" s="110"/>
      <c r="HJ108" s="110"/>
      <c r="HK108" s="110"/>
      <c r="HL108" s="110"/>
      <c r="HM108" s="110"/>
      <c r="HN108" s="110"/>
      <c r="HO108" s="110"/>
      <c r="HP108" s="110"/>
      <c r="HQ108" s="110"/>
      <c r="HR108" s="110"/>
      <c r="HS108" s="110"/>
      <c r="HT108" s="110"/>
      <c r="HU108" s="110"/>
      <c r="HV108" s="110"/>
      <c r="HW108" s="110"/>
      <c r="HX108" s="110"/>
      <c r="HY108" s="110"/>
      <c r="HZ108" s="110"/>
      <c r="IA108" s="110"/>
      <c r="IB108" s="110"/>
      <c r="IC108" s="110"/>
      <c r="ID108" s="110"/>
      <c r="IE108" s="110"/>
      <c r="IF108" s="110"/>
      <c r="IG108" s="110"/>
      <c r="IH108" s="110"/>
      <c r="II108" s="110"/>
      <c r="IJ108" s="110"/>
      <c r="IK108" s="110"/>
      <c r="IL108" s="110"/>
      <c r="IM108" s="110"/>
      <c r="IN108" s="110"/>
      <c r="IO108" s="110"/>
      <c r="IP108" s="110"/>
      <c r="IQ108" s="110"/>
      <c r="IR108" s="110"/>
      <c r="IS108" s="110"/>
      <c r="IT108" s="110"/>
      <c r="IU108" s="110"/>
      <c r="IV108" s="110"/>
      <c r="IW108" s="110"/>
    </row>
    <row r="109" spans="1:257" x14ac:dyDescent="0.3">
      <c r="A109" s="156"/>
      <c r="B109" s="156"/>
      <c r="C109" s="156"/>
      <c r="D109" s="156"/>
      <c r="E109" s="156"/>
      <c r="F109" s="156"/>
      <c r="G109" s="156"/>
      <c r="H109" s="156"/>
      <c r="I109" s="156"/>
      <c r="J109" s="156"/>
      <c r="K109" s="156"/>
      <c r="L109" s="156"/>
      <c r="M109" s="156"/>
      <c r="N109" s="156"/>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c r="BY109" s="110"/>
      <c r="BZ109" s="110"/>
      <c r="CA109" s="110"/>
      <c r="CB109" s="110"/>
      <c r="CC109" s="110"/>
      <c r="CD109" s="110"/>
      <c r="CE109" s="110"/>
      <c r="CF109" s="110"/>
      <c r="CG109" s="110"/>
      <c r="CH109" s="110"/>
      <c r="CI109" s="110"/>
      <c r="CJ109" s="110"/>
      <c r="CK109" s="110"/>
      <c r="CL109" s="110"/>
      <c r="CM109" s="110"/>
      <c r="CN109" s="110"/>
      <c r="CO109" s="110"/>
      <c r="CP109" s="110"/>
      <c r="CQ109" s="110"/>
      <c r="CR109" s="110"/>
      <c r="CS109" s="110"/>
      <c r="CT109" s="110"/>
      <c r="CU109" s="110"/>
      <c r="CV109" s="110"/>
      <c r="CW109" s="110"/>
      <c r="CX109" s="110"/>
      <c r="CY109" s="110"/>
      <c r="CZ109" s="110"/>
      <c r="DA109" s="110"/>
      <c r="DB109" s="110"/>
      <c r="DC109" s="110"/>
      <c r="DD109" s="110"/>
      <c r="DE109" s="110"/>
      <c r="DF109" s="110"/>
      <c r="DG109" s="110"/>
      <c r="DH109" s="110"/>
      <c r="DI109" s="110"/>
      <c r="DJ109" s="110"/>
      <c r="DK109" s="110"/>
      <c r="DL109" s="110"/>
      <c r="DM109" s="110"/>
      <c r="DN109" s="110"/>
      <c r="DO109" s="110"/>
      <c r="DP109" s="110"/>
      <c r="DQ109" s="110"/>
      <c r="DR109" s="110"/>
      <c r="DS109" s="110"/>
      <c r="DT109" s="110"/>
      <c r="DU109" s="110"/>
      <c r="DV109" s="110"/>
      <c r="DW109" s="110"/>
      <c r="DX109" s="110"/>
      <c r="DY109" s="110"/>
      <c r="DZ109" s="110"/>
      <c r="EA109" s="110"/>
      <c r="EB109" s="110"/>
      <c r="EC109" s="110"/>
      <c r="ED109" s="110"/>
      <c r="EE109" s="110"/>
      <c r="EF109" s="110"/>
      <c r="EG109" s="110"/>
      <c r="EH109" s="110"/>
      <c r="EI109" s="110"/>
      <c r="EJ109" s="110"/>
      <c r="EK109" s="110"/>
      <c r="EL109" s="110"/>
      <c r="EM109" s="110"/>
      <c r="EN109" s="110"/>
      <c r="EO109" s="110"/>
      <c r="EP109" s="110"/>
      <c r="EQ109" s="110"/>
      <c r="ER109" s="110"/>
      <c r="ES109" s="110"/>
      <c r="ET109" s="110"/>
      <c r="EU109" s="110"/>
      <c r="EV109" s="110"/>
      <c r="EW109" s="110"/>
      <c r="EX109" s="110"/>
      <c r="EY109" s="110"/>
      <c r="EZ109" s="110"/>
      <c r="FA109" s="110"/>
      <c r="FB109" s="110"/>
      <c r="FC109" s="110"/>
      <c r="FD109" s="110"/>
      <c r="FE109" s="110"/>
      <c r="FF109" s="110"/>
      <c r="FG109" s="110"/>
      <c r="FH109" s="110"/>
      <c r="FI109" s="110"/>
      <c r="FJ109" s="110"/>
      <c r="FK109" s="110"/>
      <c r="FL109" s="110"/>
      <c r="FM109" s="110"/>
      <c r="FN109" s="110"/>
      <c r="FO109" s="110"/>
      <c r="FP109" s="110"/>
      <c r="FQ109" s="110"/>
      <c r="FR109" s="110"/>
      <c r="FS109" s="110"/>
      <c r="FT109" s="110"/>
      <c r="FU109" s="110"/>
      <c r="FV109" s="110"/>
      <c r="FW109" s="110"/>
      <c r="FX109" s="110"/>
      <c r="FY109" s="110"/>
      <c r="FZ109" s="110"/>
      <c r="GA109" s="110"/>
      <c r="GB109" s="110"/>
      <c r="GC109" s="110"/>
      <c r="GD109" s="110"/>
      <c r="GE109" s="110"/>
      <c r="GF109" s="110"/>
      <c r="GG109" s="110"/>
      <c r="GH109" s="110"/>
      <c r="GI109" s="110"/>
      <c r="GJ109" s="110"/>
      <c r="GK109" s="110"/>
      <c r="GL109" s="110"/>
      <c r="GM109" s="110"/>
      <c r="GN109" s="110"/>
      <c r="GO109" s="110"/>
      <c r="GP109" s="110"/>
      <c r="GQ109" s="110"/>
      <c r="GR109" s="110"/>
      <c r="GS109" s="110"/>
      <c r="GT109" s="110"/>
      <c r="GU109" s="110"/>
      <c r="GV109" s="110"/>
      <c r="GW109" s="110"/>
      <c r="GX109" s="110"/>
      <c r="GY109" s="110"/>
      <c r="GZ109" s="110"/>
      <c r="HA109" s="110"/>
      <c r="HB109" s="110"/>
      <c r="HC109" s="110"/>
      <c r="HD109" s="110"/>
      <c r="HE109" s="110"/>
      <c r="HF109" s="110"/>
      <c r="HG109" s="110"/>
      <c r="HH109" s="110"/>
      <c r="HI109" s="110"/>
      <c r="HJ109" s="110"/>
      <c r="HK109" s="110"/>
      <c r="HL109" s="110"/>
      <c r="HM109" s="110"/>
      <c r="HN109" s="110"/>
      <c r="HO109" s="110"/>
      <c r="HP109" s="110"/>
      <c r="HQ109" s="110"/>
      <c r="HR109" s="110"/>
      <c r="HS109" s="110"/>
      <c r="HT109" s="110"/>
      <c r="HU109" s="110"/>
      <c r="HV109" s="110"/>
      <c r="HW109" s="110"/>
      <c r="HX109" s="110"/>
      <c r="HY109" s="110"/>
      <c r="HZ109" s="110"/>
      <c r="IA109" s="110"/>
      <c r="IB109" s="110"/>
      <c r="IC109" s="110"/>
      <c r="ID109" s="110"/>
      <c r="IE109" s="110"/>
      <c r="IF109" s="110"/>
      <c r="IG109" s="110"/>
      <c r="IH109" s="110"/>
      <c r="II109" s="110"/>
      <c r="IJ109" s="110"/>
      <c r="IK109" s="110"/>
      <c r="IL109" s="110"/>
      <c r="IM109" s="110"/>
      <c r="IN109" s="110"/>
      <c r="IO109" s="110"/>
      <c r="IP109" s="110"/>
      <c r="IQ109" s="110"/>
      <c r="IR109" s="110"/>
      <c r="IS109" s="110"/>
      <c r="IT109" s="110"/>
      <c r="IU109" s="110"/>
      <c r="IV109" s="110"/>
      <c r="IW109" s="110"/>
    </row>
    <row r="110" spans="1:257" x14ac:dyDescent="0.3">
      <c r="A110" s="156"/>
      <c r="B110" s="156"/>
      <c r="C110" s="156"/>
      <c r="D110" s="156"/>
      <c r="E110" s="156"/>
      <c r="F110" s="156"/>
      <c r="G110" s="156"/>
      <c r="H110" s="156"/>
      <c r="I110" s="156"/>
      <c r="J110" s="156"/>
      <c r="K110" s="156"/>
      <c r="L110" s="156"/>
      <c r="M110" s="156"/>
      <c r="N110" s="156"/>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c r="BY110" s="110"/>
      <c r="BZ110" s="110"/>
      <c r="CA110" s="110"/>
      <c r="CB110" s="110"/>
      <c r="CC110" s="110"/>
      <c r="CD110" s="110"/>
      <c r="CE110" s="110"/>
      <c r="CF110" s="110"/>
      <c r="CG110" s="110"/>
      <c r="CH110" s="110"/>
      <c r="CI110" s="110"/>
      <c r="CJ110" s="110"/>
      <c r="CK110" s="110"/>
      <c r="CL110" s="110"/>
      <c r="CM110" s="110"/>
      <c r="CN110" s="110"/>
      <c r="CO110" s="110"/>
      <c r="CP110" s="110"/>
      <c r="CQ110" s="110"/>
      <c r="CR110" s="110"/>
      <c r="CS110" s="110"/>
      <c r="CT110" s="110"/>
      <c r="CU110" s="110"/>
      <c r="CV110" s="110"/>
      <c r="CW110" s="110"/>
      <c r="CX110" s="110"/>
      <c r="CY110" s="110"/>
      <c r="CZ110" s="110"/>
      <c r="DA110" s="110"/>
      <c r="DB110" s="110"/>
      <c r="DC110" s="110"/>
      <c r="DD110" s="110"/>
      <c r="DE110" s="110"/>
      <c r="DF110" s="110"/>
      <c r="DG110" s="110"/>
      <c r="DH110" s="110"/>
      <c r="DI110" s="110"/>
      <c r="DJ110" s="110"/>
      <c r="DK110" s="110"/>
      <c r="DL110" s="110"/>
      <c r="DM110" s="110"/>
      <c r="DN110" s="110"/>
      <c r="DO110" s="110"/>
      <c r="DP110" s="110"/>
      <c r="DQ110" s="110"/>
      <c r="DR110" s="110"/>
      <c r="DS110" s="110"/>
      <c r="DT110" s="110"/>
      <c r="DU110" s="110"/>
      <c r="DV110" s="110"/>
      <c r="DW110" s="110"/>
      <c r="DX110" s="110"/>
      <c r="DY110" s="110"/>
      <c r="DZ110" s="110"/>
      <c r="EA110" s="110"/>
      <c r="EB110" s="110"/>
      <c r="EC110" s="110"/>
      <c r="ED110" s="110"/>
      <c r="EE110" s="110"/>
      <c r="EF110" s="110"/>
      <c r="EG110" s="110"/>
      <c r="EH110" s="110"/>
      <c r="EI110" s="110"/>
      <c r="EJ110" s="110"/>
      <c r="EK110" s="110"/>
      <c r="EL110" s="110"/>
      <c r="EM110" s="110"/>
      <c r="EN110" s="110"/>
      <c r="EO110" s="110"/>
      <c r="EP110" s="110"/>
      <c r="EQ110" s="110"/>
      <c r="ER110" s="110"/>
      <c r="ES110" s="110"/>
      <c r="ET110" s="110"/>
      <c r="EU110" s="110"/>
      <c r="EV110" s="110"/>
      <c r="EW110" s="110"/>
      <c r="EX110" s="110"/>
      <c r="EY110" s="110"/>
      <c r="EZ110" s="110"/>
      <c r="FA110" s="110"/>
      <c r="FB110" s="110"/>
      <c r="FC110" s="110"/>
      <c r="FD110" s="110"/>
      <c r="FE110" s="110"/>
      <c r="FF110" s="110"/>
      <c r="FG110" s="110"/>
      <c r="FH110" s="110"/>
      <c r="FI110" s="110"/>
      <c r="FJ110" s="110"/>
      <c r="FK110" s="110"/>
      <c r="FL110" s="110"/>
      <c r="FM110" s="110"/>
      <c r="FN110" s="110"/>
      <c r="FO110" s="110"/>
      <c r="FP110" s="110"/>
      <c r="FQ110" s="110"/>
      <c r="FR110" s="110"/>
      <c r="FS110" s="110"/>
      <c r="FT110" s="110"/>
      <c r="FU110" s="110"/>
      <c r="FV110" s="110"/>
      <c r="FW110" s="110"/>
      <c r="FX110" s="110"/>
      <c r="FY110" s="110"/>
      <c r="FZ110" s="110"/>
      <c r="GA110" s="110"/>
      <c r="GB110" s="110"/>
      <c r="GC110" s="110"/>
      <c r="GD110" s="110"/>
      <c r="GE110" s="110"/>
      <c r="GF110" s="110"/>
      <c r="GG110" s="110"/>
      <c r="GH110" s="110"/>
      <c r="GI110" s="110"/>
      <c r="GJ110" s="110"/>
      <c r="GK110" s="110"/>
      <c r="GL110" s="110"/>
      <c r="GM110" s="110"/>
      <c r="GN110" s="110"/>
      <c r="GO110" s="110"/>
      <c r="GP110" s="110"/>
      <c r="GQ110" s="110"/>
      <c r="GR110" s="110"/>
      <c r="GS110" s="110"/>
      <c r="GT110" s="110"/>
      <c r="GU110" s="110"/>
      <c r="GV110" s="110"/>
      <c r="GW110" s="110"/>
      <c r="GX110" s="110"/>
      <c r="GY110" s="110"/>
      <c r="GZ110" s="110"/>
      <c r="HA110" s="110"/>
      <c r="HB110" s="110"/>
      <c r="HC110" s="110"/>
      <c r="HD110" s="110"/>
      <c r="HE110" s="110"/>
      <c r="HF110" s="110"/>
      <c r="HG110" s="110"/>
      <c r="HH110" s="110"/>
      <c r="HI110" s="110"/>
      <c r="HJ110" s="110"/>
      <c r="HK110" s="110"/>
      <c r="HL110" s="110"/>
      <c r="HM110" s="110"/>
      <c r="HN110" s="110"/>
      <c r="HO110" s="110"/>
      <c r="HP110" s="110"/>
      <c r="HQ110" s="110"/>
      <c r="HR110" s="110"/>
      <c r="HS110" s="110"/>
      <c r="HT110" s="110"/>
      <c r="HU110" s="110"/>
      <c r="HV110" s="110"/>
      <c r="HW110" s="110"/>
      <c r="HX110" s="110"/>
      <c r="HY110" s="110"/>
      <c r="HZ110" s="110"/>
      <c r="IA110" s="110"/>
      <c r="IB110" s="110"/>
      <c r="IC110" s="110"/>
      <c r="ID110" s="110"/>
      <c r="IE110" s="110"/>
      <c r="IF110" s="110"/>
      <c r="IG110" s="110"/>
      <c r="IH110" s="110"/>
      <c r="II110" s="110"/>
      <c r="IJ110" s="110"/>
      <c r="IK110" s="110"/>
      <c r="IL110" s="110"/>
      <c r="IM110" s="110"/>
      <c r="IN110" s="110"/>
      <c r="IO110" s="110"/>
      <c r="IP110" s="110"/>
      <c r="IQ110" s="110"/>
      <c r="IR110" s="110"/>
      <c r="IS110" s="110"/>
      <c r="IT110" s="110"/>
      <c r="IU110" s="110"/>
      <c r="IV110" s="110"/>
      <c r="IW110" s="110"/>
    </row>
    <row r="111" spans="1:257" x14ac:dyDescent="0.3">
      <c r="A111" s="156"/>
      <c r="B111" s="156"/>
      <c r="C111" s="156"/>
      <c r="D111" s="156"/>
      <c r="E111" s="156"/>
      <c r="F111" s="156"/>
      <c r="G111" s="156"/>
      <c r="H111" s="156"/>
      <c r="I111" s="156"/>
      <c r="J111" s="156"/>
      <c r="K111" s="156"/>
      <c r="L111" s="156"/>
      <c r="M111" s="156"/>
      <c r="N111" s="156"/>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c r="BY111" s="110"/>
      <c r="BZ111" s="110"/>
      <c r="CA111" s="110"/>
      <c r="CB111" s="110"/>
      <c r="CC111" s="110"/>
      <c r="CD111" s="110"/>
      <c r="CE111" s="110"/>
      <c r="CF111" s="110"/>
      <c r="CG111" s="110"/>
      <c r="CH111" s="110"/>
      <c r="CI111" s="110"/>
      <c r="CJ111" s="110"/>
      <c r="CK111" s="110"/>
      <c r="CL111" s="110"/>
      <c r="CM111" s="110"/>
      <c r="CN111" s="110"/>
      <c r="CO111" s="110"/>
      <c r="CP111" s="110"/>
      <c r="CQ111" s="110"/>
      <c r="CR111" s="110"/>
      <c r="CS111" s="110"/>
      <c r="CT111" s="110"/>
      <c r="CU111" s="110"/>
      <c r="CV111" s="110"/>
      <c r="CW111" s="110"/>
      <c r="CX111" s="110"/>
      <c r="CY111" s="110"/>
      <c r="CZ111" s="110"/>
      <c r="DA111" s="110"/>
      <c r="DB111" s="110"/>
      <c r="DC111" s="110"/>
      <c r="DD111" s="110"/>
      <c r="DE111" s="110"/>
      <c r="DF111" s="110"/>
      <c r="DG111" s="110"/>
      <c r="DH111" s="110"/>
      <c r="DI111" s="110"/>
      <c r="DJ111" s="110"/>
      <c r="DK111" s="110"/>
      <c r="DL111" s="110"/>
      <c r="DM111" s="110"/>
      <c r="DN111" s="110"/>
      <c r="DO111" s="110"/>
      <c r="DP111" s="110"/>
      <c r="DQ111" s="110"/>
      <c r="DR111" s="110"/>
      <c r="DS111" s="110"/>
      <c r="DT111" s="110"/>
      <c r="DU111" s="110"/>
      <c r="DV111" s="110"/>
      <c r="DW111" s="110"/>
      <c r="DX111" s="110"/>
      <c r="DY111" s="110"/>
      <c r="DZ111" s="110"/>
      <c r="EA111" s="110"/>
      <c r="EB111" s="110"/>
      <c r="EC111" s="110"/>
      <c r="ED111" s="110"/>
      <c r="EE111" s="110"/>
      <c r="EF111" s="110"/>
      <c r="EG111" s="110"/>
      <c r="EH111" s="110"/>
      <c r="EI111" s="110"/>
      <c r="EJ111" s="110"/>
      <c r="EK111" s="110"/>
      <c r="EL111" s="110"/>
      <c r="EM111" s="110"/>
      <c r="EN111" s="110"/>
      <c r="EO111" s="110"/>
      <c r="EP111" s="110"/>
      <c r="EQ111" s="110"/>
      <c r="ER111" s="110"/>
      <c r="ES111" s="110"/>
      <c r="ET111" s="110"/>
      <c r="EU111" s="110"/>
      <c r="EV111" s="110"/>
      <c r="EW111" s="110"/>
      <c r="EX111" s="110"/>
      <c r="EY111" s="110"/>
      <c r="EZ111" s="110"/>
      <c r="FA111" s="110"/>
      <c r="FB111" s="110"/>
      <c r="FC111" s="110"/>
      <c r="FD111" s="110"/>
      <c r="FE111" s="110"/>
      <c r="FF111" s="110"/>
      <c r="FG111" s="110"/>
      <c r="FH111" s="110"/>
      <c r="FI111" s="110"/>
      <c r="FJ111" s="110"/>
      <c r="FK111" s="110"/>
      <c r="FL111" s="110"/>
      <c r="FM111" s="110"/>
      <c r="FN111" s="110"/>
      <c r="FO111" s="110"/>
      <c r="FP111" s="110"/>
      <c r="FQ111" s="110"/>
      <c r="FR111" s="110"/>
      <c r="FS111" s="110"/>
      <c r="FT111" s="110"/>
      <c r="FU111" s="110"/>
      <c r="FV111" s="110"/>
      <c r="FW111" s="110"/>
      <c r="FX111" s="110"/>
      <c r="FY111" s="110"/>
      <c r="FZ111" s="110"/>
      <c r="GA111" s="110"/>
      <c r="GB111" s="110"/>
      <c r="GC111" s="110"/>
      <c r="GD111" s="110"/>
      <c r="GE111" s="110"/>
      <c r="GF111" s="110"/>
      <c r="GG111" s="110"/>
      <c r="GH111" s="110"/>
      <c r="GI111" s="110"/>
      <c r="GJ111" s="110"/>
      <c r="GK111" s="110"/>
      <c r="GL111" s="110"/>
      <c r="GM111" s="110"/>
      <c r="GN111" s="110"/>
      <c r="GO111" s="110"/>
      <c r="GP111" s="110"/>
      <c r="GQ111" s="110"/>
      <c r="GR111" s="110"/>
      <c r="GS111" s="110"/>
      <c r="GT111" s="110"/>
      <c r="GU111" s="110"/>
      <c r="GV111" s="110"/>
      <c r="GW111" s="110"/>
      <c r="GX111" s="110"/>
      <c r="GY111" s="110"/>
      <c r="GZ111" s="110"/>
      <c r="HA111" s="110"/>
      <c r="HB111" s="110"/>
      <c r="HC111" s="110"/>
      <c r="HD111" s="110"/>
      <c r="HE111" s="110"/>
      <c r="HF111" s="110"/>
      <c r="HG111" s="110"/>
      <c r="HH111" s="110"/>
      <c r="HI111" s="110"/>
      <c r="HJ111" s="110"/>
      <c r="HK111" s="110"/>
      <c r="HL111" s="110"/>
      <c r="HM111" s="110"/>
      <c r="HN111" s="110"/>
      <c r="HO111" s="110"/>
      <c r="HP111" s="110"/>
      <c r="HQ111" s="110"/>
      <c r="HR111" s="110"/>
      <c r="HS111" s="110"/>
      <c r="HT111" s="110"/>
      <c r="HU111" s="110"/>
      <c r="HV111" s="110"/>
      <c r="HW111" s="110"/>
      <c r="HX111" s="110"/>
      <c r="HY111" s="110"/>
      <c r="HZ111" s="110"/>
      <c r="IA111" s="110"/>
      <c r="IB111" s="110"/>
      <c r="IC111" s="110"/>
      <c r="ID111" s="110"/>
      <c r="IE111" s="110"/>
      <c r="IF111" s="110"/>
      <c r="IG111" s="110"/>
      <c r="IH111" s="110"/>
      <c r="II111" s="110"/>
      <c r="IJ111" s="110"/>
      <c r="IK111" s="110"/>
      <c r="IL111" s="110"/>
      <c r="IM111" s="110"/>
      <c r="IN111" s="110"/>
      <c r="IO111" s="110"/>
      <c r="IP111" s="110"/>
      <c r="IQ111" s="110"/>
      <c r="IR111" s="110"/>
      <c r="IS111" s="110"/>
      <c r="IT111" s="110"/>
      <c r="IU111" s="110"/>
      <c r="IV111" s="110"/>
      <c r="IW111" s="110"/>
    </row>
    <row r="112" spans="1:257" x14ac:dyDescent="0.3">
      <c r="A112" s="156"/>
      <c r="B112" s="156"/>
      <c r="C112" s="156"/>
      <c r="D112" s="156"/>
      <c r="E112" s="156"/>
      <c r="F112" s="156"/>
      <c r="G112" s="156"/>
      <c r="H112" s="156"/>
      <c r="I112" s="156"/>
      <c r="J112" s="156"/>
      <c r="K112" s="156"/>
      <c r="L112" s="156"/>
      <c r="M112" s="156"/>
      <c r="N112" s="156"/>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c r="BY112" s="110"/>
      <c r="BZ112" s="110"/>
      <c r="CA112" s="110"/>
      <c r="CB112" s="110"/>
      <c r="CC112" s="110"/>
      <c r="CD112" s="110"/>
      <c r="CE112" s="110"/>
      <c r="CF112" s="110"/>
      <c r="CG112" s="110"/>
      <c r="CH112" s="110"/>
      <c r="CI112" s="110"/>
      <c r="CJ112" s="110"/>
      <c r="CK112" s="110"/>
      <c r="CL112" s="110"/>
      <c r="CM112" s="110"/>
      <c r="CN112" s="110"/>
      <c r="CO112" s="110"/>
      <c r="CP112" s="110"/>
      <c r="CQ112" s="110"/>
      <c r="CR112" s="110"/>
      <c r="CS112" s="110"/>
      <c r="CT112" s="110"/>
      <c r="CU112" s="110"/>
      <c r="CV112" s="110"/>
      <c r="CW112" s="110"/>
      <c r="CX112" s="110"/>
      <c r="CY112" s="110"/>
      <c r="CZ112" s="110"/>
      <c r="DA112" s="110"/>
      <c r="DB112" s="110"/>
      <c r="DC112" s="110"/>
      <c r="DD112" s="110"/>
      <c r="DE112" s="110"/>
      <c r="DF112" s="110"/>
      <c r="DG112" s="110"/>
      <c r="DH112" s="110"/>
      <c r="DI112" s="110"/>
      <c r="DJ112" s="110"/>
      <c r="DK112" s="110"/>
      <c r="DL112" s="110"/>
      <c r="DM112" s="110"/>
      <c r="DN112" s="110"/>
      <c r="DO112" s="110"/>
      <c r="DP112" s="110"/>
      <c r="DQ112" s="110"/>
      <c r="DR112" s="110"/>
      <c r="DS112" s="110"/>
      <c r="DT112" s="110"/>
      <c r="DU112" s="110"/>
      <c r="DV112" s="110"/>
      <c r="DW112" s="110"/>
      <c r="DX112" s="110"/>
      <c r="DY112" s="110"/>
      <c r="DZ112" s="110"/>
      <c r="EA112" s="110"/>
      <c r="EB112" s="110"/>
      <c r="EC112" s="110"/>
      <c r="ED112" s="110"/>
      <c r="EE112" s="110"/>
      <c r="EF112" s="110"/>
      <c r="EG112" s="110"/>
      <c r="EH112" s="110"/>
      <c r="EI112" s="110"/>
      <c r="EJ112" s="110"/>
      <c r="EK112" s="110"/>
      <c r="EL112" s="110"/>
      <c r="EM112" s="110"/>
      <c r="EN112" s="110"/>
      <c r="EO112" s="110"/>
      <c r="EP112" s="110"/>
      <c r="EQ112" s="110"/>
      <c r="ER112" s="110"/>
      <c r="ES112" s="110"/>
      <c r="ET112" s="110"/>
      <c r="EU112" s="110"/>
      <c r="EV112" s="110"/>
      <c r="EW112" s="110"/>
      <c r="EX112" s="110"/>
      <c r="EY112" s="110"/>
      <c r="EZ112" s="110"/>
      <c r="FA112" s="110"/>
      <c r="FB112" s="110"/>
      <c r="FC112" s="110"/>
      <c r="FD112" s="110"/>
      <c r="FE112" s="110"/>
      <c r="FF112" s="110"/>
      <c r="FG112" s="110"/>
      <c r="FH112" s="110"/>
      <c r="FI112" s="110"/>
      <c r="FJ112" s="110"/>
      <c r="FK112" s="110"/>
      <c r="FL112" s="110"/>
      <c r="FM112" s="110"/>
      <c r="FN112" s="110"/>
      <c r="FO112" s="110"/>
      <c r="FP112" s="110"/>
      <c r="FQ112" s="110"/>
      <c r="FR112" s="110"/>
      <c r="FS112" s="110"/>
      <c r="FT112" s="110"/>
      <c r="FU112" s="110"/>
      <c r="FV112" s="110"/>
      <c r="FW112" s="110"/>
      <c r="FX112" s="110"/>
      <c r="FY112" s="110"/>
      <c r="FZ112" s="110"/>
      <c r="GA112" s="110"/>
      <c r="GB112" s="110"/>
      <c r="GC112" s="110"/>
      <c r="GD112" s="110"/>
      <c r="GE112" s="110"/>
      <c r="GF112" s="110"/>
      <c r="GG112" s="110"/>
      <c r="GH112" s="110"/>
      <c r="GI112" s="110"/>
      <c r="GJ112" s="110"/>
      <c r="GK112" s="110"/>
      <c r="GL112" s="110"/>
      <c r="GM112" s="110"/>
      <c r="GN112" s="110"/>
      <c r="GO112" s="110"/>
      <c r="GP112" s="110"/>
      <c r="GQ112" s="110"/>
      <c r="GR112" s="110"/>
      <c r="GS112" s="110"/>
      <c r="GT112" s="110"/>
      <c r="GU112" s="110"/>
      <c r="GV112" s="110"/>
      <c r="GW112" s="110"/>
      <c r="GX112" s="110"/>
      <c r="GY112" s="110"/>
      <c r="GZ112" s="110"/>
      <c r="HA112" s="110"/>
      <c r="HB112" s="110"/>
      <c r="HC112" s="110"/>
      <c r="HD112" s="110"/>
      <c r="HE112" s="110"/>
      <c r="HF112" s="110"/>
      <c r="HG112" s="110"/>
      <c r="HH112" s="110"/>
      <c r="HI112" s="110"/>
      <c r="HJ112" s="110"/>
      <c r="HK112" s="110"/>
      <c r="HL112" s="110"/>
      <c r="HM112" s="110"/>
      <c r="HN112" s="110"/>
      <c r="HO112" s="110"/>
      <c r="HP112" s="110"/>
      <c r="HQ112" s="110"/>
      <c r="HR112" s="110"/>
      <c r="HS112" s="110"/>
      <c r="HT112" s="110"/>
      <c r="HU112" s="110"/>
      <c r="HV112" s="110"/>
      <c r="HW112" s="110"/>
      <c r="HX112" s="110"/>
      <c r="HY112" s="110"/>
      <c r="HZ112" s="110"/>
      <c r="IA112" s="110"/>
      <c r="IB112" s="110"/>
      <c r="IC112" s="110"/>
      <c r="ID112" s="110"/>
      <c r="IE112" s="110"/>
      <c r="IF112" s="110"/>
      <c r="IG112" s="110"/>
      <c r="IH112" s="110"/>
      <c r="II112" s="110"/>
      <c r="IJ112" s="110"/>
      <c r="IK112" s="110"/>
      <c r="IL112" s="110"/>
      <c r="IM112" s="110"/>
      <c r="IN112" s="110"/>
      <c r="IO112" s="110"/>
      <c r="IP112" s="110"/>
      <c r="IQ112" s="110"/>
      <c r="IR112" s="110"/>
      <c r="IS112" s="110"/>
      <c r="IT112" s="110"/>
      <c r="IU112" s="110"/>
      <c r="IV112" s="110"/>
      <c r="IW112" s="110"/>
    </row>
    <row r="113" spans="1:257" x14ac:dyDescent="0.3">
      <c r="A113" s="156"/>
      <c r="B113" s="156"/>
      <c r="C113" s="156"/>
      <c r="D113" s="156"/>
      <c r="E113" s="156"/>
      <c r="F113" s="156"/>
      <c r="G113" s="156"/>
      <c r="H113" s="156"/>
      <c r="I113" s="156"/>
      <c r="J113" s="156"/>
      <c r="K113" s="156"/>
      <c r="L113" s="156"/>
      <c r="M113" s="156"/>
      <c r="N113" s="156"/>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c r="BY113" s="110"/>
      <c r="BZ113" s="110"/>
      <c r="CA113" s="110"/>
      <c r="CB113" s="110"/>
      <c r="CC113" s="110"/>
      <c r="CD113" s="110"/>
      <c r="CE113" s="110"/>
      <c r="CF113" s="110"/>
      <c r="CG113" s="110"/>
      <c r="CH113" s="110"/>
      <c r="CI113" s="110"/>
      <c r="CJ113" s="110"/>
      <c r="CK113" s="110"/>
      <c r="CL113" s="110"/>
      <c r="CM113" s="110"/>
      <c r="CN113" s="110"/>
      <c r="CO113" s="110"/>
      <c r="CP113" s="110"/>
      <c r="CQ113" s="110"/>
      <c r="CR113" s="110"/>
      <c r="CS113" s="110"/>
      <c r="CT113" s="110"/>
      <c r="CU113" s="110"/>
      <c r="CV113" s="110"/>
      <c r="CW113" s="110"/>
      <c r="CX113" s="110"/>
      <c r="CY113" s="110"/>
      <c r="CZ113" s="110"/>
      <c r="DA113" s="110"/>
      <c r="DB113" s="110"/>
      <c r="DC113" s="110"/>
      <c r="DD113" s="110"/>
      <c r="DE113" s="110"/>
      <c r="DF113" s="110"/>
      <c r="DG113" s="110"/>
      <c r="DH113" s="110"/>
      <c r="DI113" s="110"/>
      <c r="DJ113" s="110"/>
      <c r="DK113" s="110"/>
      <c r="DL113" s="110"/>
      <c r="DM113" s="110"/>
      <c r="DN113" s="110"/>
      <c r="DO113" s="110"/>
      <c r="DP113" s="110"/>
      <c r="DQ113" s="110"/>
      <c r="DR113" s="110"/>
      <c r="DS113" s="110"/>
      <c r="DT113" s="110"/>
      <c r="DU113" s="110"/>
      <c r="DV113" s="110"/>
      <c r="DW113" s="110"/>
      <c r="DX113" s="110"/>
      <c r="DY113" s="110"/>
      <c r="DZ113" s="110"/>
      <c r="EA113" s="110"/>
      <c r="EB113" s="110"/>
      <c r="EC113" s="110"/>
      <c r="ED113" s="110"/>
      <c r="EE113" s="110"/>
      <c r="EF113" s="110"/>
      <c r="EG113" s="110"/>
      <c r="EH113" s="110"/>
      <c r="EI113" s="110"/>
      <c r="EJ113" s="110"/>
      <c r="EK113" s="110"/>
      <c r="EL113" s="110"/>
      <c r="EM113" s="110"/>
      <c r="EN113" s="110"/>
      <c r="EO113" s="110"/>
      <c r="EP113" s="110"/>
      <c r="EQ113" s="110"/>
      <c r="ER113" s="110"/>
      <c r="ES113" s="110"/>
      <c r="ET113" s="110"/>
      <c r="EU113" s="110"/>
      <c r="EV113" s="110"/>
      <c r="EW113" s="110"/>
      <c r="EX113" s="110"/>
      <c r="EY113" s="110"/>
      <c r="EZ113" s="110"/>
      <c r="FA113" s="110"/>
      <c r="FB113" s="110"/>
      <c r="FC113" s="110"/>
      <c r="FD113" s="110"/>
      <c r="FE113" s="110"/>
      <c r="FF113" s="110"/>
      <c r="FG113" s="110"/>
      <c r="FH113" s="110"/>
      <c r="FI113" s="110"/>
      <c r="FJ113" s="110"/>
      <c r="FK113" s="110"/>
      <c r="FL113" s="110"/>
      <c r="FM113" s="110"/>
      <c r="FN113" s="110"/>
      <c r="FO113" s="110"/>
      <c r="FP113" s="110"/>
      <c r="FQ113" s="110"/>
      <c r="FR113" s="110"/>
      <c r="FS113" s="110"/>
      <c r="FT113" s="110"/>
      <c r="FU113" s="110"/>
      <c r="FV113" s="110"/>
      <c r="FW113" s="110"/>
      <c r="FX113" s="110"/>
      <c r="FY113" s="110"/>
      <c r="FZ113" s="110"/>
      <c r="GA113" s="110"/>
      <c r="GB113" s="110"/>
      <c r="GC113" s="110"/>
      <c r="GD113" s="110"/>
      <c r="GE113" s="110"/>
      <c r="GF113" s="110"/>
      <c r="GG113" s="110"/>
      <c r="GH113" s="110"/>
      <c r="GI113" s="110"/>
      <c r="GJ113" s="110"/>
      <c r="GK113" s="110"/>
      <c r="GL113" s="110"/>
      <c r="GM113" s="110"/>
      <c r="GN113" s="110"/>
      <c r="GO113" s="110"/>
      <c r="GP113" s="110"/>
      <c r="GQ113" s="110"/>
      <c r="GR113" s="110"/>
      <c r="GS113" s="110"/>
      <c r="GT113" s="110"/>
      <c r="GU113" s="110"/>
      <c r="GV113" s="110"/>
      <c r="GW113" s="110"/>
      <c r="GX113" s="110"/>
      <c r="GY113" s="110"/>
      <c r="GZ113" s="110"/>
      <c r="HA113" s="110"/>
      <c r="HB113" s="110"/>
      <c r="HC113" s="110"/>
      <c r="HD113" s="110"/>
      <c r="HE113" s="110"/>
      <c r="HF113" s="110"/>
      <c r="HG113" s="110"/>
      <c r="HH113" s="110"/>
      <c r="HI113" s="110"/>
      <c r="HJ113" s="110"/>
      <c r="HK113" s="110"/>
      <c r="HL113" s="110"/>
      <c r="HM113" s="110"/>
      <c r="HN113" s="110"/>
      <c r="HO113" s="110"/>
      <c r="HP113" s="110"/>
      <c r="HQ113" s="110"/>
      <c r="HR113" s="110"/>
      <c r="HS113" s="110"/>
      <c r="HT113" s="110"/>
      <c r="HU113" s="110"/>
      <c r="HV113" s="110"/>
      <c r="HW113" s="110"/>
      <c r="HX113" s="110"/>
      <c r="HY113" s="110"/>
      <c r="HZ113" s="110"/>
      <c r="IA113" s="110"/>
      <c r="IB113" s="110"/>
      <c r="IC113" s="110"/>
      <c r="ID113" s="110"/>
      <c r="IE113" s="110"/>
      <c r="IF113" s="110"/>
      <c r="IG113" s="110"/>
      <c r="IH113" s="110"/>
      <c r="II113" s="110"/>
      <c r="IJ113" s="110"/>
      <c r="IK113" s="110"/>
      <c r="IL113" s="110"/>
      <c r="IM113" s="110"/>
      <c r="IN113" s="110"/>
      <c r="IO113" s="110"/>
      <c r="IP113" s="110"/>
      <c r="IQ113" s="110"/>
      <c r="IR113" s="110"/>
      <c r="IS113" s="110"/>
      <c r="IT113" s="110"/>
      <c r="IU113" s="110"/>
      <c r="IV113" s="110"/>
      <c r="IW113" s="110"/>
    </row>
    <row r="114" spans="1:257" x14ac:dyDescent="0.3">
      <c r="A114" s="156"/>
      <c r="B114" s="156"/>
      <c r="C114" s="156"/>
      <c r="D114" s="156"/>
      <c r="E114" s="156"/>
      <c r="F114" s="156"/>
      <c r="G114" s="156"/>
      <c r="H114" s="156"/>
      <c r="I114" s="156"/>
      <c r="J114" s="156"/>
      <c r="K114" s="156"/>
      <c r="L114" s="156"/>
      <c r="M114" s="156"/>
      <c r="N114" s="156"/>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c r="BY114" s="110"/>
      <c r="BZ114" s="110"/>
      <c r="CA114" s="110"/>
      <c r="CB114" s="110"/>
      <c r="CC114" s="110"/>
      <c r="CD114" s="110"/>
      <c r="CE114" s="110"/>
      <c r="CF114" s="110"/>
      <c r="CG114" s="110"/>
      <c r="CH114" s="110"/>
      <c r="CI114" s="110"/>
      <c r="CJ114" s="110"/>
      <c r="CK114" s="110"/>
      <c r="CL114" s="110"/>
      <c r="CM114" s="110"/>
      <c r="CN114" s="110"/>
      <c r="CO114" s="110"/>
      <c r="CP114" s="110"/>
      <c r="CQ114" s="110"/>
      <c r="CR114" s="110"/>
      <c r="CS114" s="110"/>
      <c r="CT114" s="110"/>
      <c r="CU114" s="110"/>
      <c r="CV114" s="110"/>
      <c r="CW114" s="110"/>
      <c r="CX114" s="110"/>
      <c r="CY114" s="110"/>
      <c r="CZ114" s="110"/>
      <c r="DA114" s="110"/>
      <c r="DB114" s="110"/>
      <c r="DC114" s="110"/>
      <c r="DD114" s="110"/>
      <c r="DE114" s="110"/>
      <c r="DF114" s="110"/>
      <c r="DG114" s="110"/>
      <c r="DH114" s="110"/>
      <c r="DI114" s="110"/>
      <c r="DJ114" s="110"/>
      <c r="DK114" s="110"/>
      <c r="DL114" s="110"/>
      <c r="DM114" s="110"/>
      <c r="DN114" s="110"/>
      <c r="DO114" s="110"/>
      <c r="DP114" s="110"/>
      <c r="DQ114" s="110"/>
      <c r="DR114" s="110"/>
      <c r="DS114" s="110"/>
      <c r="DT114" s="110"/>
      <c r="DU114" s="110"/>
      <c r="DV114" s="110"/>
      <c r="DW114" s="110"/>
      <c r="DX114" s="110"/>
      <c r="DY114" s="110"/>
      <c r="DZ114" s="110"/>
      <c r="EA114" s="110"/>
      <c r="EB114" s="110"/>
      <c r="EC114" s="110"/>
      <c r="ED114" s="110"/>
      <c r="EE114" s="110"/>
      <c r="EF114" s="110"/>
      <c r="EG114" s="110"/>
      <c r="EH114" s="110"/>
      <c r="EI114" s="110"/>
      <c r="EJ114" s="110"/>
      <c r="EK114" s="110"/>
      <c r="EL114" s="110"/>
      <c r="EM114" s="110"/>
      <c r="EN114" s="110"/>
      <c r="EO114" s="110"/>
      <c r="EP114" s="110"/>
      <c r="EQ114" s="110"/>
      <c r="ER114" s="110"/>
      <c r="ES114" s="110"/>
      <c r="ET114" s="110"/>
      <c r="EU114" s="110"/>
      <c r="EV114" s="110"/>
      <c r="EW114" s="110"/>
      <c r="EX114" s="110"/>
      <c r="EY114" s="110"/>
      <c r="EZ114" s="110"/>
      <c r="FA114" s="110"/>
      <c r="FB114" s="110"/>
      <c r="FC114" s="110"/>
      <c r="FD114" s="110"/>
      <c r="FE114" s="110"/>
      <c r="FF114" s="110"/>
      <c r="FG114" s="110"/>
      <c r="FH114" s="110"/>
      <c r="FI114" s="110"/>
      <c r="FJ114" s="110"/>
      <c r="FK114" s="110"/>
      <c r="FL114" s="110"/>
      <c r="FM114" s="110"/>
      <c r="FN114" s="110"/>
      <c r="FO114" s="110"/>
      <c r="FP114" s="110"/>
      <c r="FQ114" s="110"/>
      <c r="FR114" s="110"/>
      <c r="FS114" s="110"/>
      <c r="FT114" s="110"/>
      <c r="FU114" s="110"/>
      <c r="FV114" s="110"/>
      <c r="FW114" s="110"/>
      <c r="FX114" s="110"/>
      <c r="FY114" s="110"/>
      <c r="FZ114" s="110"/>
      <c r="GA114" s="110"/>
      <c r="GB114" s="110"/>
      <c r="GC114" s="110"/>
      <c r="GD114" s="110"/>
      <c r="GE114" s="110"/>
      <c r="GF114" s="110"/>
      <c r="GG114" s="110"/>
      <c r="GH114" s="110"/>
      <c r="GI114" s="110"/>
      <c r="GJ114" s="110"/>
      <c r="GK114" s="110"/>
      <c r="GL114" s="110"/>
      <c r="GM114" s="110"/>
      <c r="GN114" s="110"/>
      <c r="GO114" s="110"/>
      <c r="GP114" s="110"/>
      <c r="GQ114" s="110"/>
      <c r="GR114" s="110"/>
      <c r="GS114" s="110"/>
      <c r="GT114" s="110"/>
      <c r="GU114" s="110"/>
      <c r="GV114" s="110"/>
      <c r="GW114" s="110"/>
      <c r="GX114" s="110"/>
      <c r="GY114" s="110"/>
      <c r="GZ114" s="110"/>
      <c r="HA114" s="110"/>
      <c r="HB114" s="110"/>
      <c r="HC114" s="110"/>
      <c r="HD114" s="110"/>
      <c r="HE114" s="110"/>
      <c r="HF114" s="110"/>
      <c r="HG114" s="110"/>
      <c r="HH114" s="110"/>
      <c r="HI114" s="110"/>
      <c r="HJ114" s="110"/>
      <c r="HK114" s="110"/>
      <c r="HL114" s="110"/>
      <c r="HM114" s="110"/>
      <c r="HN114" s="110"/>
      <c r="HO114" s="110"/>
      <c r="HP114" s="110"/>
      <c r="HQ114" s="110"/>
      <c r="HR114" s="110"/>
      <c r="HS114" s="110"/>
      <c r="HT114" s="110"/>
      <c r="HU114" s="110"/>
      <c r="HV114" s="110"/>
      <c r="HW114" s="110"/>
      <c r="HX114" s="110"/>
      <c r="HY114" s="110"/>
      <c r="HZ114" s="110"/>
      <c r="IA114" s="110"/>
      <c r="IB114" s="110"/>
      <c r="IC114" s="110"/>
      <c r="ID114" s="110"/>
      <c r="IE114" s="110"/>
      <c r="IF114" s="110"/>
      <c r="IG114" s="110"/>
      <c r="IH114" s="110"/>
      <c r="II114" s="110"/>
      <c r="IJ114" s="110"/>
      <c r="IK114" s="110"/>
      <c r="IL114" s="110"/>
      <c r="IM114" s="110"/>
      <c r="IN114" s="110"/>
      <c r="IO114" s="110"/>
      <c r="IP114" s="110"/>
      <c r="IQ114" s="110"/>
      <c r="IR114" s="110"/>
      <c r="IS114" s="110"/>
      <c r="IT114" s="110"/>
      <c r="IU114" s="110"/>
      <c r="IV114" s="110"/>
      <c r="IW114" s="110"/>
    </row>
    <row r="115" spans="1:257" x14ac:dyDescent="0.3">
      <c r="A115" s="156"/>
      <c r="B115" s="156"/>
      <c r="C115" s="156"/>
      <c r="D115" s="156"/>
      <c r="E115" s="156"/>
      <c r="F115" s="156"/>
      <c r="G115" s="156"/>
      <c r="H115" s="156"/>
      <c r="I115" s="156"/>
      <c r="J115" s="156"/>
      <c r="K115" s="156"/>
      <c r="L115" s="156"/>
      <c r="M115" s="156"/>
      <c r="N115" s="156"/>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c r="BY115" s="110"/>
      <c r="BZ115" s="110"/>
      <c r="CA115" s="110"/>
      <c r="CB115" s="110"/>
      <c r="CC115" s="110"/>
      <c r="CD115" s="110"/>
      <c r="CE115" s="110"/>
      <c r="CF115" s="110"/>
      <c r="CG115" s="110"/>
      <c r="CH115" s="110"/>
      <c r="CI115" s="110"/>
      <c r="CJ115" s="110"/>
      <c r="CK115" s="110"/>
      <c r="CL115" s="110"/>
      <c r="CM115" s="110"/>
      <c r="CN115" s="110"/>
      <c r="CO115" s="110"/>
      <c r="CP115" s="110"/>
      <c r="CQ115" s="110"/>
      <c r="CR115" s="110"/>
      <c r="CS115" s="110"/>
      <c r="CT115" s="110"/>
      <c r="CU115" s="110"/>
      <c r="CV115" s="110"/>
      <c r="CW115" s="110"/>
      <c r="CX115" s="110"/>
      <c r="CY115" s="110"/>
      <c r="CZ115" s="110"/>
      <c r="DA115" s="110"/>
      <c r="DB115" s="110"/>
      <c r="DC115" s="110"/>
      <c r="DD115" s="110"/>
      <c r="DE115" s="110"/>
      <c r="DF115" s="110"/>
      <c r="DG115" s="110"/>
      <c r="DH115" s="110"/>
      <c r="DI115" s="110"/>
      <c r="DJ115" s="110"/>
      <c r="DK115" s="110"/>
      <c r="DL115" s="110"/>
      <c r="DM115" s="110"/>
      <c r="DN115" s="110"/>
      <c r="DO115" s="110"/>
      <c r="DP115" s="110"/>
      <c r="DQ115" s="110"/>
      <c r="DR115" s="110"/>
      <c r="DS115" s="110"/>
      <c r="DT115" s="110"/>
      <c r="DU115" s="110"/>
      <c r="DV115" s="110"/>
      <c r="DW115" s="110"/>
      <c r="DX115" s="110"/>
      <c r="DY115" s="110"/>
      <c r="DZ115" s="110"/>
      <c r="EA115" s="110"/>
      <c r="EB115" s="110"/>
      <c r="EC115" s="110"/>
      <c r="ED115" s="110"/>
      <c r="EE115" s="110"/>
      <c r="EF115" s="110"/>
      <c r="EG115" s="110"/>
      <c r="EH115" s="110"/>
      <c r="EI115" s="110"/>
      <c r="EJ115" s="110"/>
      <c r="EK115" s="110"/>
      <c r="EL115" s="110"/>
      <c r="EM115" s="110"/>
      <c r="EN115" s="110"/>
      <c r="EO115" s="110"/>
      <c r="EP115" s="110"/>
      <c r="EQ115" s="110"/>
      <c r="ER115" s="110"/>
      <c r="ES115" s="110"/>
      <c r="ET115" s="110"/>
      <c r="EU115" s="110"/>
      <c r="EV115" s="110"/>
      <c r="EW115" s="110"/>
      <c r="EX115" s="110"/>
      <c r="EY115" s="110"/>
      <c r="EZ115" s="110"/>
      <c r="FA115" s="110"/>
      <c r="FB115" s="110"/>
      <c r="FC115" s="110"/>
      <c r="FD115" s="110"/>
      <c r="FE115" s="110"/>
      <c r="FF115" s="110"/>
      <c r="FG115" s="110"/>
      <c r="FH115" s="110"/>
      <c r="FI115" s="110"/>
      <c r="FJ115" s="110"/>
      <c r="FK115" s="110"/>
      <c r="FL115" s="110"/>
      <c r="FM115" s="110"/>
      <c r="FN115" s="110"/>
      <c r="FO115" s="110"/>
      <c r="FP115" s="110"/>
      <c r="FQ115" s="110"/>
      <c r="FR115" s="110"/>
      <c r="FS115" s="110"/>
      <c r="FT115" s="110"/>
      <c r="FU115" s="110"/>
      <c r="FV115" s="110"/>
      <c r="FW115" s="110"/>
      <c r="FX115" s="110"/>
      <c r="FY115" s="110"/>
      <c r="FZ115" s="110"/>
      <c r="GA115" s="110"/>
      <c r="GB115" s="110"/>
      <c r="GC115" s="110"/>
      <c r="GD115" s="110"/>
      <c r="GE115" s="110"/>
      <c r="GF115" s="110"/>
      <c r="GG115" s="110"/>
      <c r="GH115" s="110"/>
      <c r="GI115" s="110"/>
      <c r="GJ115" s="110"/>
      <c r="GK115" s="110"/>
      <c r="GL115" s="110"/>
      <c r="GM115" s="110"/>
      <c r="GN115" s="110"/>
      <c r="GO115" s="110"/>
      <c r="GP115" s="110"/>
      <c r="GQ115" s="110"/>
      <c r="GR115" s="110"/>
      <c r="GS115" s="110"/>
      <c r="GT115" s="110"/>
      <c r="GU115" s="110"/>
      <c r="GV115" s="110"/>
      <c r="GW115" s="110"/>
      <c r="GX115" s="110"/>
      <c r="GY115" s="110"/>
      <c r="GZ115" s="110"/>
      <c r="HA115" s="110"/>
      <c r="HB115" s="110"/>
      <c r="HC115" s="110"/>
      <c r="HD115" s="110"/>
      <c r="HE115" s="110"/>
      <c r="HF115" s="110"/>
      <c r="HG115" s="110"/>
      <c r="HH115" s="110"/>
      <c r="HI115" s="110"/>
      <c r="HJ115" s="110"/>
      <c r="HK115" s="110"/>
      <c r="HL115" s="110"/>
      <c r="HM115" s="110"/>
      <c r="HN115" s="110"/>
      <c r="HO115" s="110"/>
      <c r="HP115" s="110"/>
      <c r="HQ115" s="110"/>
      <c r="HR115" s="110"/>
      <c r="HS115" s="110"/>
      <c r="HT115" s="110"/>
      <c r="HU115" s="110"/>
      <c r="HV115" s="110"/>
      <c r="HW115" s="110"/>
      <c r="HX115" s="110"/>
      <c r="HY115" s="110"/>
      <c r="HZ115" s="110"/>
      <c r="IA115" s="110"/>
      <c r="IB115" s="110"/>
      <c r="IC115" s="110"/>
      <c r="ID115" s="110"/>
      <c r="IE115" s="110"/>
      <c r="IF115" s="110"/>
      <c r="IG115" s="110"/>
      <c r="IH115" s="110"/>
      <c r="II115" s="110"/>
      <c r="IJ115" s="110"/>
      <c r="IK115" s="110"/>
      <c r="IL115" s="110"/>
      <c r="IM115" s="110"/>
      <c r="IN115" s="110"/>
      <c r="IO115" s="110"/>
      <c r="IP115" s="110"/>
      <c r="IQ115" s="110"/>
      <c r="IR115" s="110"/>
      <c r="IS115" s="110"/>
      <c r="IT115" s="110"/>
      <c r="IU115" s="110"/>
      <c r="IV115" s="110"/>
      <c r="IW115" s="110"/>
    </row>
    <row r="116" spans="1:257" x14ac:dyDescent="0.3">
      <c r="A116" s="156"/>
      <c r="B116" s="156"/>
      <c r="C116" s="156"/>
      <c r="D116" s="156"/>
      <c r="E116" s="156"/>
      <c r="F116" s="156"/>
      <c r="G116" s="156"/>
      <c r="H116" s="156"/>
      <c r="I116" s="156"/>
      <c r="J116" s="156"/>
      <c r="K116" s="156"/>
      <c r="L116" s="156"/>
      <c r="M116" s="156"/>
      <c r="N116" s="156"/>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c r="BY116" s="110"/>
      <c r="BZ116" s="110"/>
      <c r="CA116" s="110"/>
      <c r="CB116" s="110"/>
      <c r="CC116" s="110"/>
      <c r="CD116" s="110"/>
      <c r="CE116" s="110"/>
      <c r="CF116" s="110"/>
      <c r="CG116" s="110"/>
      <c r="CH116" s="110"/>
      <c r="CI116" s="110"/>
      <c r="CJ116" s="110"/>
      <c r="CK116" s="110"/>
      <c r="CL116" s="110"/>
      <c r="CM116" s="110"/>
      <c r="CN116" s="110"/>
      <c r="CO116" s="110"/>
      <c r="CP116" s="110"/>
      <c r="CQ116" s="110"/>
      <c r="CR116" s="110"/>
      <c r="CS116" s="110"/>
      <c r="CT116" s="110"/>
      <c r="CU116" s="110"/>
      <c r="CV116" s="110"/>
      <c r="CW116" s="110"/>
      <c r="CX116" s="110"/>
      <c r="CY116" s="110"/>
      <c r="CZ116" s="110"/>
      <c r="DA116" s="110"/>
      <c r="DB116" s="110"/>
      <c r="DC116" s="110"/>
      <c r="DD116" s="110"/>
      <c r="DE116" s="110"/>
      <c r="DF116" s="110"/>
      <c r="DG116" s="110"/>
      <c r="DH116" s="110"/>
      <c r="DI116" s="110"/>
      <c r="DJ116" s="110"/>
      <c r="DK116" s="110"/>
      <c r="DL116" s="110"/>
      <c r="DM116" s="110"/>
      <c r="DN116" s="110"/>
      <c r="DO116" s="110"/>
      <c r="DP116" s="110"/>
      <c r="DQ116" s="110"/>
      <c r="DR116" s="110"/>
      <c r="DS116" s="110"/>
      <c r="DT116" s="110"/>
      <c r="DU116" s="110"/>
      <c r="DV116" s="110"/>
      <c r="DW116" s="110"/>
      <c r="DX116" s="110"/>
      <c r="DY116" s="110"/>
      <c r="DZ116" s="110"/>
      <c r="EA116" s="110"/>
      <c r="EB116" s="110"/>
      <c r="EC116" s="110"/>
      <c r="ED116" s="110"/>
      <c r="EE116" s="110"/>
      <c r="EF116" s="110"/>
      <c r="EG116" s="110"/>
      <c r="EH116" s="110"/>
      <c r="EI116" s="110"/>
      <c r="EJ116" s="110"/>
      <c r="EK116" s="110"/>
      <c r="EL116" s="110"/>
      <c r="EM116" s="110"/>
      <c r="EN116" s="110"/>
      <c r="EO116" s="110"/>
      <c r="EP116" s="110"/>
      <c r="EQ116" s="110"/>
      <c r="ER116" s="110"/>
      <c r="ES116" s="110"/>
      <c r="ET116" s="110"/>
      <c r="EU116" s="110"/>
      <c r="EV116" s="110"/>
      <c r="EW116" s="110"/>
      <c r="EX116" s="110"/>
      <c r="EY116" s="110"/>
      <c r="EZ116" s="110"/>
      <c r="FA116" s="110"/>
      <c r="FB116" s="110"/>
      <c r="FC116" s="110"/>
      <c r="FD116" s="110"/>
      <c r="FE116" s="110"/>
      <c r="FF116" s="110"/>
      <c r="FG116" s="110"/>
      <c r="FH116" s="110"/>
      <c r="FI116" s="110"/>
      <c r="FJ116" s="110"/>
      <c r="FK116" s="110"/>
      <c r="FL116" s="110"/>
      <c r="FM116" s="110"/>
      <c r="FN116" s="110"/>
      <c r="FO116" s="110"/>
      <c r="FP116" s="110"/>
      <c r="FQ116" s="110"/>
      <c r="FR116" s="110"/>
      <c r="FS116" s="110"/>
      <c r="FT116" s="110"/>
      <c r="FU116" s="110"/>
      <c r="FV116" s="110"/>
      <c r="FW116" s="110"/>
      <c r="FX116" s="110"/>
      <c r="FY116" s="110"/>
      <c r="FZ116" s="110"/>
      <c r="GA116" s="110"/>
      <c r="GB116" s="110"/>
      <c r="GC116" s="110"/>
      <c r="GD116" s="110"/>
      <c r="GE116" s="110"/>
      <c r="GF116" s="110"/>
      <c r="GG116" s="110"/>
      <c r="GH116" s="110"/>
      <c r="GI116" s="110"/>
      <c r="GJ116" s="110"/>
      <c r="GK116" s="110"/>
      <c r="GL116" s="110"/>
      <c r="GM116" s="110"/>
      <c r="GN116" s="110"/>
      <c r="GO116" s="110"/>
      <c r="GP116" s="110"/>
      <c r="GQ116" s="110"/>
      <c r="GR116" s="110"/>
      <c r="GS116" s="110"/>
      <c r="GT116" s="110"/>
      <c r="GU116" s="110"/>
      <c r="GV116" s="110"/>
      <c r="GW116" s="110"/>
      <c r="GX116" s="110"/>
      <c r="GY116" s="110"/>
      <c r="GZ116" s="110"/>
      <c r="HA116" s="110"/>
      <c r="HB116" s="110"/>
      <c r="HC116" s="110"/>
      <c r="HD116" s="110"/>
      <c r="HE116" s="110"/>
      <c r="HF116" s="110"/>
      <c r="HG116" s="110"/>
      <c r="HH116" s="110"/>
      <c r="HI116" s="110"/>
      <c r="HJ116" s="110"/>
      <c r="HK116" s="110"/>
      <c r="HL116" s="110"/>
      <c r="HM116" s="110"/>
      <c r="HN116" s="110"/>
      <c r="HO116" s="110"/>
      <c r="HP116" s="110"/>
      <c r="HQ116" s="110"/>
      <c r="HR116" s="110"/>
      <c r="HS116" s="110"/>
      <c r="HT116" s="110"/>
      <c r="HU116" s="110"/>
      <c r="HV116" s="110"/>
      <c r="HW116" s="110"/>
      <c r="HX116" s="110"/>
      <c r="HY116" s="110"/>
      <c r="HZ116" s="110"/>
      <c r="IA116" s="110"/>
      <c r="IB116" s="110"/>
      <c r="IC116" s="110"/>
      <c r="ID116" s="110"/>
      <c r="IE116" s="110"/>
      <c r="IF116" s="110"/>
      <c r="IG116" s="110"/>
      <c r="IH116" s="110"/>
      <c r="II116" s="110"/>
      <c r="IJ116" s="110"/>
      <c r="IK116" s="110"/>
      <c r="IL116" s="110"/>
      <c r="IM116" s="110"/>
      <c r="IN116" s="110"/>
      <c r="IO116" s="110"/>
      <c r="IP116" s="110"/>
      <c r="IQ116" s="110"/>
      <c r="IR116" s="110"/>
      <c r="IS116" s="110"/>
      <c r="IT116" s="110"/>
      <c r="IU116" s="110"/>
      <c r="IV116" s="110"/>
      <c r="IW116" s="110"/>
    </row>
    <row r="117" spans="1:257" x14ac:dyDescent="0.3">
      <c r="A117" s="156"/>
      <c r="B117" s="156"/>
      <c r="C117" s="156"/>
      <c r="D117" s="156"/>
      <c r="E117" s="156"/>
      <c r="F117" s="156"/>
      <c r="G117" s="156"/>
      <c r="H117" s="156"/>
      <c r="I117" s="156"/>
      <c r="J117" s="156"/>
      <c r="K117" s="156"/>
      <c r="L117" s="156"/>
      <c r="M117" s="156"/>
      <c r="N117" s="156"/>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c r="BY117" s="110"/>
      <c r="BZ117" s="110"/>
      <c r="CA117" s="110"/>
      <c r="CB117" s="110"/>
      <c r="CC117" s="110"/>
      <c r="CD117" s="110"/>
      <c r="CE117" s="110"/>
      <c r="CF117" s="110"/>
      <c r="CG117" s="110"/>
      <c r="CH117" s="110"/>
      <c r="CI117" s="110"/>
      <c r="CJ117" s="110"/>
      <c r="CK117" s="110"/>
      <c r="CL117" s="110"/>
      <c r="CM117" s="110"/>
      <c r="CN117" s="110"/>
      <c r="CO117" s="110"/>
      <c r="CP117" s="110"/>
      <c r="CQ117" s="110"/>
      <c r="CR117" s="110"/>
      <c r="CS117" s="110"/>
      <c r="CT117" s="110"/>
      <c r="CU117" s="110"/>
      <c r="CV117" s="110"/>
      <c r="CW117" s="110"/>
      <c r="CX117" s="110"/>
      <c r="CY117" s="110"/>
      <c r="CZ117" s="110"/>
      <c r="DA117" s="110"/>
      <c r="DB117" s="110"/>
      <c r="DC117" s="110"/>
      <c r="DD117" s="110"/>
      <c r="DE117" s="110"/>
      <c r="DF117" s="110"/>
      <c r="DG117" s="110"/>
      <c r="DH117" s="110"/>
      <c r="DI117" s="110"/>
      <c r="DJ117" s="110"/>
      <c r="DK117" s="110"/>
      <c r="DL117" s="110"/>
      <c r="DM117" s="110"/>
      <c r="DN117" s="110"/>
      <c r="DO117" s="110"/>
      <c r="DP117" s="110"/>
      <c r="DQ117" s="110"/>
      <c r="DR117" s="110"/>
      <c r="DS117" s="110"/>
      <c r="DT117" s="110"/>
      <c r="DU117" s="110"/>
      <c r="DV117" s="110"/>
      <c r="DW117" s="110"/>
      <c r="DX117" s="110"/>
      <c r="DY117" s="110"/>
      <c r="DZ117" s="110"/>
      <c r="EA117" s="110"/>
      <c r="EB117" s="110"/>
      <c r="EC117" s="110"/>
      <c r="ED117" s="110"/>
      <c r="EE117" s="110"/>
      <c r="EF117" s="110"/>
      <c r="EG117" s="110"/>
      <c r="EH117" s="110"/>
      <c r="EI117" s="110"/>
      <c r="EJ117" s="110"/>
      <c r="EK117" s="110"/>
      <c r="EL117" s="110"/>
      <c r="EM117" s="110"/>
      <c r="EN117" s="110"/>
      <c r="EO117" s="110"/>
      <c r="EP117" s="110"/>
      <c r="EQ117" s="110"/>
      <c r="ER117" s="110"/>
      <c r="ES117" s="110"/>
      <c r="ET117" s="110"/>
      <c r="EU117" s="110"/>
      <c r="EV117" s="110"/>
      <c r="EW117" s="110"/>
      <c r="EX117" s="110"/>
      <c r="EY117" s="110"/>
      <c r="EZ117" s="110"/>
      <c r="FA117" s="110"/>
      <c r="FB117" s="110"/>
      <c r="FC117" s="110"/>
      <c r="FD117" s="110"/>
      <c r="FE117" s="110"/>
      <c r="FF117" s="110"/>
      <c r="FG117" s="110"/>
      <c r="FH117" s="110"/>
      <c r="FI117" s="110"/>
      <c r="FJ117" s="110"/>
      <c r="FK117" s="110"/>
      <c r="FL117" s="110"/>
      <c r="FM117" s="110"/>
      <c r="FN117" s="110"/>
      <c r="FO117" s="110"/>
      <c r="FP117" s="110"/>
      <c r="FQ117" s="110"/>
      <c r="FR117" s="110"/>
      <c r="FS117" s="110"/>
      <c r="FT117" s="110"/>
      <c r="FU117" s="110"/>
      <c r="FV117" s="110"/>
      <c r="FW117" s="110"/>
      <c r="FX117" s="110"/>
      <c r="FY117" s="110"/>
      <c r="FZ117" s="110"/>
      <c r="GA117" s="110"/>
      <c r="GB117" s="110"/>
      <c r="GC117" s="110"/>
      <c r="GD117" s="110"/>
      <c r="GE117" s="110"/>
      <c r="GF117" s="110"/>
      <c r="GG117" s="110"/>
      <c r="GH117" s="110"/>
      <c r="GI117" s="110"/>
      <c r="GJ117" s="110"/>
      <c r="GK117" s="110"/>
      <c r="GL117" s="110"/>
      <c r="GM117" s="110"/>
      <c r="GN117" s="110"/>
      <c r="GO117" s="110"/>
      <c r="GP117" s="110"/>
      <c r="GQ117" s="110"/>
      <c r="GR117" s="110"/>
      <c r="GS117" s="110"/>
      <c r="GT117" s="110"/>
      <c r="GU117" s="110"/>
      <c r="GV117" s="110"/>
      <c r="GW117" s="110"/>
      <c r="GX117" s="110"/>
      <c r="GY117" s="110"/>
      <c r="GZ117" s="110"/>
      <c r="HA117" s="110"/>
      <c r="HB117" s="110"/>
      <c r="HC117" s="110"/>
      <c r="HD117" s="110"/>
      <c r="HE117" s="110"/>
      <c r="HF117" s="110"/>
      <c r="HG117" s="110"/>
      <c r="HH117" s="110"/>
      <c r="HI117" s="110"/>
      <c r="HJ117" s="110"/>
      <c r="HK117" s="110"/>
      <c r="HL117" s="110"/>
      <c r="HM117" s="110"/>
      <c r="HN117" s="110"/>
      <c r="HO117" s="110"/>
      <c r="HP117" s="110"/>
      <c r="HQ117" s="110"/>
      <c r="HR117" s="110"/>
      <c r="HS117" s="110"/>
      <c r="HT117" s="110"/>
      <c r="HU117" s="110"/>
      <c r="HV117" s="110"/>
      <c r="HW117" s="110"/>
      <c r="HX117" s="110"/>
      <c r="HY117" s="110"/>
      <c r="HZ117" s="110"/>
      <c r="IA117" s="110"/>
      <c r="IB117" s="110"/>
      <c r="IC117" s="110"/>
      <c r="ID117" s="110"/>
      <c r="IE117" s="110"/>
      <c r="IF117" s="110"/>
      <c r="IG117" s="110"/>
      <c r="IH117" s="110"/>
      <c r="II117" s="110"/>
      <c r="IJ117" s="110"/>
      <c r="IK117" s="110"/>
      <c r="IL117" s="110"/>
      <c r="IM117" s="110"/>
      <c r="IN117" s="110"/>
      <c r="IO117" s="110"/>
      <c r="IP117" s="110"/>
      <c r="IQ117" s="110"/>
      <c r="IR117" s="110"/>
      <c r="IS117" s="110"/>
      <c r="IT117" s="110"/>
      <c r="IU117" s="110"/>
      <c r="IV117" s="110"/>
      <c r="IW117" s="110"/>
    </row>
    <row r="118" spans="1:257" x14ac:dyDescent="0.3">
      <c r="A118" s="156"/>
      <c r="B118" s="156"/>
      <c r="C118" s="156"/>
      <c r="D118" s="156"/>
      <c r="E118" s="156"/>
      <c r="F118" s="156"/>
      <c r="G118" s="156"/>
      <c r="H118" s="156"/>
      <c r="I118" s="156"/>
      <c r="J118" s="156"/>
      <c r="K118" s="156"/>
      <c r="L118" s="156"/>
      <c r="M118" s="156"/>
      <c r="N118" s="156"/>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c r="BY118" s="110"/>
      <c r="BZ118" s="110"/>
      <c r="CA118" s="110"/>
      <c r="CB118" s="110"/>
      <c r="CC118" s="110"/>
      <c r="CD118" s="110"/>
      <c r="CE118" s="110"/>
      <c r="CF118" s="110"/>
      <c r="CG118" s="110"/>
      <c r="CH118" s="110"/>
      <c r="CI118" s="110"/>
      <c r="CJ118" s="110"/>
      <c r="CK118" s="110"/>
      <c r="CL118" s="110"/>
      <c r="CM118" s="110"/>
      <c r="CN118" s="110"/>
      <c r="CO118" s="110"/>
      <c r="CP118" s="110"/>
      <c r="CQ118" s="110"/>
      <c r="CR118" s="110"/>
      <c r="CS118" s="110"/>
      <c r="CT118" s="110"/>
      <c r="CU118" s="110"/>
      <c r="CV118" s="110"/>
      <c r="CW118" s="110"/>
      <c r="CX118" s="110"/>
      <c r="CY118" s="110"/>
      <c r="CZ118" s="110"/>
      <c r="DA118" s="110"/>
      <c r="DB118" s="110"/>
      <c r="DC118" s="110"/>
      <c r="DD118" s="110"/>
      <c r="DE118" s="110"/>
      <c r="DF118" s="110"/>
      <c r="DG118" s="110"/>
      <c r="DH118" s="110"/>
      <c r="DI118" s="110"/>
      <c r="DJ118" s="110"/>
      <c r="DK118" s="110"/>
      <c r="DL118" s="110"/>
      <c r="DM118" s="110"/>
      <c r="DN118" s="110"/>
      <c r="DO118" s="110"/>
      <c r="DP118" s="110"/>
      <c r="DQ118" s="110"/>
      <c r="DR118" s="110"/>
      <c r="DS118" s="110"/>
      <c r="DT118" s="110"/>
      <c r="DU118" s="110"/>
      <c r="DV118" s="110"/>
      <c r="DW118" s="110"/>
      <c r="DX118" s="110"/>
      <c r="DY118" s="110"/>
      <c r="DZ118" s="110"/>
      <c r="EA118" s="110"/>
      <c r="EB118" s="110"/>
      <c r="EC118" s="110"/>
      <c r="ED118" s="110"/>
      <c r="EE118" s="110"/>
      <c r="EF118" s="110"/>
      <c r="EG118" s="110"/>
      <c r="EH118" s="110"/>
      <c r="EI118" s="110"/>
      <c r="EJ118" s="110"/>
      <c r="EK118" s="110"/>
      <c r="EL118" s="110"/>
      <c r="EM118" s="110"/>
      <c r="EN118" s="110"/>
      <c r="EO118" s="110"/>
      <c r="EP118" s="110"/>
      <c r="EQ118" s="110"/>
      <c r="ER118" s="110"/>
      <c r="ES118" s="110"/>
      <c r="ET118" s="110"/>
      <c r="EU118" s="110"/>
      <c r="EV118" s="110"/>
      <c r="EW118" s="110"/>
      <c r="EX118" s="110"/>
      <c r="EY118" s="110"/>
      <c r="EZ118" s="110"/>
      <c r="FA118" s="110"/>
      <c r="FB118" s="110"/>
      <c r="FC118" s="110"/>
      <c r="FD118" s="110"/>
      <c r="FE118" s="110"/>
      <c r="FF118" s="110"/>
      <c r="FG118" s="110"/>
      <c r="FH118" s="110"/>
      <c r="FI118" s="110"/>
      <c r="FJ118" s="110"/>
      <c r="FK118" s="110"/>
      <c r="FL118" s="110"/>
      <c r="FM118" s="110"/>
      <c r="FN118" s="110"/>
      <c r="FO118" s="110"/>
      <c r="FP118" s="110"/>
      <c r="FQ118" s="110"/>
      <c r="FR118" s="110"/>
      <c r="FS118" s="110"/>
      <c r="FT118" s="110"/>
      <c r="FU118" s="110"/>
      <c r="FV118" s="110"/>
      <c r="FW118" s="110"/>
      <c r="FX118" s="110"/>
      <c r="FY118" s="110"/>
      <c r="FZ118" s="110"/>
      <c r="GA118" s="110"/>
      <c r="GB118" s="110"/>
      <c r="GC118" s="110"/>
      <c r="GD118" s="110"/>
      <c r="GE118" s="110"/>
      <c r="GF118" s="110"/>
      <c r="GG118" s="110"/>
      <c r="GH118" s="110"/>
      <c r="GI118" s="110"/>
      <c r="GJ118" s="110"/>
      <c r="GK118" s="110"/>
      <c r="GL118" s="110"/>
      <c r="GM118" s="110"/>
      <c r="GN118" s="110"/>
      <c r="GO118" s="110"/>
      <c r="GP118" s="110"/>
      <c r="GQ118" s="110"/>
      <c r="GR118" s="110"/>
      <c r="GS118" s="110"/>
      <c r="GT118" s="110"/>
      <c r="GU118" s="110"/>
      <c r="GV118" s="110"/>
      <c r="GW118" s="110"/>
      <c r="GX118" s="110"/>
      <c r="GY118" s="110"/>
      <c r="GZ118" s="110"/>
      <c r="HA118" s="110"/>
      <c r="HB118" s="110"/>
      <c r="HC118" s="110"/>
      <c r="HD118" s="110"/>
      <c r="HE118" s="110"/>
      <c r="HF118" s="110"/>
      <c r="HG118" s="110"/>
      <c r="HH118" s="110"/>
      <c r="HI118" s="110"/>
      <c r="HJ118" s="110"/>
      <c r="HK118" s="110"/>
      <c r="HL118" s="110"/>
      <c r="HM118" s="110"/>
      <c r="HN118" s="110"/>
      <c r="HO118" s="110"/>
      <c r="HP118" s="110"/>
      <c r="HQ118" s="110"/>
      <c r="HR118" s="110"/>
      <c r="HS118" s="110"/>
      <c r="HT118" s="110"/>
      <c r="HU118" s="110"/>
      <c r="HV118" s="110"/>
      <c r="HW118" s="110"/>
      <c r="HX118" s="110"/>
      <c r="HY118" s="110"/>
      <c r="HZ118" s="110"/>
      <c r="IA118" s="110"/>
      <c r="IB118" s="110"/>
      <c r="IC118" s="110"/>
      <c r="ID118" s="110"/>
      <c r="IE118" s="110"/>
      <c r="IF118" s="110"/>
      <c r="IG118" s="110"/>
      <c r="IH118" s="110"/>
      <c r="II118" s="110"/>
      <c r="IJ118" s="110"/>
      <c r="IK118" s="110"/>
      <c r="IL118" s="110"/>
      <c r="IM118" s="110"/>
      <c r="IN118" s="110"/>
      <c r="IO118" s="110"/>
      <c r="IP118" s="110"/>
      <c r="IQ118" s="110"/>
      <c r="IR118" s="110"/>
      <c r="IS118" s="110"/>
      <c r="IT118" s="110"/>
      <c r="IU118" s="110"/>
      <c r="IV118" s="110"/>
      <c r="IW118" s="110"/>
    </row>
    <row r="119" spans="1:257" x14ac:dyDescent="0.3">
      <c r="A119" s="156"/>
      <c r="B119" s="156"/>
      <c r="C119" s="156"/>
      <c r="D119" s="156"/>
      <c r="E119" s="156"/>
      <c r="F119" s="156"/>
      <c r="G119" s="156"/>
      <c r="H119" s="156"/>
      <c r="I119" s="156"/>
      <c r="J119" s="156"/>
      <c r="K119" s="156"/>
      <c r="L119" s="156"/>
      <c r="M119" s="156"/>
      <c r="N119" s="156"/>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c r="BY119" s="110"/>
      <c r="BZ119" s="110"/>
      <c r="CA119" s="110"/>
      <c r="CB119" s="110"/>
      <c r="CC119" s="110"/>
      <c r="CD119" s="110"/>
      <c r="CE119" s="110"/>
      <c r="CF119" s="110"/>
      <c r="CG119" s="110"/>
      <c r="CH119" s="110"/>
      <c r="CI119" s="110"/>
      <c r="CJ119" s="110"/>
      <c r="CK119" s="110"/>
      <c r="CL119" s="110"/>
      <c r="CM119" s="110"/>
      <c r="CN119" s="110"/>
      <c r="CO119" s="110"/>
      <c r="CP119" s="110"/>
      <c r="CQ119" s="110"/>
      <c r="CR119" s="110"/>
      <c r="CS119" s="110"/>
      <c r="CT119" s="110"/>
      <c r="CU119" s="110"/>
      <c r="CV119" s="110"/>
      <c r="CW119" s="110"/>
      <c r="CX119" s="110"/>
      <c r="CY119" s="110"/>
      <c r="CZ119" s="110"/>
      <c r="DA119" s="110"/>
      <c r="DB119" s="110"/>
      <c r="DC119" s="110"/>
      <c r="DD119" s="110"/>
      <c r="DE119" s="110"/>
      <c r="DF119" s="110"/>
      <c r="DG119" s="110"/>
      <c r="DH119" s="110"/>
      <c r="DI119" s="110"/>
      <c r="DJ119" s="110"/>
      <c r="DK119" s="110"/>
      <c r="DL119" s="110"/>
      <c r="DM119" s="110"/>
      <c r="DN119" s="110"/>
      <c r="DO119" s="110"/>
      <c r="DP119" s="110"/>
      <c r="DQ119" s="110"/>
      <c r="DR119" s="110"/>
      <c r="DS119" s="110"/>
      <c r="DT119" s="110"/>
      <c r="DU119" s="110"/>
      <c r="DV119" s="110"/>
      <c r="DW119" s="110"/>
      <c r="DX119" s="110"/>
      <c r="DY119" s="110"/>
      <c r="DZ119" s="110"/>
      <c r="EA119" s="110"/>
      <c r="EB119" s="110"/>
      <c r="EC119" s="110"/>
      <c r="ED119" s="110"/>
      <c r="EE119" s="110"/>
      <c r="EF119" s="110"/>
      <c r="EG119" s="110"/>
      <c r="EH119" s="110"/>
      <c r="EI119" s="110"/>
      <c r="EJ119" s="110"/>
      <c r="EK119" s="110"/>
      <c r="EL119" s="110"/>
      <c r="EM119" s="110"/>
      <c r="EN119" s="110"/>
      <c r="EO119" s="110"/>
      <c r="EP119" s="110"/>
      <c r="EQ119" s="110"/>
      <c r="ER119" s="110"/>
      <c r="ES119" s="110"/>
      <c r="ET119" s="110"/>
      <c r="EU119" s="110"/>
      <c r="EV119" s="110"/>
      <c r="EW119" s="110"/>
      <c r="EX119" s="110"/>
      <c r="EY119" s="110"/>
      <c r="EZ119" s="110"/>
      <c r="FA119" s="110"/>
      <c r="FB119" s="110"/>
      <c r="FC119" s="110"/>
      <c r="FD119" s="110"/>
      <c r="FE119" s="110"/>
      <c r="FF119" s="110"/>
      <c r="FG119" s="110"/>
      <c r="FH119" s="110"/>
      <c r="FI119" s="110"/>
      <c r="FJ119" s="110"/>
      <c r="FK119" s="110"/>
      <c r="FL119" s="110"/>
      <c r="FM119" s="110"/>
      <c r="FN119" s="110"/>
      <c r="FO119" s="110"/>
      <c r="FP119" s="110"/>
      <c r="FQ119" s="110"/>
      <c r="FR119" s="110"/>
      <c r="FS119" s="110"/>
      <c r="FT119" s="110"/>
      <c r="FU119" s="110"/>
      <c r="FV119" s="110"/>
      <c r="FW119" s="110"/>
      <c r="FX119" s="110"/>
      <c r="FY119" s="110"/>
      <c r="FZ119" s="110"/>
      <c r="GA119" s="110"/>
      <c r="GB119" s="110"/>
      <c r="GC119" s="110"/>
      <c r="GD119" s="110"/>
      <c r="GE119" s="110"/>
      <c r="GF119" s="110"/>
      <c r="GG119" s="110"/>
      <c r="GH119" s="110"/>
      <c r="GI119" s="110"/>
      <c r="GJ119" s="110"/>
      <c r="GK119" s="110"/>
      <c r="GL119" s="110"/>
      <c r="GM119" s="110"/>
      <c r="GN119" s="110"/>
      <c r="GO119" s="110"/>
      <c r="GP119" s="110"/>
      <c r="GQ119" s="110"/>
      <c r="GR119" s="110"/>
      <c r="GS119" s="110"/>
      <c r="GT119" s="110"/>
      <c r="GU119" s="110"/>
      <c r="GV119" s="110"/>
      <c r="GW119" s="110"/>
      <c r="GX119" s="110"/>
      <c r="GY119" s="110"/>
      <c r="GZ119" s="110"/>
      <c r="HA119" s="110"/>
      <c r="HB119" s="110"/>
      <c r="HC119" s="110"/>
      <c r="HD119" s="110"/>
      <c r="HE119" s="110"/>
      <c r="HF119" s="110"/>
      <c r="HG119" s="110"/>
      <c r="HH119" s="110"/>
      <c r="HI119" s="110"/>
      <c r="HJ119" s="110"/>
      <c r="HK119" s="110"/>
      <c r="HL119" s="110"/>
      <c r="HM119" s="110"/>
      <c r="HN119" s="110"/>
      <c r="HO119" s="110"/>
      <c r="HP119" s="110"/>
      <c r="HQ119" s="110"/>
      <c r="HR119" s="110"/>
      <c r="HS119" s="110"/>
      <c r="HT119" s="110"/>
      <c r="HU119" s="110"/>
      <c r="HV119" s="110"/>
      <c r="HW119" s="110"/>
      <c r="HX119" s="110"/>
      <c r="HY119" s="110"/>
      <c r="HZ119" s="110"/>
      <c r="IA119" s="110"/>
      <c r="IB119" s="110"/>
      <c r="IC119" s="110"/>
      <c r="ID119" s="110"/>
      <c r="IE119" s="110"/>
      <c r="IF119" s="110"/>
      <c r="IG119" s="110"/>
      <c r="IH119" s="110"/>
      <c r="II119" s="110"/>
      <c r="IJ119" s="110"/>
      <c r="IK119" s="110"/>
      <c r="IL119" s="110"/>
      <c r="IM119" s="110"/>
      <c r="IN119" s="110"/>
      <c r="IO119" s="110"/>
      <c r="IP119" s="110"/>
      <c r="IQ119" s="110"/>
      <c r="IR119" s="110"/>
      <c r="IS119" s="110"/>
      <c r="IT119" s="110"/>
      <c r="IU119" s="110"/>
      <c r="IV119" s="110"/>
      <c r="IW119" s="110"/>
    </row>
    <row r="120" spans="1:257" x14ac:dyDescent="0.3">
      <c r="A120" s="156"/>
      <c r="B120" s="156"/>
      <c r="C120" s="156"/>
      <c r="D120" s="156"/>
      <c r="E120" s="156"/>
      <c r="F120" s="156"/>
      <c r="G120" s="156"/>
      <c r="H120" s="156"/>
      <c r="I120" s="156"/>
      <c r="J120" s="156"/>
      <c r="K120" s="156"/>
      <c r="L120" s="156"/>
      <c r="M120" s="156"/>
      <c r="N120" s="156"/>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c r="BY120" s="110"/>
      <c r="BZ120" s="110"/>
      <c r="CA120" s="110"/>
      <c r="CB120" s="110"/>
      <c r="CC120" s="110"/>
      <c r="CD120" s="110"/>
      <c r="CE120" s="110"/>
      <c r="CF120" s="110"/>
      <c r="CG120" s="110"/>
      <c r="CH120" s="110"/>
      <c r="CI120" s="110"/>
      <c r="CJ120" s="110"/>
      <c r="CK120" s="110"/>
      <c r="CL120" s="110"/>
      <c r="CM120" s="110"/>
      <c r="CN120" s="110"/>
      <c r="CO120" s="110"/>
      <c r="CP120" s="110"/>
      <c r="CQ120" s="110"/>
      <c r="CR120" s="110"/>
      <c r="CS120" s="110"/>
      <c r="CT120" s="110"/>
      <c r="CU120" s="110"/>
      <c r="CV120" s="110"/>
      <c r="CW120" s="110"/>
      <c r="CX120" s="110"/>
      <c r="CY120" s="110"/>
      <c r="CZ120" s="110"/>
      <c r="DA120" s="110"/>
      <c r="DB120" s="110"/>
      <c r="DC120" s="110"/>
      <c r="DD120" s="110"/>
      <c r="DE120" s="110"/>
      <c r="DF120" s="110"/>
      <c r="DG120" s="110"/>
      <c r="DH120" s="110"/>
      <c r="DI120" s="110"/>
      <c r="DJ120" s="110"/>
      <c r="DK120" s="110"/>
      <c r="DL120" s="110"/>
      <c r="DM120" s="110"/>
      <c r="DN120" s="110"/>
      <c r="DO120" s="110"/>
      <c r="DP120" s="110"/>
      <c r="DQ120" s="110"/>
      <c r="DR120" s="110"/>
      <c r="DS120" s="110"/>
      <c r="DT120" s="110"/>
      <c r="DU120" s="110"/>
      <c r="DV120" s="110"/>
      <c r="DW120" s="110"/>
      <c r="DX120" s="110"/>
      <c r="DY120" s="110"/>
      <c r="DZ120" s="110"/>
      <c r="EA120" s="110"/>
      <c r="EB120" s="110"/>
      <c r="EC120" s="110"/>
      <c r="ED120" s="110"/>
      <c r="EE120" s="110"/>
      <c r="EF120" s="110"/>
      <c r="EG120" s="110"/>
      <c r="EH120" s="110"/>
      <c r="EI120" s="110"/>
      <c r="EJ120" s="110"/>
      <c r="EK120" s="110"/>
      <c r="EL120" s="110"/>
      <c r="EM120" s="110"/>
      <c r="EN120" s="110"/>
      <c r="EO120" s="110"/>
      <c r="EP120" s="110"/>
      <c r="EQ120" s="110"/>
      <c r="ER120" s="110"/>
      <c r="ES120" s="110"/>
      <c r="ET120" s="110"/>
      <c r="EU120" s="110"/>
      <c r="EV120" s="110"/>
      <c r="EW120" s="110"/>
      <c r="EX120" s="110"/>
      <c r="EY120" s="110"/>
      <c r="EZ120" s="110"/>
      <c r="FA120" s="110"/>
      <c r="FB120" s="110"/>
      <c r="FC120" s="110"/>
      <c r="FD120" s="110"/>
      <c r="FE120" s="110"/>
      <c r="FF120" s="110"/>
      <c r="FG120" s="110"/>
      <c r="FH120" s="110"/>
      <c r="FI120" s="110"/>
      <c r="FJ120" s="110"/>
      <c r="FK120" s="110"/>
      <c r="FL120" s="110"/>
      <c r="FM120" s="110"/>
      <c r="FN120" s="110"/>
      <c r="FO120" s="110"/>
      <c r="FP120" s="110"/>
      <c r="FQ120" s="110"/>
      <c r="FR120" s="110"/>
      <c r="FS120" s="110"/>
      <c r="FT120" s="110"/>
      <c r="FU120" s="110"/>
      <c r="FV120" s="110"/>
      <c r="FW120" s="110"/>
      <c r="FX120" s="110"/>
      <c r="FY120" s="110"/>
      <c r="FZ120" s="110"/>
      <c r="GA120" s="110"/>
      <c r="GB120" s="110"/>
      <c r="GC120" s="110"/>
      <c r="GD120" s="110"/>
      <c r="GE120" s="110"/>
      <c r="GF120" s="110"/>
      <c r="GG120" s="110"/>
      <c r="GH120" s="110"/>
      <c r="GI120" s="110"/>
      <c r="GJ120" s="110"/>
      <c r="GK120" s="110"/>
      <c r="GL120" s="110"/>
      <c r="GM120" s="110"/>
      <c r="GN120" s="110"/>
      <c r="GO120" s="110"/>
      <c r="GP120" s="110"/>
      <c r="GQ120" s="110"/>
      <c r="GR120" s="110"/>
      <c r="GS120" s="110"/>
      <c r="GT120" s="110"/>
      <c r="GU120" s="110"/>
      <c r="GV120" s="110"/>
      <c r="GW120" s="110"/>
      <c r="GX120" s="110"/>
      <c r="GY120" s="110"/>
      <c r="GZ120" s="110"/>
      <c r="HA120" s="110"/>
      <c r="HB120" s="110"/>
      <c r="HC120" s="110"/>
      <c r="HD120" s="110"/>
      <c r="HE120" s="110"/>
      <c r="HF120" s="110"/>
      <c r="HG120" s="110"/>
      <c r="HH120" s="110"/>
      <c r="HI120" s="110"/>
      <c r="HJ120" s="110"/>
      <c r="HK120" s="110"/>
      <c r="HL120" s="110"/>
      <c r="HM120" s="110"/>
      <c r="HN120" s="110"/>
      <c r="HO120" s="110"/>
      <c r="HP120" s="110"/>
      <c r="HQ120" s="110"/>
      <c r="HR120" s="110"/>
      <c r="HS120" s="110"/>
      <c r="HT120" s="110"/>
      <c r="HU120" s="110"/>
      <c r="HV120" s="110"/>
      <c r="HW120" s="110"/>
      <c r="HX120" s="110"/>
      <c r="HY120" s="110"/>
      <c r="HZ120" s="110"/>
      <c r="IA120" s="110"/>
      <c r="IB120" s="110"/>
      <c r="IC120" s="110"/>
      <c r="ID120" s="110"/>
      <c r="IE120" s="110"/>
      <c r="IF120" s="110"/>
      <c r="IG120" s="110"/>
      <c r="IH120" s="110"/>
      <c r="II120" s="110"/>
      <c r="IJ120" s="110"/>
      <c r="IK120" s="110"/>
      <c r="IL120" s="110"/>
      <c r="IM120" s="110"/>
      <c r="IN120" s="110"/>
      <c r="IO120" s="110"/>
      <c r="IP120" s="110"/>
      <c r="IQ120" s="110"/>
      <c r="IR120" s="110"/>
      <c r="IS120" s="110"/>
      <c r="IT120" s="110"/>
      <c r="IU120" s="110"/>
      <c r="IV120" s="110"/>
      <c r="IW120" s="110"/>
    </row>
    <row r="121" spans="1:257" x14ac:dyDescent="0.3">
      <c r="A121" s="156"/>
      <c r="B121" s="156"/>
      <c r="C121" s="156"/>
      <c r="D121" s="156"/>
      <c r="E121" s="156"/>
      <c r="F121" s="156"/>
      <c r="G121" s="156"/>
      <c r="H121" s="156"/>
      <c r="I121" s="156"/>
      <c r="J121" s="156"/>
      <c r="K121" s="156"/>
      <c r="L121" s="156"/>
      <c r="M121" s="156"/>
      <c r="N121" s="156"/>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c r="BY121" s="110"/>
      <c r="BZ121" s="110"/>
      <c r="CA121" s="110"/>
      <c r="CB121" s="110"/>
      <c r="CC121" s="110"/>
      <c r="CD121" s="110"/>
      <c r="CE121" s="110"/>
      <c r="CF121" s="110"/>
      <c r="CG121" s="110"/>
      <c r="CH121" s="110"/>
      <c r="CI121" s="110"/>
      <c r="CJ121" s="110"/>
      <c r="CK121" s="110"/>
      <c r="CL121" s="110"/>
      <c r="CM121" s="110"/>
      <c r="CN121" s="110"/>
      <c r="CO121" s="110"/>
      <c r="CP121" s="110"/>
      <c r="CQ121" s="110"/>
      <c r="CR121" s="110"/>
      <c r="CS121" s="110"/>
      <c r="CT121" s="110"/>
      <c r="CU121" s="110"/>
      <c r="CV121" s="110"/>
      <c r="CW121" s="110"/>
      <c r="CX121" s="110"/>
      <c r="CY121" s="110"/>
      <c r="CZ121" s="110"/>
      <c r="DA121" s="110"/>
      <c r="DB121" s="110"/>
      <c r="DC121" s="110"/>
      <c r="DD121" s="110"/>
      <c r="DE121" s="110"/>
      <c r="DF121" s="110"/>
      <c r="DG121" s="110"/>
      <c r="DH121" s="110"/>
      <c r="DI121" s="110"/>
      <c r="DJ121" s="110"/>
      <c r="DK121" s="110"/>
      <c r="DL121" s="110"/>
      <c r="DM121" s="110"/>
      <c r="DN121" s="110"/>
      <c r="DO121" s="110"/>
      <c r="DP121" s="110"/>
      <c r="DQ121" s="110"/>
      <c r="DR121" s="110"/>
      <c r="DS121" s="110"/>
      <c r="DT121" s="110"/>
      <c r="DU121" s="110"/>
      <c r="DV121" s="110"/>
      <c r="DW121" s="110"/>
      <c r="DX121" s="110"/>
      <c r="DY121" s="110"/>
      <c r="DZ121" s="110"/>
      <c r="EA121" s="110"/>
      <c r="EB121" s="110"/>
      <c r="EC121" s="110"/>
      <c r="ED121" s="110"/>
      <c r="EE121" s="110"/>
      <c r="EF121" s="110"/>
      <c r="EG121" s="110"/>
      <c r="EH121" s="110"/>
      <c r="EI121" s="110"/>
      <c r="EJ121" s="110"/>
      <c r="EK121" s="110"/>
      <c r="EL121" s="110"/>
      <c r="EM121" s="110"/>
      <c r="EN121" s="110"/>
      <c r="EO121" s="110"/>
      <c r="EP121" s="110"/>
      <c r="EQ121" s="110"/>
      <c r="ER121" s="110"/>
      <c r="ES121" s="110"/>
      <c r="ET121" s="110"/>
      <c r="EU121" s="110"/>
      <c r="EV121" s="110"/>
      <c r="EW121" s="110"/>
      <c r="EX121" s="110"/>
      <c r="EY121" s="110"/>
      <c r="EZ121" s="110"/>
      <c r="FA121" s="110"/>
      <c r="FB121" s="110"/>
      <c r="FC121" s="110"/>
      <c r="FD121" s="110"/>
      <c r="FE121" s="110"/>
      <c r="FF121" s="110"/>
      <c r="FG121" s="110"/>
      <c r="FH121" s="110"/>
      <c r="FI121" s="110"/>
      <c r="FJ121" s="110"/>
      <c r="FK121" s="110"/>
      <c r="FL121" s="110"/>
      <c r="FM121" s="110"/>
      <c r="FN121" s="110"/>
      <c r="FO121" s="110"/>
      <c r="FP121" s="110"/>
      <c r="FQ121" s="110"/>
      <c r="FR121" s="110"/>
      <c r="FS121" s="110"/>
      <c r="FT121" s="110"/>
      <c r="FU121" s="110"/>
      <c r="FV121" s="110"/>
      <c r="FW121" s="110"/>
      <c r="FX121" s="110"/>
      <c r="FY121" s="110"/>
      <c r="FZ121" s="110"/>
      <c r="GA121" s="110"/>
      <c r="GB121" s="110"/>
      <c r="GC121" s="110"/>
      <c r="GD121" s="110"/>
      <c r="GE121" s="110"/>
      <c r="GF121" s="110"/>
      <c r="GG121" s="110"/>
      <c r="GH121" s="110"/>
      <c r="GI121" s="110"/>
      <c r="GJ121" s="110"/>
      <c r="GK121" s="110"/>
      <c r="GL121" s="110"/>
      <c r="GM121" s="110"/>
      <c r="GN121" s="110"/>
      <c r="GO121" s="110"/>
      <c r="GP121" s="110"/>
      <c r="GQ121" s="110"/>
      <c r="GR121" s="110"/>
      <c r="GS121" s="110"/>
      <c r="GT121" s="110"/>
      <c r="GU121" s="110"/>
      <c r="GV121" s="110"/>
      <c r="GW121" s="110"/>
      <c r="GX121" s="110"/>
      <c r="GY121" s="110"/>
      <c r="GZ121" s="110"/>
      <c r="HA121" s="110"/>
      <c r="HB121" s="110"/>
      <c r="HC121" s="110"/>
      <c r="HD121" s="110"/>
      <c r="HE121" s="110"/>
      <c r="HF121" s="110"/>
      <c r="HG121" s="110"/>
      <c r="HH121" s="110"/>
      <c r="HI121" s="110"/>
      <c r="HJ121" s="110"/>
      <c r="HK121" s="110"/>
      <c r="HL121" s="110"/>
      <c r="HM121" s="110"/>
      <c r="HN121" s="110"/>
      <c r="HO121" s="110"/>
      <c r="HP121" s="110"/>
      <c r="HQ121" s="110"/>
      <c r="HR121" s="110"/>
      <c r="HS121" s="110"/>
      <c r="HT121" s="110"/>
      <c r="HU121" s="110"/>
      <c r="HV121" s="110"/>
      <c r="HW121" s="110"/>
      <c r="HX121" s="110"/>
      <c r="HY121" s="110"/>
      <c r="HZ121" s="110"/>
      <c r="IA121" s="110"/>
      <c r="IB121" s="110"/>
      <c r="IC121" s="110"/>
      <c r="ID121" s="110"/>
      <c r="IE121" s="110"/>
      <c r="IF121" s="110"/>
      <c r="IG121" s="110"/>
      <c r="IH121" s="110"/>
      <c r="II121" s="110"/>
      <c r="IJ121" s="110"/>
      <c r="IK121" s="110"/>
      <c r="IL121" s="110"/>
      <c r="IM121" s="110"/>
      <c r="IN121" s="110"/>
      <c r="IO121" s="110"/>
      <c r="IP121" s="110"/>
      <c r="IQ121" s="110"/>
      <c r="IR121" s="110"/>
      <c r="IS121" s="110"/>
      <c r="IT121" s="110"/>
      <c r="IU121" s="110"/>
      <c r="IV121" s="110"/>
      <c r="IW121" s="110"/>
    </row>
    <row r="122" spans="1:257" x14ac:dyDescent="0.3">
      <c r="A122" s="156"/>
      <c r="B122" s="156"/>
      <c r="C122" s="156"/>
      <c r="D122" s="156"/>
      <c r="E122" s="156"/>
      <c r="F122" s="156"/>
      <c r="G122" s="156"/>
      <c r="H122" s="156"/>
      <c r="I122" s="156"/>
      <c r="J122" s="156"/>
      <c r="K122" s="156"/>
      <c r="L122" s="156"/>
      <c r="M122" s="156"/>
      <c r="N122" s="156"/>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c r="BY122" s="110"/>
      <c r="BZ122" s="110"/>
      <c r="CA122" s="110"/>
      <c r="CB122" s="110"/>
      <c r="CC122" s="110"/>
      <c r="CD122" s="110"/>
      <c r="CE122" s="110"/>
      <c r="CF122" s="110"/>
      <c r="CG122" s="110"/>
      <c r="CH122" s="110"/>
      <c r="CI122" s="110"/>
      <c r="CJ122" s="110"/>
      <c r="CK122" s="110"/>
      <c r="CL122" s="110"/>
      <c r="CM122" s="110"/>
      <c r="CN122" s="110"/>
      <c r="CO122" s="110"/>
      <c r="CP122" s="110"/>
      <c r="CQ122" s="110"/>
      <c r="CR122" s="110"/>
      <c r="CS122" s="110"/>
      <c r="CT122" s="110"/>
      <c r="CU122" s="110"/>
      <c r="CV122" s="110"/>
      <c r="CW122" s="110"/>
      <c r="CX122" s="110"/>
      <c r="CY122" s="110"/>
      <c r="CZ122" s="110"/>
      <c r="DA122" s="110"/>
      <c r="DB122" s="110"/>
      <c r="DC122" s="110"/>
      <c r="DD122" s="110"/>
      <c r="DE122" s="110"/>
      <c r="DF122" s="110"/>
      <c r="DG122" s="110"/>
      <c r="DH122" s="110"/>
      <c r="DI122" s="110"/>
      <c r="DJ122" s="110"/>
      <c r="DK122" s="110"/>
      <c r="DL122" s="110"/>
      <c r="DM122" s="110"/>
      <c r="DN122" s="110"/>
      <c r="DO122" s="110"/>
      <c r="DP122" s="110"/>
      <c r="DQ122" s="110"/>
      <c r="DR122" s="110"/>
      <c r="DS122" s="110"/>
      <c r="DT122" s="110"/>
      <c r="DU122" s="110"/>
      <c r="DV122" s="110"/>
      <c r="DW122" s="110"/>
      <c r="DX122" s="110"/>
      <c r="DY122" s="110"/>
      <c r="DZ122" s="110"/>
      <c r="EA122" s="110"/>
      <c r="EB122" s="110"/>
      <c r="EC122" s="110"/>
      <c r="ED122" s="110"/>
      <c r="EE122" s="110"/>
      <c r="EF122" s="110"/>
      <c r="EG122" s="110"/>
      <c r="EH122" s="110"/>
      <c r="EI122" s="110"/>
      <c r="EJ122" s="110"/>
      <c r="EK122" s="110"/>
      <c r="EL122" s="110"/>
      <c r="EM122" s="110"/>
      <c r="EN122" s="110"/>
      <c r="EO122" s="110"/>
      <c r="EP122" s="110"/>
      <c r="EQ122" s="110"/>
      <c r="ER122" s="110"/>
      <c r="ES122" s="110"/>
      <c r="ET122" s="110"/>
      <c r="EU122" s="110"/>
      <c r="EV122" s="110"/>
      <c r="EW122" s="110"/>
      <c r="EX122" s="110"/>
      <c r="EY122" s="110"/>
      <c r="EZ122" s="110"/>
      <c r="FA122" s="110"/>
      <c r="FB122" s="110"/>
      <c r="FC122" s="110"/>
      <c r="FD122" s="110"/>
      <c r="FE122" s="110"/>
      <c r="FF122" s="110"/>
      <c r="FG122" s="110"/>
      <c r="FH122" s="110"/>
      <c r="FI122" s="110"/>
      <c r="FJ122" s="110"/>
      <c r="FK122" s="110"/>
      <c r="FL122" s="110"/>
      <c r="FM122" s="110"/>
      <c r="FN122" s="110"/>
      <c r="FO122" s="110"/>
      <c r="FP122" s="110"/>
      <c r="FQ122" s="110"/>
      <c r="FR122" s="110"/>
      <c r="FS122" s="110"/>
      <c r="FT122" s="110"/>
      <c r="FU122" s="110"/>
      <c r="FV122" s="110"/>
      <c r="FW122" s="110"/>
      <c r="FX122" s="110"/>
      <c r="FY122" s="110"/>
      <c r="FZ122" s="110"/>
      <c r="GA122" s="110"/>
      <c r="GB122" s="110"/>
      <c r="GC122" s="110"/>
      <c r="GD122" s="110"/>
      <c r="GE122" s="110"/>
      <c r="GF122" s="110"/>
      <c r="GG122" s="110"/>
      <c r="GH122" s="110"/>
      <c r="GI122" s="110"/>
      <c r="GJ122" s="110"/>
      <c r="GK122" s="110"/>
      <c r="GL122" s="110"/>
      <c r="GM122" s="110"/>
      <c r="GN122" s="110"/>
      <c r="GO122" s="110"/>
      <c r="GP122" s="110"/>
      <c r="GQ122" s="110"/>
      <c r="GR122" s="110"/>
      <c r="GS122" s="110"/>
      <c r="GT122" s="110"/>
      <c r="GU122" s="110"/>
      <c r="GV122" s="110"/>
      <c r="GW122" s="110"/>
      <c r="GX122" s="110"/>
      <c r="GY122" s="110"/>
      <c r="GZ122" s="110"/>
      <c r="HA122" s="110"/>
      <c r="HB122" s="110"/>
      <c r="HC122" s="110"/>
      <c r="HD122" s="110"/>
      <c r="HE122" s="110"/>
      <c r="HF122" s="110"/>
      <c r="HG122" s="110"/>
      <c r="HH122" s="110"/>
      <c r="HI122" s="110"/>
      <c r="HJ122" s="110"/>
      <c r="HK122" s="110"/>
      <c r="HL122" s="110"/>
      <c r="HM122" s="110"/>
      <c r="HN122" s="110"/>
      <c r="HO122" s="110"/>
      <c r="HP122" s="110"/>
      <c r="HQ122" s="110"/>
      <c r="HR122" s="110"/>
      <c r="HS122" s="110"/>
      <c r="HT122" s="110"/>
      <c r="HU122" s="110"/>
      <c r="HV122" s="110"/>
      <c r="HW122" s="110"/>
      <c r="HX122" s="110"/>
      <c r="HY122" s="110"/>
      <c r="HZ122" s="110"/>
      <c r="IA122" s="110"/>
      <c r="IB122" s="110"/>
      <c r="IC122" s="110"/>
      <c r="ID122" s="110"/>
      <c r="IE122" s="110"/>
      <c r="IF122" s="110"/>
      <c r="IG122" s="110"/>
      <c r="IH122" s="110"/>
      <c r="II122" s="110"/>
      <c r="IJ122" s="110"/>
      <c r="IK122" s="110"/>
      <c r="IL122" s="110"/>
      <c r="IM122" s="110"/>
      <c r="IN122" s="110"/>
      <c r="IO122" s="110"/>
      <c r="IP122" s="110"/>
      <c r="IQ122" s="110"/>
      <c r="IR122" s="110"/>
      <c r="IS122" s="110"/>
      <c r="IT122" s="110"/>
      <c r="IU122" s="110"/>
      <c r="IV122" s="110"/>
      <c r="IW122" s="110"/>
    </row>
    <row r="123" spans="1:257" x14ac:dyDescent="0.3">
      <c r="A123" s="156"/>
      <c r="B123" s="156"/>
      <c r="C123" s="156"/>
      <c r="D123" s="156"/>
      <c r="E123" s="156"/>
      <c r="F123" s="156"/>
      <c r="G123" s="156"/>
      <c r="H123" s="156"/>
      <c r="I123" s="156"/>
      <c r="J123" s="156"/>
      <c r="K123" s="156"/>
      <c r="L123" s="156"/>
      <c r="M123" s="156"/>
      <c r="N123" s="156"/>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c r="BY123" s="110"/>
      <c r="BZ123" s="110"/>
      <c r="CA123" s="110"/>
      <c r="CB123" s="110"/>
      <c r="CC123" s="110"/>
      <c r="CD123" s="110"/>
      <c r="CE123" s="110"/>
      <c r="CF123" s="110"/>
      <c r="CG123" s="110"/>
      <c r="CH123" s="110"/>
      <c r="CI123" s="110"/>
      <c r="CJ123" s="110"/>
      <c r="CK123" s="110"/>
      <c r="CL123" s="110"/>
      <c r="CM123" s="110"/>
      <c r="CN123" s="110"/>
      <c r="CO123" s="110"/>
      <c r="CP123" s="110"/>
      <c r="CQ123" s="110"/>
      <c r="CR123" s="110"/>
      <c r="CS123" s="110"/>
      <c r="CT123" s="110"/>
      <c r="CU123" s="110"/>
      <c r="CV123" s="110"/>
      <c r="CW123" s="110"/>
      <c r="CX123" s="110"/>
      <c r="CY123" s="110"/>
      <c r="CZ123" s="110"/>
      <c r="DA123" s="110"/>
      <c r="DB123" s="110"/>
      <c r="DC123" s="110"/>
      <c r="DD123" s="110"/>
      <c r="DE123" s="110"/>
      <c r="DF123" s="110"/>
      <c r="DG123" s="110"/>
      <c r="DH123" s="110"/>
      <c r="DI123" s="110"/>
      <c r="DJ123" s="110"/>
      <c r="DK123" s="110"/>
      <c r="DL123" s="110"/>
      <c r="DM123" s="110"/>
      <c r="DN123" s="110"/>
      <c r="DO123" s="110"/>
      <c r="DP123" s="110"/>
      <c r="DQ123" s="110"/>
      <c r="DR123" s="110"/>
      <c r="DS123" s="110"/>
      <c r="DT123" s="110"/>
      <c r="DU123" s="110"/>
      <c r="DV123" s="110"/>
      <c r="DW123" s="110"/>
      <c r="DX123" s="110"/>
      <c r="DY123" s="110"/>
      <c r="DZ123" s="110"/>
      <c r="EA123" s="110"/>
      <c r="EB123" s="110"/>
      <c r="EC123" s="110"/>
      <c r="ED123" s="110"/>
      <c r="EE123" s="110"/>
      <c r="EF123" s="110"/>
      <c r="EG123" s="110"/>
      <c r="EH123" s="110"/>
      <c r="EI123" s="110"/>
      <c r="EJ123" s="110"/>
      <c r="EK123" s="110"/>
      <c r="EL123" s="110"/>
      <c r="EM123" s="110"/>
      <c r="EN123" s="110"/>
      <c r="EO123" s="110"/>
      <c r="EP123" s="110"/>
      <c r="EQ123" s="110"/>
      <c r="ER123" s="110"/>
      <c r="ES123" s="110"/>
      <c r="ET123" s="110"/>
      <c r="EU123" s="110"/>
      <c r="EV123" s="110"/>
      <c r="EW123" s="110"/>
      <c r="EX123" s="110"/>
      <c r="EY123" s="110"/>
      <c r="EZ123" s="110"/>
      <c r="FA123" s="110"/>
      <c r="FB123" s="110"/>
      <c r="FC123" s="110"/>
      <c r="FD123" s="110"/>
      <c r="FE123" s="110"/>
      <c r="FF123" s="110"/>
      <c r="FG123" s="110"/>
      <c r="FH123" s="110"/>
      <c r="FI123" s="110"/>
      <c r="FJ123" s="110"/>
      <c r="FK123" s="110"/>
      <c r="FL123" s="110"/>
      <c r="FM123" s="110"/>
      <c r="FN123" s="110"/>
      <c r="FO123" s="110"/>
      <c r="FP123" s="110"/>
      <c r="FQ123" s="110"/>
      <c r="FR123" s="110"/>
      <c r="FS123" s="110"/>
      <c r="FT123" s="110"/>
      <c r="FU123" s="110"/>
      <c r="FV123" s="110"/>
      <c r="FW123" s="110"/>
      <c r="FX123" s="110"/>
      <c r="FY123" s="110"/>
      <c r="FZ123" s="110"/>
      <c r="GA123" s="110"/>
      <c r="GB123" s="110"/>
      <c r="GC123" s="110"/>
      <c r="GD123" s="110"/>
      <c r="GE123" s="110"/>
      <c r="GF123" s="110"/>
      <c r="GG123" s="110"/>
      <c r="GH123" s="110"/>
      <c r="GI123" s="110"/>
      <c r="GJ123" s="110"/>
      <c r="GK123" s="110"/>
      <c r="GL123" s="110"/>
      <c r="GM123" s="110"/>
      <c r="GN123" s="110"/>
      <c r="GO123" s="110"/>
      <c r="GP123" s="110"/>
      <c r="GQ123" s="110"/>
      <c r="GR123" s="110"/>
      <c r="GS123" s="110"/>
      <c r="GT123" s="110"/>
      <c r="GU123" s="110"/>
      <c r="GV123" s="110"/>
      <c r="GW123" s="110"/>
      <c r="GX123" s="110"/>
      <c r="GY123" s="110"/>
      <c r="GZ123" s="110"/>
      <c r="HA123" s="110"/>
      <c r="HB123" s="110"/>
      <c r="HC123" s="110"/>
      <c r="HD123" s="110"/>
      <c r="HE123" s="110"/>
      <c r="HF123" s="110"/>
      <c r="HG123" s="110"/>
      <c r="HH123" s="110"/>
      <c r="HI123" s="110"/>
      <c r="HJ123" s="110"/>
      <c r="HK123" s="110"/>
      <c r="HL123" s="110"/>
      <c r="HM123" s="110"/>
      <c r="HN123" s="110"/>
      <c r="HO123" s="110"/>
      <c r="HP123" s="110"/>
      <c r="HQ123" s="110"/>
      <c r="HR123" s="110"/>
      <c r="HS123" s="110"/>
      <c r="HT123" s="110"/>
      <c r="HU123" s="110"/>
      <c r="HV123" s="110"/>
      <c r="HW123" s="110"/>
      <c r="HX123" s="110"/>
      <c r="HY123" s="110"/>
      <c r="HZ123" s="110"/>
      <c r="IA123" s="110"/>
      <c r="IB123" s="110"/>
      <c r="IC123" s="110"/>
      <c r="ID123" s="110"/>
      <c r="IE123" s="110"/>
      <c r="IF123" s="110"/>
      <c r="IG123" s="110"/>
      <c r="IH123" s="110"/>
      <c r="II123" s="110"/>
      <c r="IJ123" s="110"/>
      <c r="IK123" s="110"/>
      <c r="IL123" s="110"/>
      <c r="IM123" s="110"/>
      <c r="IN123" s="110"/>
      <c r="IO123" s="110"/>
      <c r="IP123" s="110"/>
      <c r="IQ123" s="110"/>
      <c r="IR123" s="110"/>
      <c r="IS123" s="110"/>
      <c r="IT123" s="110"/>
      <c r="IU123" s="110"/>
      <c r="IV123" s="110"/>
      <c r="IW123" s="110"/>
    </row>
    <row r="124" spans="1:257" x14ac:dyDescent="0.3">
      <c r="A124" s="156"/>
      <c r="B124" s="156"/>
      <c r="C124" s="156"/>
      <c r="D124" s="156"/>
      <c r="E124" s="156"/>
      <c r="F124" s="156"/>
      <c r="G124" s="156"/>
      <c r="H124" s="156"/>
      <c r="I124" s="156"/>
      <c r="J124" s="156"/>
      <c r="K124" s="156"/>
      <c r="L124" s="156"/>
      <c r="M124" s="156"/>
      <c r="N124" s="156"/>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c r="BY124" s="110"/>
      <c r="BZ124" s="110"/>
      <c r="CA124" s="110"/>
      <c r="CB124" s="110"/>
      <c r="CC124" s="110"/>
      <c r="CD124" s="110"/>
      <c r="CE124" s="110"/>
      <c r="CF124" s="110"/>
      <c r="CG124" s="110"/>
      <c r="CH124" s="110"/>
      <c r="CI124" s="110"/>
      <c r="CJ124" s="110"/>
      <c r="CK124" s="110"/>
      <c r="CL124" s="110"/>
      <c r="CM124" s="110"/>
      <c r="CN124" s="110"/>
      <c r="CO124" s="110"/>
      <c r="CP124" s="110"/>
      <c r="CQ124" s="110"/>
      <c r="CR124" s="110"/>
      <c r="CS124" s="110"/>
      <c r="CT124" s="110"/>
      <c r="CU124" s="110"/>
      <c r="CV124" s="110"/>
      <c r="CW124" s="110"/>
      <c r="CX124" s="110"/>
      <c r="CY124" s="110"/>
      <c r="CZ124" s="110"/>
      <c r="DA124" s="110"/>
      <c r="DB124" s="110"/>
      <c r="DC124" s="110"/>
      <c r="DD124" s="110"/>
      <c r="DE124" s="110"/>
      <c r="DF124" s="110"/>
      <c r="DG124" s="110"/>
      <c r="DH124" s="110"/>
      <c r="DI124" s="110"/>
      <c r="DJ124" s="110"/>
      <c r="DK124" s="110"/>
      <c r="DL124" s="110"/>
      <c r="DM124" s="110"/>
      <c r="DN124" s="110"/>
      <c r="DO124" s="110"/>
      <c r="DP124" s="110"/>
      <c r="DQ124" s="110"/>
      <c r="DR124" s="110"/>
      <c r="DS124" s="110"/>
      <c r="DT124" s="110"/>
      <c r="DU124" s="110"/>
      <c r="DV124" s="110"/>
      <c r="DW124" s="110"/>
      <c r="DX124" s="110"/>
      <c r="DY124" s="110"/>
      <c r="DZ124" s="110"/>
      <c r="EA124" s="110"/>
      <c r="EB124" s="110"/>
      <c r="EC124" s="110"/>
      <c r="ED124" s="110"/>
      <c r="EE124" s="110"/>
      <c r="EF124" s="110"/>
      <c r="EG124" s="110"/>
      <c r="EH124" s="110"/>
      <c r="EI124" s="110"/>
      <c r="EJ124" s="110"/>
      <c r="EK124" s="110"/>
      <c r="EL124" s="110"/>
      <c r="EM124" s="110"/>
      <c r="EN124" s="110"/>
      <c r="EO124" s="110"/>
      <c r="EP124" s="110"/>
      <c r="EQ124" s="110"/>
      <c r="ER124" s="110"/>
      <c r="ES124" s="110"/>
      <c r="ET124" s="110"/>
      <c r="EU124" s="110"/>
      <c r="EV124" s="110"/>
      <c r="EW124" s="110"/>
      <c r="EX124" s="110"/>
      <c r="EY124" s="110"/>
      <c r="EZ124" s="110"/>
      <c r="FA124" s="110"/>
      <c r="FB124" s="110"/>
      <c r="FC124" s="110"/>
      <c r="FD124" s="110"/>
      <c r="FE124" s="110"/>
      <c r="FF124" s="110"/>
      <c r="FG124" s="110"/>
      <c r="FH124" s="110"/>
      <c r="FI124" s="110"/>
      <c r="FJ124" s="110"/>
      <c r="FK124" s="110"/>
      <c r="FL124" s="110"/>
      <c r="FM124" s="110"/>
      <c r="FN124" s="110"/>
      <c r="FO124" s="110"/>
      <c r="FP124" s="110"/>
      <c r="FQ124" s="110"/>
      <c r="FR124" s="110"/>
      <c r="FS124" s="110"/>
      <c r="FT124" s="110"/>
      <c r="FU124" s="110"/>
      <c r="FV124" s="110"/>
      <c r="FW124" s="110"/>
      <c r="FX124" s="110"/>
      <c r="FY124" s="110"/>
      <c r="FZ124" s="110"/>
      <c r="GA124" s="110"/>
      <c r="GB124" s="110"/>
      <c r="GC124" s="110"/>
      <c r="GD124" s="110"/>
      <c r="GE124" s="110"/>
      <c r="GF124" s="110"/>
      <c r="GG124" s="110"/>
      <c r="GH124" s="110"/>
      <c r="GI124" s="110"/>
      <c r="GJ124" s="110"/>
      <c r="GK124" s="110"/>
      <c r="GL124" s="110"/>
      <c r="GM124" s="110"/>
      <c r="GN124" s="110"/>
      <c r="GO124" s="110"/>
      <c r="GP124" s="110"/>
      <c r="GQ124" s="110"/>
      <c r="GR124" s="110"/>
      <c r="GS124" s="110"/>
      <c r="GT124" s="110"/>
      <c r="GU124" s="110"/>
      <c r="GV124" s="110"/>
      <c r="GW124" s="110"/>
      <c r="GX124" s="110"/>
      <c r="GY124" s="110"/>
      <c r="GZ124" s="110"/>
      <c r="HA124" s="110"/>
      <c r="HB124" s="110"/>
      <c r="HC124" s="110"/>
      <c r="HD124" s="110"/>
      <c r="HE124" s="110"/>
      <c r="HF124" s="110"/>
      <c r="HG124" s="110"/>
      <c r="HH124" s="110"/>
      <c r="HI124" s="110"/>
      <c r="HJ124" s="110"/>
      <c r="HK124" s="110"/>
      <c r="HL124" s="110"/>
      <c r="HM124" s="110"/>
      <c r="HN124" s="110"/>
      <c r="HO124" s="110"/>
      <c r="HP124" s="110"/>
      <c r="HQ124" s="110"/>
      <c r="HR124" s="110"/>
      <c r="HS124" s="110"/>
      <c r="HT124" s="110"/>
      <c r="HU124" s="110"/>
      <c r="HV124" s="110"/>
      <c r="HW124" s="110"/>
      <c r="HX124" s="110"/>
      <c r="HY124" s="110"/>
      <c r="HZ124" s="110"/>
      <c r="IA124" s="110"/>
      <c r="IB124" s="110"/>
      <c r="IC124" s="110"/>
      <c r="ID124" s="110"/>
      <c r="IE124" s="110"/>
      <c r="IF124" s="110"/>
      <c r="IG124" s="110"/>
      <c r="IH124" s="110"/>
      <c r="II124" s="110"/>
      <c r="IJ124" s="110"/>
      <c r="IK124" s="110"/>
      <c r="IL124" s="110"/>
      <c r="IM124" s="110"/>
      <c r="IN124" s="110"/>
      <c r="IO124" s="110"/>
      <c r="IP124" s="110"/>
      <c r="IQ124" s="110"/>
      <c r="IR124" s="110"/>
      <c r="IS124" s="110"/>
      <c r="IT124" s="110"/>
      <c r="IU124" s="110"/>
      <c r="IV124" s="110"/>
      <c r="IW124" s="110"/>
    </row>
    <row r="125" spans="1:257" x14ac:dyDescent="0.3">
      <c r="A125" s="156"/>
      <c r="B125" s="156"/>
      <c r="C125" s="156"/>
      <c r="D125" s="156"/>
      <c r="E125" s="156"/>
      <c r="F125" s="156"/>
      <c r="G125" s="156"/>
      <c r="H125" s="156"/>
      <c r="I125" s="156"/>
      <c r="J125" s="156"/>
      <c r="K125" s="156"/>
      <c r="L125" s="156"/>
      <c r="M125" s="156"/>
      <c r="N125" s="156"/>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c r="BY125" s="110"/>
      <c r="BZ125" s="110"/>
      <c r="CA125" s="110"/>
      <c r="CB125" s="110"/>
      <c r="CC125" s="110"/>
      <c r="CD125" s="110"/>
      <c r="CE125" s="110"/>
      <c r="CF125" s="110"/>
      <c r="CG125" s="110"/>
      <c r="CH125" s="110"/>
      <c r="CI125" s="110"/>
      <c r="CJ125" s="110"/>
      <c r="CK125" s="110"/>
      <c r="CL125" s="110"/>
      <c r="CM125" s="110"/>
      <c r="CN125" s="110"/>
      <c r="CO125" s="110"/>
      <c r="CP125" s="110"/>
      <c r="CQ125" s="110"/>
      <c r="CR125" s="110"/>
      <c r="CS125" s="110"/>
      <c r="CT125" s="110"/>
      <c r="CU125" s="110"/>
      <c r="CV125" s="110"/>
      <c r="CW125" s="110"/>
      <c r="CX125" s="110"/>
      <c r="CY125" s="110"/>
      <c r="CZ125" s="110"/>
      <c r="DA125" s="110"/>
      <c r="DB125" s="110"/>
      <c r="DC125" s="110"/>
      <c r="DD125" s="110"/>
      <c r="DE125" s="110"/>
      <c r="DF125" s="110"/>
      <c r="DG125" s="110"/>
      <c r="DH125" s="110"/>
      <c r="DI125" s="110"/>
      <c r="DJ125" s="110"/>
      <c r="DK125" s="110"/>
      <c r="DL125" s="110"/>
      <c r="DM125" s="110"/>
      <c r="DN125" s="110"/>
      <c r="DO125" s="110"/>
      <c r="DP125" s="110"/>
      <c r="DQ125" s="110"/>
      <c r="DR125" s="110"/>
      <c r="DS125" s="110"/>
      <c r="DT125" s="110"/>
      <c r="DU125" s="110"/>
      <c r="DV125" s="110"/>
      <c r="DW125" s="110"/>
      <c r="DX125" s="110"/>
      <c r="DY125" s="110"/>
      <c r="DZ125" s="110"/>
      <c r="EA125" s="110"/>
      <c r="EB125" s="110"/>
      <c r="EC125" s="110"/>
      <c r="ED125" s="110"/>
      <c r="EE125" s="110"/>
      <c r="EF125" s="110"/>
      <c r="EG125" s="110"/>
      <c r="EH125" s="110"/>
      <c r="EI125" s="110"/>
      <c r="EJ125" s="110"/>
      <c r="EK125" s="110"/>
      <c r="EL125" s="110"/>
      <c r="EM125" s="110"/>
      <c r="EN125" s="110"/>
      <c r="EO125" s="110"/>
      <c r="EP125" s="110"/>
      <c r="EQ125" s="110"/>
      <c r="ER125" s="110"/>
      <c r="ES125" s="110"/>
      <c r="ET125" s="110"/>
      <c r="EU125" s="110"/>
      <c r="EV125" s="110"/>
      <c r="EW125" s="110"/>
      <c r="EX125" s="110"/>
      <c r="EY125" s="110"/>
      <c r="EZ125" s="110"/>
      <c r="FA125" s="110"/>
      <c r="FB125" s="110"/>
      <c r="FC125" s="110"/>
      <c r="FD125" s="110"/>
      <c r="FE125" s="110"/>
      <c r="FF125" s="110"/>
      <c r="FG125" s="110"/>
      <c r="FH125" s="110"/>
      <c r="FI125" s="110"/>
      <c r="FJ125" s="110"/>
      <c r="FK125" s="110"/>
      <c r="FL125" s="110"/>
      <c r="FM125" s="110"/>
      <c r="FN125" s="110"/>
      <c r="FO125" s="110"/>
      <c r="FP125" s="110"/>
      <c r="FQ125" s="110"/>
      <c r="FR125" s="110"/>
      <c r="FS125" s="110"/>
      <c r="FT125" s="110"/>
      <c r="FU125" s="110"/>
      <c r="FV125" s="110"/>
      <c r="FW125" s="110"/>
      <c r="FX125" s="110"/>
      <c r="FY125" s="110"/>
      <c r="FZ125" s="110"/>
      <c r="GA125" s="110"/>
      <c r="GB125" s="110"/>
      <c r="GC125" s="110"/>
      <c r="GD125" s="110"/>
      <c r="GE125" s="110"/>
      <c r="GF125" s="110"/>
      <c r="GG125" s="110"/>
      <c r="GH125" s="110"/>
      <c r="GI125" s="110"/>
      <c r="GJ125" s="110"/>
      <c r="GK125" s="110"/>
      <c r="GL125" s="110"/>
      <c r="GM125" s="110"/>
      <c r="GN125" s="110"/>
      <c r="GO125" s="110"/>
      <c r="GP125" s="110"/>
      <c r="GQ125" s="110"/>
      <c r="GR125" s="110"/>
      <c r="GS125" s="110"/>
      <c r="GT125" s="110"/>
      <c r="GU125" s="110"/>
      <c r="GV125" s="110"/>
      <c r="GW125" s="110"/>
      <c r="GX125" s="110"/>
      <c r="GY125" s="110"/>
      <c r="GZ125" s="110"/>
      <c r="HA125" s="110"/>
      <c r="HB125" s="110"/>
      <c r="HC125" s="110"/>
      <c r="HD125" s="110"/>
      <c r="HE125" s="110"/>
      <c r="HF125" s="110"/>
      <c r="HG125" s="110"/>
      <c r="HH125" s="110"/>
      <c r="HI125" s="110"/>
      <c r="HJ125" s="110"/>
      <c r="HK125" s="110"/>
      <c r="HL125" s="110"/>
      <c r="HM125" s="110"/>
      <c r="HN125" s="110"/>
      <c r="HO125" s="110"/>
      <c r="HP125" s="110"/>
      <c r="HQ125" s="110"/>
      <c r="HR125" s="110"/>
      <c r="HS125" s="110"/>
      <c r="HT125" s="110"/>
      <c r="HU125" s="110"/>
      <c r="HV125" s="110"/>
      <c r="HW125" s="110"/>
      <c r="HX125" s="110"/>
      <c r="HY125" s="110"/>
      <c r="HZ125" s="110"/>
      <c r="IA125" s="110"/>
      <c r="IB125" s="110"/>
      <c r="IC125" s="110"/>
      <c r="ID125" s="110"/>
      <c r="IE125" s="110"/>
      <c r="IF125" s="110"/>
      <c r="IG125" s="110"/>
      <c r="IH125" s="110"/>
      <c r="II125" s="110"/>
      <c r="IJ125" s="110"/>
      <c r="IK125" s="110"/>
      <c r="IL125" s="110"/>
      <c r="IM125" s="110"/>
      <c r="IN125" s="110"/>
      <c r="IO125" s="110"/>
      <c r="IP125" s="110"/>
      <c r="IQ125" s="110"/>
      <c r="IR125" s="110"/>
      <c r="IS125" s="110"/>
      <c r="IT125" s="110"/>
      <c r="IU125" s="110"/>
      <c r="IV125" s="110"/>
      <c r="IW125" s="110"/>
    </row>
    <row r="126" spans="1:257" x14ac:dyDescent="0.3">
      <c r="A126" s="156"/>
      <c r="B126" s="156"/>
      <c r="C126" s="156"/>
      <c r="D126" s="156"/>
      <c r="E126" s="156"/>
      <c r="F126" s="156"/>
      <c r="G126" s="156"/>
      <c r="H126" s="156"/>
      <c r="I126" s="156"/>
      <c r="J126" s="156"/>
      <c r="K126" s="156"/>
      <c r="L126" s="156"/>
      <c r="M126" s="156"/>
      <c r="N126" s="156"/>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c r="BY126" s="110"/>
      <c r="BZ126" s="110"/>
      <c r="CA126" s="110"/>
      <c r="CB126" s="110"/>
      <c r="CC126" s="110"/>
      <c r="CD126" s="110"/>
      <c r="CE126" s="110"/>
      <c r="CF126" s="110"/>
      <c r="CG126" s="110"/>
      <c r="CH126" s="110"/>
      <c r="CI126" s="110"/>
      <c r="CJ126" s="110"/>
      <c r="CK126" s="110"/>
      <c r="CL126" s="110"/>
      <c r="CM126" s="110"/>
      <c r="CN126" s="110"/>
      <c r="CO126" s="110"/>
      <c r="CP126" s="110"/>
      <c r="CQ126" s="110"/>
      <c r="CR126" s="110"/>
      <c r="CS126" s="110"/>
      <c r="CT126" s="110"/>
      <c r="CU126" s="110"/>
      <c r="CV126" s="110"/>
      <c r="CW126" s="110"/>
      <c r="CX126" s="110"/>
      <c r="CY126" s="110"/>
      <c r="CZ126" s="110"/>
      <c r="DA126" s="110"/>
      <c r="DB126" s="110"/>
      <c r="DC126" s="110"/>
      <c r="DD126" s="110"/>
      <c r="DE126" s="110"/>
      <c r="DF126" s="110"/>
      <c r="DG126" s="110"/>
      <c r="DH126" s="110"/>
      <c r="DI126" s="110"/>
      <c r="DJ126" s="110"/>
      <c r="DK126" s="110"/>
      <c r="DL126" s="110"/>
      <c r="DM126" s="110"/>
      <c r="DN126" s="110"/>
      <c r="DO126" s="110"/>
      <c r="DP126" s="110"/>
      <c r="DQ126" s="110"/>
      <c r="DR126" s="110"/>
      <c r="DS126" s="110"/>
      <c r="DT126" s="110"/>
      <c r="DU126" s="110"/>
      <c r="DV126" s="110"/>
      <c r="DW126" s="110"/>
      <c r="DX126" s="110"/>
      <c r="DY126" s="110"/>
      <c r="DZ126" s="110"/>
      <c r="EA126" s="110"/>
      <c r="EB126" s="110"/>
      <c r="EC126" s="110"/>
      <c r="ED126" s="110"/>
      <c r="EE126" s="110"/>
      <c r="EF126" s="110"/>
      <c r="EG126" s="110"/>
      <c r="EH126" s="110"/>
      <c r="EI126" s="110"/>
      <c r="EJ126" s="110"/>
      <c r="EK126" s="110"/>
      <c r="EL126" s="110"/>
      <c r="EM126" s="110"/>
      <c r="EN126" s="110"/>
      <c r="EO126" s="110"/>
      <c r="EP126" s="110"/>
      <c r="EQ126" s="110"/>
      <c r="ER126" s="110"/>
      <c r="ES126" s="110"/>
      <c r="ET126" s="110"/>
      <c r="EU126" s="110"/>
      <c r="EV126" s="110"/>
      <c r="EW126" s="110"/>
      <c r="EX126" s="110"/>
      <c r="EY126" s="110"/>
      <c r="EZ126" s="110"/>
      <c r="FA126" s="110"/>
      <c r="FB126" s="110"/>
      <c r="FC126" s="110"/>
      <c r="FD126" s="110"/>
      <c r="FE126" s="110"/>
      <c r="FF126" s="110"/>
      <c r="FG126" s="110"/>
      <c r="FH126" s="110"/>
      <c r="FI126" s="110"/>
      <c r="FJ126" s="110"/>
      <c r="FK126" s="110"/>
      <c r="FL126" s="110"/>
      <c r="FM126" s="110"/>
      <c r="FN126" s="110"/>
      <c r="FO126" s="110"/>
      <c r="FP126" s="110"/>
      <c r="FQ126" s="110"/>
      <c r="FR126" s="110"/>
      <c r="FS126" s="110"/>
      <c r="FT126" s="110"/>
      <c r="FU126" s="110"/>
      <c r="FV126" s="110"/>
      <c r="FW126" s="110"/>
      <c r="FX126" s="110"/>
      <c r="FY126" s="110"/>
      <c r="FZ126" s="110"/>
      <c r="GA126" s="110"/>
      <c r="GB126" s="110"/>
      <c r="GC126" s="110"/>
      <c r="GD126" s="110"/>
      <c r="GE126" s="110"/>
      <c r="GF126" s="110"/>
      <c r="GG126" s="110"/>
      <c r="GH126" s="110"/>
      <c r="GI126" s="110"/>
      <c r="GJ126" s="110"/>
      <c r="GK126" s="110"/>
      <c r="GL126" s="110"/>
      <c r="GM126" s="110"/>
      <c r="GN126" s="110"/>
      <c r="GO126" s="110"/>
      <c r="GP126" s="110"/>
      <c r="GQ126" s="110"/>
      <c r="GR126" s="110"/>
      <c r="GS126" s="110"/>
      <c r="GT126" s="110"/>
      <c r="GU126" s="110"/>
      <c r="GV126" s="110"/>
      <c r="GW126" s="110"/>
      <c r="GX126" s="110"/>
      <c r="GY126" s="110"/>
      <c r="GZ126" s="110"/>
      <c r="HA126" s="110"/>
      <c r="HB126" s="110"/>
      <c r="HC126" s="110"/>
      <c r="HD126" s="110"/>
      <c r="HE126" s="110"/>
      <c r="HF126" s="110"/>
      <c r="HG126" s="110"/>
      <c r="HH126" s="110"/>
      <c r="HI126" s="110"/>
      <c r="HJ126" s="110"/>
      <c r="HK126" s="110"/>
      <c r="HL126" s="110"/>
      <c r="HM126" s="110"/>
      <c r="HN126" s="110"/>
      <c r="HO126" s="110"/>
      <c r="HP126" s="110"/>
      <c r="HQ126" s="110"/>
      <c r="HR126" s="110"/>
      <c r="HS126" s="110"/>
      <c r="HT126" s="110"/>
      <c r="HU126" s="110"/>
      <c r="HV126" s="110"/>
      <c r="HW126" s="110"/>
      <c r="HX126" s="110"/>
      <c r="HY126" s="110"/>
      <c r="HZ126" s="110"/>
      <c r="IA126" s="110"/>
      <c r="IB126" s="110"/>
      <c r="IC126" s="110"/>
      <c r="ID126" s="110"/>
      <c r="IE126" s="110"/>
      <c r="IF126" s="110"/>
      <c r="IG126" s="110"/>
      <c r="IH126" s="110"/>
      <c r="II126" s="110"/>
      <c r="IJ126" s="110"/>
      <c r="IK126" s="110"/>
      <c r="IL126" s="110"/>
      <c r="IM126" s="110"/>
      <c r="IN126" s="110"/>
      <c r="IO126" s="110"/>
      <c r="IP126" s="110"/>
      <c r="IQ126" s="110"/>
      <c r="IR126" s="110"/>
      <c r="IS126" s="110"/>
      <c r="IT126" s="110"/>
      <c r="IU126" s="110"/>
      <c r="IV126" s="110"/>
      <c r="IW126" s="110"/>
    </row>
    <row r="127" spans="1:257" x14ac:dyDescent="0.3">
      <c r="A127" s="156"/>
      <c r="B127" s="156"/>
      <c r="C127" s="156"/>
      <c r="D127" s="156"/>
      <c r="E127" s="156"/>
      <c r="F127" s="156"/>
      <c r="G127" s="156"/>
      <c r="H127" s="156"/>
      <c r="I127" s="156"/>
      <c r="J127" s="156"/>
      <c r="K127" s="156"/>
      <c r="L127" s="156"/>
      <c r="M127" s="156"/>
      <c r="N127" s="156"/>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c r="BY127" s="110"/>
      <c r="BZ127" s="110"/>
      <c r="CA127" s="110"/>
      <c r="CB127" s="110"/>
      <c r="CC127" s="110"/>
      <c r="CD127" s="110"/>
      <c r="CE127" s="110"/>
      <c r="CF127" s="110"/>
      <c r="CG127" s="110"/>
      <c r="CH127" s="110"/>
      <c r="CI127" s="110"/>
      <c r="CJ127" s="110"/>
      <c r="CK127" s="110"/>
      <c r="CL127" s="110"/>
      <c r="CM127" s="110"/>
      <c r="CN127" s="110"/>
      <c r="CO127" s="110"/>
      <c r="CP127" s="110"/>
      <c r="CQ127" s="110"/>
      <c r="CR127" s="110"/>
      <c r="CS127" s="110"/>
      <c r="CT127" s="110"/>
      <c r="CU127" s="110"/>
      <c r="CV127" s="110"/>
      <c r="CW127" s="110"/>
      <c r="CX127" s="110"/>
      <c r="CY127" s="110"/>
      <c r="CZ127" s="110"/>
      <c r="DA127" s="110"/>
      <c r="DB127" s="110"/>
      <c r="DC127" s="110"/>
      <c r="DD127" s="110"/>
      <c r="DE127" s="110"/>
      <c r="DF127" s="110"/>
      <c r="DG127" s="110"/>
      <c r="DH127" s="110"/>
      <c r="DI127" s="110"/>
      <c r="DJ127" s="110"/>
      <c r="DK127" s="110"/>
      <c r="DL127" s="110"/>
      <c r="DM127" s="110"/>
      <c r="DN127" s="110"/>
      <c r="DO127" s="110"/>
      <c r="DP127" s="110"/>
      <c r="DQ127" s="110"/>
      <c r="DR127" s="110"/>
      <c r="DS127" s="110"/>
      <c r="DT127" s="110"/>
      <c r="DU127" s="110"/>
      <c r="DV127" s="110"/>
      <c r="DW127" s="110"/>
      <c r="DX127" s="110"/>
      <c r="DY127" s="110"/>
      <c r="DZ127" s="110"/>
      <c r="EA127" s="110"/>
      <c r="EB127" s="110"/>
      <c r="EC127" s="110"/>
      <c r="ED127" s="110"/>
      <c r="EE127" s="110"/>
      <c r="EF127" s="110"/>
      <c r="EG127" s="110"/>
      <c r="EH127" s="110"/>
      <c r="EI127" s="110"/>
      <c r="EJ127" s="110"/>
      <c r="EK127" s="110"/>
      <c r="EL127" s="110"/>
      <c r="EM127" s="110"/>
      <c r="EN127" s="110"/>
      <c r="EO127" s="110"/>
      <c r="EP127" s="110"/>
      <c r="EQ127" s="110"/>
      <c r="ER127" s="110"/>
      <c r="ES127" s="110"/>
      <c r="ET127" s="110"/>
      <c r="EU127" s="110"/>
      <c r="EV127" s="110"/>
      <c r="EW127" s="110"/>
      <c r="EX127" s="110"/>
      <c r="EY127" s="110"/>
      <c r="EZ127" s="110"/>
      <c r="FA127" s="110"/>
      <c r="FB127" s="110"/>
      <c r="FC127" s="110"/>
      <c r="FD127" s="110"/>
      <c r="FE127" s="110"/>
      <c r="FF127" s="110"/>
      <c r="FG127" s="110"/>
      <c r="FH127" s="110"/>
      <c r="FI127" s="110"/>
      <c r="FJ127" s="110"/>
      <c r="FK127" s="110"/>
      <c r="FL127" s="110"/>
      <c r="FM127" s="110"/>
      <c r="FN127" s="110"/>
      <c r="FO127" s="110"/>
      <c r="FP127" s="110"/>
      <c r="FQ127" s="110"/>
      <c r="FR127" s="110"/>
      <c r="FS127" s="110"/>
      <c r="FT127" s="110"/>
      <c r="FU127" s="110"/>
      <c r="FV127" s="110"/>
      <c r="FW127" s="110"/>
      <c r="FX127" s="110"/>
      <c r="FY127" s="110"/>
      <c r="FZ127" s="110"/>
      <c r="GA127" s="110"/>
      <c r="GB127" s="110"/>
      <c r="GC127" s="110"/>
      <c r="GD127" s="110"/>
      <c r="GE127" s="110"/>
      <c r="GF127" s="110"/>
      <c r="GG127" s="110"/>
      <c r="GH127" s="110"/>
      <c r="GI127" s="110"/>
      <c r="GJ127" s="110"/>
      <c r="GK127" s="110"/>
      <c r="GL127" s="110"/>
      <c r="GM127" s="110"/>
      <c r="GN127" s="110"/>
      <c r="GO127" s="110"/>
      <c r="GP127" s="110"/>
      <c r="GQ127" s="110"/>
      <c r="GR127" s="110"/>
      <c r="GS127" s="110"/>
      <c r="GT127" s="110"/>
      <c r="GU127" s="110"/>
      <c r="GV127" s="110"/>
      <c r="GW127" s="110"/>
      <c r="GX127" s="110"/>
      <c r="GY127" s="110"/>
      <c r="GZ127" s="110"/>
      <c r="HA127" s="110"/>
      <c r="HB127" s="110"/>
      <c r="HC127" s="110"/>
      <c r="HD127" s="110"/>
      <c r="HE127" s="110"/>
      <c r="HF127" s="110"/>
      <c r="HG127" s="110"/>
      <c r="HH127" s="110"/>
      <c r="HI127" s="110"/>
      <c r="HJ127" s="110"/>
      <c r="HK127" s="110"/>
      <c r="HL127" s="110"/>
      <c r="HM127" s="110"/>
      <c r="HN127" s="110"/>
      <c r="HO127" s="110"/>
      <c r="HP127" s="110"/>
      <c r="HQ127" s="110"/>
      <c r="HR127" s="110"/>
      <c r="HS127" s="110"/>
      <c r="HT127" s="110"/>
      <c r="HU127" s="110"/>
      <c r="HV127" s="110"/>
      <c r="HW127" s="110"/>
      <c r="HX127" s="110"/>
      <c r="HY127" s="110"/>
      <c r="HZ127" s="110"/>
      <c r="IA127" s="110"/>
      <c r="IB127" s="110"/>
      <c r="IC127" s="110"/>
      <c r="ID127" s="110"/>
      <c r="IE127" s="110"/>
      <c r="IF127" s="110"/>
      <c r="IG127" s="110"/>
      <c r="IH127" s="110"/>
      <c r="II127" s="110"/>
      <c r="IJ127" s="110"/>
      <c r="IK127" s="110"/>
      <c r="IL127" s="110"/>
      <c r="IM127" s="110"/>
      <c r="IN127" s="110"/>
      <c r="IO127" s="110"/>
      <c r="IP127" s="110"/>
      <c r="IQ127" s="110"/>
      <c r="IR127" s="110"/>
      <c r="IS127" s="110"/>
      <c r="IT127" s="110"/>
      <c r="IU127" s="110"/>
      <c r="IV127" s="110"/>
      <c r="IW127" s="110"/>
    </row>
    <row r="128" spans="1:257" x14ac:dyDescent="0.3">
      <c r="A128" s="156"/>
      <c r="B128" s="156"/>
      <c r="C128" s="156"/>
      <c r="D128" s="156"/>
      <c r="E128" s="156"/>
      <c r="F128" s="156"/>
      <c r="G128" s="156"/>
      <c r="H128" s="156"/>
      <c r="I128" s="156"/>
      <c r="J128" s="156"/>
      <c r="K128" s="156"/>
      <c r="L128" s="156"/>
      <c r="M128" s="156"/>
      <c r="N128" s="156"/>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c r="BY128" s="110"/>
      <c r="BZ128" s="110"/>
      <c r="CA128" s="110"/>
      <c r="CB128" s="110"/>
      <c r="CC128" s="110"/>
      <c r="CD128" s="110"/>
      <c r="CE128" s="110"/>
      <c r="CF128" s="110"/>
      <c r="CG128" s="110"/>
      <c r="CH128" s="110"/>
      <c r="CI128" s="110"/>
      <c r="CJ128" s="110"/>
      <c r="CK128" s="110"/>
      <c r="CL128" s="110"/>
      <c r="CM128" s="110"/>
      <c r="CN128" s="110"/>
      <c r="CO128" s="110"/>
      <c r="CP128" s="110"/>
      <c r="CQ128" s="110"/>
      <c r="CR128" s="110"/>
      <c r="CS128" s="110"/>
      <c r="CT128" s="110"/>
      <c r="CU128" s="110"/>
      <c r="CV128" s="110"/>
      <c r="CW128" s="110"/>
      <c r="CX128" s="110"/>
      <c r="CY128" s="110"/>
      <c r="CZ128" s="110"/>
      <c r="DA128" s="110"/>
      <c r="DB128" s="110"/>
      <c r="DC128" s="110"/>
      <c r="DD128" s="110"/>
      <c r="DE128" s="110"/>
      <c r="DF128" s="110"/>
      <c r="DG128" s="110"/>
      <c r="DH128" s="110"/>
      <c r="DI128" s="110"/>
      <c r="DJ128" s="110"/>
      <c r="DK128" s="110"/>
      <c r="DL128" s="110"/>
      <c r="DM128" s="110"/>
      <c r="DN128" s="110"/>
      <c r="DO128" s="110"/>
      <c r="DP128" s="110"/>
      <c r="DQ128" s="110"/>
      <c r="DR128" s="110"/>
      <c r="DS128" s="110"/>
      <c r="DT128" s="110"/>
      <c r="DU128" s="110"/>
      <c r="DV128" s="110"/>
      <c r="DW128" s="110"/>
      <c r="DX128" s="110"/>
      <c r="DY128" s="110"/>
      <c r="DZ128" s="110"/>
      <c r="EA128" s="110"/>
      <c r="EB128" s="110"/>
      <c r="EC128" s="110"/>
      <c r="ED128" s="110"/>
      <c r="EE128" s="110"/>
      <c r="EF128" s="110"/>
      <c r="EG128" s="110"/>
      <c r="EH128" s="110"/>
      <c r="EI128" s="110"/>
      <c r="EJ128" s="110"/>
      <c r="EK128" s="110"/>
      <c r="EL128" s="110"/>
      <c r="EM128" s="110"/>
      <c r="EN128" s="110"/>
      <c r="EO128" s="110"/>
      <c r="EP128" s="110"/>
      <c r="EQ128" s="110"/>
      <c r="ER128" s="110"/>
      <c r="ES128" s="110"/>
      <c r="ET128" s="110"/>
      <c r="EU128" s="110"/>
      <c r="EV128" s="110"/>
      <c r="EW128" s="110"/>
      <c r="EX128" s="110"/>
      <c r="EY128" s="110"/>
      <c r="EZ128" s="110"/>
      <c r="FA128" s="110"/>
      <c r="FB128" s="110"/>
      <c r="FC128" s="110"/>
      <c r="FD128" s="110"/>
      <c r="FE128" s="110"/>
      <c r="FF128" s="110"/>
      <c r="FG128" s="110"/>
      <c r="FH128" s="110"/>
      <c r="FI128" s="110"/>
      <c r="FJ128" s="110"/>
      <c r="FK128" s="110"/>
      <c r="FL128" s="110"/>
      <c r="FM128" s="110"/>
      <c r="FN128" s="110"/>
      <c r="FO128" s="110"/>
      <c r="FP128" s="110"/>
      <c r="FQ128" s="110"/>
      <c r="FR128" s="110"/>
      <c r="FS128" s="110"/>
      <c r="FT128" s="110"/>
      <c r="FU128" s="110"/>
      <c r="FV128" s="110"/>
      <c r="FW128" s="110"/>
      <c r="FX128" s="110"/>
      <c r="FY128" s="110"/>
      <c r="FZ128" s="110"/>
      <c r="GA128" s="110"/>
      <c r="GB128" s="110"/>
      <c r="GC128" s="110"/>
      <c r="GD128" s="110"/>
      <c r="GE128" s="110"/>
      <c r="GF128" s="110"/>
      <c r="GG128" s="110"/>
      <c r="GH128" s="110"/>
      <c r="GI128" s="110"/>
      <c r="GJ128" s="110"/>
      <c r="GK128" s="110"/>
      <c r="GL128" s="110"/>
      <c r="GM128" s="110"/>
      <c r="GN128" s="110"/>
      <c r="GO128" s="110"/>
      <c r="GP128" s="110"/>
      <c r="GQ128" s="110"/>
      <c r="GR128" s="110"/>
      <c r="GS128" s="110"/>
      <c r="GT128" s="110"/>
      <c r="GU128" s="110"/>
      <c r="GV128" s="110"/>
      <c r="GW128" s="110"/>
      <c r="GX128" s="110"/>
      <c r="GY128" s="110"/>
      <c r="GZ128" s="110"/>
      <c r="HA128" s="110"/>
      <c r="HB128" s="110"/>
      <c r="HC128" s="110"/>
      <c r="HD128" s="110"/>
      <c r="HE128" s="110"/>
      <c r="HF128" s="110"/>
      <c r="HG128" s="110"/>
      <c r="HH128" s="110"/>
      <c r="HI128" s="110"/>
      <c r="HJ128" s="110"/>
      <c r="HK128" s="110"/>
      <c r="HL128" s="110"/>
      <c r="HM128" s="110"/>
      <c r="HN128" s="110"/>
      <c r="HO128" s="110"/>
      <c r="HP128" s="110"/>
      <c r="HQ128" s="110"/>
      <c r="HR128" s="110"/>
      <c r="HS128" s="110"/>
      <c r="HT128" s="110"/>
      <c r="HU128" s="110"/>
      <c r="HV128" s="110"/>
      <c r="HW128" s="110"/>
      <c r="HX128" s="110"/>
      <c r="HY128" s="110"/>
      <c r="HZ128" s="110"/>
      <c r="IA128" s="110"/>
      <c r="IB128" s="110"/>
      <c r="IC128" s="110"/>
      <c r="ID128" s="110"/>
      <c r="IE128" s="110"/>
      <c r="IF128" s="110"/>
      <c r="IG128" s="110"/>
      <c r="IH128" s="110"/>
      <c r="II128" s="110"/>
      <c r="IJ128" s="110"/>
      <c r="IK128" s="110"/>
      <c r="IL128" s="110"/>
      <c r="IM128" s="110"/>
      <c r="IN128" s="110"/>
      <c r="IO128" s="110"/>
      <c r="IP128" s="110"/>
      <c r="IQ128" s="110"/>
      <c r="IR128" s="110"/>
      <c r="IS128" s="110"/>
      <c r="IT128" s="110"/>
      <c r="IU128" s="110"/>
      <c r="IV128" s="110"/>
      <c r="IW128" s="110"/>
    </row>
    <row r="129" spans="1:257" x14ac:dyDescent="0.3">
      <c r="A129" s="156"/>
      <c r="B129" s="156"/>
      <c r="C129" s="156"/>
      <c r="D129" s="156"/>
      <c r="E129" s="156"/>
      <c r="F129" s="156"/>
      <c r="G129" s="156"/>
      <c r="H129" s="156"/>
      <c r="I129" s="156"/>
      <c r="J129" s="156"/>
      <c r="K129" s="156"/>
      <c r="L129" s="156"/>
      <c r="M129" s="156"/>
      <c r="N129" s="156"/>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c r="BY129" s="110"/>
      <c r="BZ129" s="110"/>
      <c r="CA129" s="110"/>
      <c r="CB129" s="110"/>
      <c r="CC129" s="110"/>
      <c r="CD129" s="110"/>
      <c r="CE129" s="110"/>
      <c r="CF129" s="110"/>
      <c r="CG129" s="110"/>
      <c r="CH129" s="110"/>
      <c r="CI129" s="110"/>
      <c r="CJ129" s="110"/>
      <c r="CK129" s="110"/>
      <c r="CL129" s="110"/>
      <c r="CM129" s="110"/>
      <c r="CN129" s="110"/>
      <c r="CO129" s="110"/>
      <c r="CP129" s="110"/>
      <c r="CQ129" s="110"/>
      <c r="CR129" s="110"/>
      <c r="CS129" s="110"/>
      <c r="CT129" s="110"/>
      <c r="CU129" s="110"/>
      <c r="CV129" s="110"/>
      <c r="CW129" s="110"/>
      <c r="CX129" s="110"/>
      <c r="CY129" s="110"/>
      <c r="CZ129" s="110"/>
      <c r="DA129" s="110"/>
      <c r="DB129" s="110"/>
      <c r="DC129" s="110"/>
      <c r="DD129" s="110"/>
      <c r="DE129" s="110"/>
      <c r="DF129" s="110"/>
      <c r="DG129" s="110"/>
      <c r="DH129" s="110"/>
      <c r="DI129" s="110"/>
      <c r="DJ129" s="110"/>
      <c r="DK129" s="110"/>
      <c r="DL129" s="110"/>
      <c r="DM129" s="110"/>
      <c r="DN129" s="110"/>
      <c r="DO129" s="110"/>
      <c r="DP129" s="110"/>
      <c r="DQ129" s="110"/>
      <c r="DR129" s="110"/>
      <c r="DS129" s="110"/>
      <c r="DT129" s="110"/>
      <c r="DU129" s="110"/>
      <c r="DV129" s="110"/>
      <c r="DW129" s="110"/>
      <c r="DX129" s="110"/>
      <c r="DY129" s="110"/>
      <c r="DZ129" s="110"/>
      <c r="EA129" s="110"/>
      <c r="EB129" s="110"/>
      <c r="EC129" s="110"/>
      <c r="ED129" s="110"/>
      <c r="EE129" s="110"/>
      <c r="EF129" s="110"/>
      <c r="EG129" s="110"/>
      <c r="EH129" s="110"/>
      <c r="EI129" s="110"/>
      <c r="EJ129" s="110"/>
      <c r="EK129" s="110"/>
      <c r="EL129" s="110"/>
      <c r="EM129" s="110"/>
      <c r="EN129" s="110"/>
      <c r="EO129" s="110"/>
      <c r="EP129" s="110"/>
      <c r="EQ129" s="110"/>
      <c r="ER129" s="110"/>
      <c r="ES129" s="110"/>
      <c r="ET129" s="110"/>
      <c r="EU129" s="110"/>
      <c r="EV129" s="110"/>
      <c r="EW129" s="110"/>
      <c r="EX129" s="110"/>
      <c r="EY129" s="110"/>
      <c r="EZ129" s="110"/>
      <c r="FA129" s="110"/>
      <c r="FB129" s="110"/>
      <c r="FC129" s="110"/>
      <c r="FD129" s="110"/>
      <c r="FE129" s="110"/>
      <c r="FF129" s="110"/>
      <c r="FG129" s="110"/>
      <c r="FH129" s="110"/>
      <c r="FI129" s="110"/>
      <c r="FJ129" s="110"/>
      <c r="FK129" s="110"/>
      <c r="FL129" s="110"/>
      <c r="FM129" s="110"/>
      <c r="FN129" s="110"/>
      <c r="FO129" s="110"/>
      <c r="FP129" s="110"/>
      <c r="FQ129" s="110"/>
      <c r="FR129" s="110"/>
      <c r="FS129" s="110"/>
      <c r="FT129" s="110"/>
      <c r="FU129" s="110"/>
      <c r="FV129" s="110"/>
      <c r="FW129" s="110"/>
      <c r="FX129" s="110"/>
      <c r="FY129" s="110"/>
      <c r="FZ129" s="110"/>
      <c r="GA129" s="110"/>
      <c r="GB129" s="110"/>
      <c r="GC129" s="110"/>
      <c r="GD129" s="110"/>
      <c r="GE129" s="110"/>
      <c r="GF129" s="110"/>
      <c r="GG129" s="110"/>
      <c r="GH129" s="110"/>
      <c r="GI129" s="110"/>
      <c r="GJ129" s="110"/>
      <c r="GK129" s="110"/>
      <c r="GL129" s="110"/>
      <c r="GM129" s="110"/>
      <c r="GN129" s="110"/>
      <c r="GO129" s="110"/>
      <c r="GP129" s="110"/>
      <c r="GQ129" s="110"/>
      <c r="GR129" s="110"/>
      <c r="GS129" s="110"/>
      <c r="GT129" s="110"/>
      <c r="GU129" s="110"/>
      <c r="GV129" s="110"/>
      <c r="GW129" s="110"/>
      <c r="GX129" s="110"/>
      <c r="GY129" s="110"/>
      <c r="GZ129" s="110"/>
      <c r="HA129" s="110"/>
      <c r="HB129" s="110"/>
      <c r="HC129" s="110"/>
      <c r="HD129" s="110"/>
      <c r="HE129" s="110"/>
      <c r="HF129" s="110"/>
      <c r="HG129" s="110"/>
      <c r="HH129" s="110"/>
      <c r="HI129" s="110"/>
      <c r="HJ129" s="110"/>
      <c r="HK129" s="110"/>
      <c r="HL129" s="110"/>
      <c r="HM129" s="110"/>
      <c r="HN129" s="110"/>
      <c r="HO129" s="110"/>
      <c r="HP129" s="110"/>
      <c r="HQ129" s="110"/>
      <c r="HR129" s="110"/>
      <c r="HS129" s="110"/>
      <c r="HT129" s="110"/>
      <c r="HU129" s="110"/>
      <c r="HV129" s="110"/>
      <c r="HW129" s="110"/>
      <c r="HX129" s="110"/>
      <c r="HY129" s="110"/>
      <c r="HZ129" s="110"/>
      <c r="IA129" s="110"/>
      <c r="IB129" s="110"/>
      <c r="IC129" s="110"/>
      <c r="ID129" s="110"/>
      <c r="IE129" s="110"/>
      <c r="IF129" s="110"/>
      <c r="IG129" s="110"/>
      <c r="IH129" s="110"/>
      <c r="II129" s="110"/>
      <c r="IJ129" s="110"/>
      <c r="IK129" s="110"/>
      <c r="IL129" s="110"/>
      <c r="IM129" s="110"/>
      <c r="IN129" s="110"/>
      <c r="IO129" s="110"/>
      <c r="IP129" s="110"/>
      <c r="IQ129" s="110"/>
      <c r="IR129" s="110"/>
      <c r="IS129" s="110"/>
      <c r="IT129" s="110"/>
      <c r="IU129" s="110"/>
      <c r="IV129" s="110"/>
      <c r="IW129" s="110"/>
    </row>
    <row r="130" spans="1:257" x14ac:dyDescent="0.3">
      <c r="A130" s="156"/>
      <c r="B130" s="156"/>
      <c r="C130" s="156"/>
      <c r="D130" s="156"/>
      <c r="E130" s="156"/>
      <c r="F130" s="156"/>
      <c r="G130" s="156"/>
      <c r="H130" s="156"/>
      <c r="I130" s="156"/>
      <c r="J130" s="156"/>
      <c r="K130" s="156"/>
      <c r="L130" s="156"/>
      <c r="M130" s="156"/>
      <c r="N130" s="156"/>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c r="BY130" s="110"/>
      <c r="BZ130" s="110"/>
      <c r="CA130" s="110"/>
      <c r="CB130" s="110"/>
      <c r="CC130" s="110"/>
      <c r="CD130" s="110"/>
      <c r="CE130" s="110"/>
      <c r="CF130" s="110"/>
      <c r="CG130" s="110"/>
      <c r="CH130" s="110"/>
      <c r="CI130" s="110"/>
      <c r="CJ130" s="110"/>
      <c r="CK130" s="110"/>
      <c r="CL130" s="110"/>
      <c r="CM130" s="110"/>
      <c r="CN130" s="110"/>
      <c r="CO130" s="110"/>
      <c r="CP130" s="110"/>
      <c r="CQ130" s="110"/>
      <c r="CR130" s="110"/>
      <c r="CS130" s="110"/>
      <c r="CT130" s="110"/>
      <c r="CU130" s="110"/>
      <c r="CV130" s="110"/>
      <c r="CW130" s="110"/>
      <c r="CX130" s="110"/>
      <c r="CY130" s="110"/>
      <c r="CZ130" s="110"/>
      <c r="DA130" s="110"/>
      <c r="DB130" s="110"/>
      <c r="DC130" s="110"/>
      <c r="DD130" s="110"/>
      <c r="DE130" s="110"/>
      <c r="DF130" s="110"/>
      <c r="DG130" s="110"/>
      <c r="DH130" s="110"/>
      <c r="DI130" s="110"/>
      <c r="DJ130" s="110"/>
      <c r="DK130" s="110"/>
      <c r="DL130" s="110"/>
      <c r="DM130" s="110"/>
      <c r="DN130" s="110"/>
      <c r="DO130" s="110"/>
      <c r="DP130" s="110"/>
      <c r="DQ130" s="110"/>
      <c r="DR130" s="110"/>
      <c r="DS130" s="110"/>
      <c r="DT130" s="110"/>
      <c r="DU130" s="110"/>
      <c r="DV130" s="110"/>
      <c r="DW130" s="110"/>
      <c r="DX130" s="110"/>
      <c r="DY130" s="110"/>
      <c r="DZ130" s="110"/>
      <c r="EA130" s="110"/>
      <c r="EB130" s="110"/>
      <c r="EC130" s="110"/>
      <c r="ED130" s="110"/>
      <c r="EE130" s="110"/>
      <c r="EF130" s="110"/>
      <c r="EG130" s="110"/>
      <c r="EH130" s="110"/>
      <c r="EI130" s="110"/>
      <c r="EJ130" s="110"/>
      <c r="EK130" s="110"/>
      <c r="EL130" s="110"/>
      <c r="EM130" s="110"/>
      <c r="EN130" s="110"/>
      <c r="EO130" s="110"/>
      <c r="EP130" s="110"/>
      <c r="EQ130" s="110"/>
      <c r="ER130" s="110"/>
      <c r="ES130" s="110"/>
      <c r="ET130" s="110"/>
      <c r="EU130" s="110"/>
      <c r="EV130" s="110"/>
      <c r="EW130" s="110"/>
      <c r="EX130" s="110"/>
      <c r="EY130" s="110"/>
      <c r="EZ130" s="110"/>
      <c r="FA130" s="110"/>
      <c r="FB130" s="110"/>
      <c r="FC130" s="110"/>
      <c r="FD130" s="110"/>
      <c r="FE130" s="110"/>
      <c r="FF130" s="110"/>
      <c r="FG130" s="110"/>
      <c r="FH130" s="110"/>
      <c r="FI130" s="110"/>
      <c r="FJ130" s="110"/>
      <c r="FK130" s="110"/>
      <c r="FL130" s="110"/>
      <c r="FM130" s="110"/>
      <c r="FN130" s="110"/>
      <c r="FO130" s="110"/>
      <c r="FP130" s="110"/>
      <c r="FQ130" s="110"/>
      <c r="FR130" s="110"/>
      <c r="FS130" s="110"/>
      <c r="FT130" s="110"/>
      <c r="FU130" s="110"/>
      <c r="FV130" s="110"/>
      <c r="FW130" s="110"/>
      <c r="FX130" s="110"/>
      <c r="FY130" s="110"/>
      <c r="FZ130" s="110"/>
      <c r="GA130" s="110"/>
      <c r="GB130" s="110"/>
      <c r="GC130" s="110"/>
      <c r="GD130" s="110"/>
      <c r="GE130" s="110"/>
      <c r="GF130" s="110"/>
      <c r="GG130" s="110"/>
      <c r="GH130" s="110"/>
      <c r="GI130" s="110"/>
      <c r="GJ130" s="110"/>
      <c r="GK130" s="110"/>
      <c r="GL130" s="110"/>
      <c r="GM130" s="110"/>
      <c r="GN130" s="110"/>
      <c r="GO130" s="110"/>
      <c r="GP130" s="110"/>
      <c r="GQ130" s="110"/>
      <c r="GR130" s="110"/>
      <c r="GS130" s="110"/>
      <c r="GT130" s="110"/>
      <c r="GU130" s="110"/>
      <c r="GV130" s="110"/>
      <c r="GW130" s="110"/>
      <c r="GX130" s="110"/>
      <c r="GY130" s="110"/>
      <c r="GZ130" s="110"/>
      <c r="HA130" s="110"/>
      <c r="HB130" s="110"/>
      <c r="HC130" s="110"/>
      <c r="HD130" s="110"/>
      <c r="HE130" s="110"/>
      <c r="HF130" s="110"/>
      <c r="HG130" s="110"/>
      <c r="HH130" s="110"/>
      <c r="HI130" s="110"/>
      <c r="HJ130" s="110"/>
      <c r="HK130" s="110"/>
      <c r="HL130" s="110"/>
      <c r="HM130" s="110"/>
      <c r="HN130" s="110"/>
      <c r="HO130" s="110"/>
      <c r="HP130" s="110"/>
      <c r="HQ130" s="110"/>
      <c r="HR130" s="110"/>
      <c r="HS130" s="110"/>
      <c r="HT130" s="110"/>
      <c r="HU130" s="110"/>
      <c r="HV130" s="110"/>
      <c r="HW130" s="110"/>
      <c r="HX130" s="110"/>
      <c r="HY130" s="110"/>
      <c r="HZ130" s="110"/>
      <c r="IA130" s="110"/>
      <c r="IB130" s="110"/>
      <c r="IC130" s="110"/>
      <c r="ID130" s="110"/>
      <c r="IE130" s="110"/>
      <c r="IF130" s="110"/>
      <c r="IG130" s="110"/>
      <c r="IH130" s="110"/>
      <c r="II130" s="110"/>
      <c r="IJ130" s="110"/>
      <c r="IK130" s="110"/>
      <c r="IL130" s="110"/>
      <c r="IM130" s="110"/>
      <c r="IN130" s="110"/>
      <c r="IO130" s="110"/>
      <c r="IP130" s="110"/>
      <c r="IQ130" s="110"/>
      <c r="IR130" s="110"/>
      <c r="IS130" s="110"/>
      <c r="IT130" s="110"/>
      <c r="IU130" s="110"/>
      <c r="IV130" s="110"/>
      <c r="IW130" s="110"/>
    </row>
    <row r="131" spans="1:257" x14ac:dyDescent="0.3">
      <c r="A131" s="156"/>
      <c r="B131" s="156"/>
      <c r="C131" s="156"/>
      <c r="D131" s="156"/>
      <c r="E131" s="156"/>
      <c r="F131" s="156"/>
      <c r="G131" s="156"/>
      <c r="H131" s="156"/>
      <c r="I131" s="156"/>
      <c r="J131" s="156"/>
      <c r="K131" s="156"/>
      <c r="L131" s="156"/>
      <c r="M131" s="156"/>
      <c r="N131" s="156"/>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c r="BY131" s="110"/>
      <c r="BZ131" s="110"/>
      <c r="CA131" s="110"/>
      <c r="CB131" s="110"/>
      <c r="CC131" s="110"/>
      <c r="CD131" s="110"/>
      <c r="CE131" s="110"/>
      <c r="CF131" s="110"/>
      <c r="CG131" s="110"/>
      <c r="CH131" s="110"/>
      <c r="CI131" s="110"/>
      <c r="CJ131" s="110"/>
      <c r="CK131" s="110"/>
      <c r="CL131" s="110"/>
      <c r="CM131" s="110"/>
      <c r="CN131" s="110"/>
      <c r="CO131" s="110"/>
      <c r="CP131" s="110"/>
      <c r="CQ131" s="110"/>
      <c r="CR131" s="110"/>
      <c r="CS131" s="110"/>
      <c r="CT131" s="110"/>
      <c r="CU131" s="110"/>
      <c r="CV131" s="110"/>
      <c r="CW131" s="110"/>
      <c r="CX131" s="110"/>
      <c r="CY131" s="110"/>
      <c r="CZ131" s="110"/>
      <c r="DA131" s="110"/>
      <c r="DB131" s="110"/>
      <c r="DC131" s="110"/>
      <c r="DD131" s="110"/>
      <c r="DE131" s="110"/>
      <c r="DF131" s="110"/>
      <c r="DG131" s="110"/>
      <c r="DH131" s="110"/>
      <c r="DI131" s="110"/>
      <c r="DJ131" s="110"/>
      <c r="DK131" s="110"/>
      <c r="DL131" s="110"/>
      <c r="DM131" s="110"/>
      <c r="DN131" s="110"/>
      <c r="DO131" s="110"/>
      <c r="DP131" s="110"/>
      <c r="DQ131" s="110"/>
      <c r="DR131" s="110"/>
      <c r="DS131" s="110"/>
      <c r="DT131" s="110"/>
      <c r="DU131" s="110"/>
      <c r="DV131" s="110"/>
      <c r="DW131" s="110"/>
      <c r="DX131" s="110"/>
      <c r="DY131" s="110"/>
      <c r="DZ131" s="110"/>
      <c r="EA131" s="110"/>
      <c r="EB131" s="110"/>
      <c r="EC131" s="110"/>
      <c r="ED131" s="110"/>
      <c r="EE131" s="110"/>
      <c r="EF131" s="110"/>
      <c r="EG131" s="110"/>
      <c r="EH131" s="110"/>
      <c r="EI131" s="110"/>
      <c r="EJ131" s="110"/>
      <c r="EK131" s="110"/>
      <c r="EL131" s="110"/>
      <c r="EM131" s="110"/>
      <c r="EN131" s="110"/>
      <c r="EO131" s="110"/>
      <c r="EP131" s="110"/>
      <c r="EQ131" s="110"/>
      <c r="ER131" s="110"/>
      <c r="ES131" s="110"/>
      <c r="ET131" s="110"/>
      <c r="EU131" s="110"/>
      <c r="EV131" s="110"/>
      <c r="EW131" s="110"/>
      <c r="EX131" s="110"/>
      <c r="EY131" s="110"/>
      <c r="EZ131" s="110"/>
      <c r="FA131" s="110"/>
      <c r="FB131" s="110"/>
      <c r="FC131" s="110"/>
      <c r="FD131" s="110"/>
      <c r="FE131" s="110"/>
      <c r="FF131" s="110"/>
      <c r="FG131" s="110"/>
      <c r="FH131" s="110"/>
      <c r="FI131" s="110"/>
      <c r="FJ131" s="110"/>
      <c r="FK131" s="110"/>
      <c r="FL131" s="110"/>
      <c r="FM131" s="110"/>
      <c r="FN131" s="110"/>
      <c r="FO131" s="110"/>
      <c r="FP131" s="110"/>
      <c r="FQ131" s="110"/>
      <c r="FR131" s="110"/>
      <c r="FS131" s="110"/>
      <c r="FT131" s="110"/>
      <c r="FU131" s="110"/>
      <c r="FV131" s="110"/>
      <c r="FW131" s="110"/>
      <c r="FX131" s="110"/>
      <c r="FY131" s="110"/>
      <c r="FZ131" s="110"/>
      <c r="GA131" s="110"/>
      <c r="GB131" s="110"/>
      <c r="GC131" s="110"/>
      <c r="GD131" s="110"/>
      <c r="GE131" s="110"/>
      <c r="GF131" s="110"/>
      <c r="GG131" s="110"/>
      <c r="GH131" s="110"/>
      <c r="GI131" s="110"/>
      <c r="GJ131" s="110"/>
      <c r="GK131" s="110"/>
      <c r="GL131" s="110"/>
      <c r="GM131" s="110"/>
      <c r="GN131" s="110"/>
      <c r="GO131" s="110"/>
      <c r="GP131" s="110"/>
      <c r="GQ131" s="110"/>
      <c r="GR131" s="110"/>
      <c r="GS131" s="110"/>
      <c r="GT131" s="110"/>
      <c r="GU131" s="110"/>
      <c r="GV131" s="110"/>
      <c r="GW131" s="110"/>
      <c r="GX131" s="110"/>
      <c r="GY131" s="110"/>
      <c r="GZ131" s="110"/>
      <c r="HA131" s="110"/>
      <c r="HB131" s="110"/>
      <c r="HC131" s="110"/>
      <c r="HD131" s="110"/>
      <c r="HE131" s="110"/>
      <c r="HF131" s="110"/>
      <c r="HG131" s="110"/>
      <c r="HH131" s="110"/>
      <c r="HI131" s="110"/>
      <c r="HJ131" s="110"/>
      <c r="HK131" s="110"/>
      <c r="HL131" s="110"/>
      <c r="HM131" s="110"/>
      <c r="HN131" s="110"/>
      <c r="HO131" s="110"/>
      <c r="HP131" s="110"/>
      <c r="HQ131" s="110"/>
      <c r="HR131" s="110"/>
      <c r="HS131" s="110"/>
      <c r="HT131" s="110"/>
      <c r="HU131" s="110"/>
      <c r="HV131" s="110"/>
      <c r="HW131" s="110"/>
      <c r="HX131" s="110"/>
      <c r="HY131" s="110"/>
      <c r="HZ131" s="110"/>
      <c r="IA131" s="110"/>
      <c r="IB131" s="110"/>
      <c r="IC131" s="110"/>
      <c r="ID131" s="110"/>
      <c r="IE131" s="110"/>
      <c r="IF131" s="110"/>
      <c r="IG131" s="110"/>
      <c r="IH131" s="110"/>
      <c r="II131" s="110"/>
      <c r="IJ131" s="110"/>
      <c r="IK131" s="110"/>
      <c r="IL131" s="110"/>
      <c r="IM131" s="110"/>
      <c r="IN131" s="110"/>
      <c r="IO131" s="110"/>
      <c r="IP131" s="110"/>
      <c r="IQ131" s="110"/>
      <c r="IR131" s="110"/>
      <c r="IS131" s="110"/>
      <c r="IT131" s="110"/>
      <c r="IU131" s="110"/>
      <c r="IV131" s="110"/>
      <c r="IW131" s="110"/>
    </row>
    <row r="132" spans="1:257" x14ac:dyDescent="0.3">
      <c r="A132" s="156"/>
      <c r="B132" s="156"/>
      <c r="C132" s="156"/>
      <c r="D132" s="156"/>
      <c r="E132" s="156"/>
      <c r="F132" s="156"/>
      <c r="G132" s="156"/>
      <c r="H132" s="156"/>
      <c r="I132" s="156"/>
      <c r="J132" s="156"/>
      <c r="K132" s="156"/>
      <c r="L132" s="156"/>
      <c r="M132" s="156"/>
      <c r="N132" s="156"/>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c r="BY132" s="110"/>
      <c r="BZ132" s="110"/>
      <c r="CA132" s="110"/>
      <c r="CB132" s="110"/>
      <c r="CC132" s="110"/>
      <c r="CD132" s="110"/>
      <c r="CE132" s="110"/>
      <c r="CF132" s="110"/>
      <c r="CG132" s="110"/>
      <c r="CH132" s="110"/>
      <c r="CI132" s="110"/>
      <c r="CJ132" s="110"/>
      <c r="CK132" s="110"/>
      <c r="CL132" s="110"/>
      <c r="CM132" s="110"/>
      <c r="CN132" s="110"/>
      <c r="CO132" s="110"/>
      <c r="CP132" s="110"/>
      <c r="CQ132" s="110"/>
      <c r="CR132" s="110"/>
      <c r="CS132" s="110"/>
      <c r="CT132" s="110"/>
      <c r="CU132" s="110"/>
      <c r="CV132" s="110"/>
      <c r="CW132" s="110"/>
      <c r="CX132" s="110"/>
      <c r="CY132" s="110"/>
      <c r="CZ132" s="110"/>
      <c r="DA132" s="110"/>
      <c r="DB132" s="110"/>
      <c r="DC132" s="110"/>
      <c r="DD132" s="110"/>
      <c r="DE132" s="110"/>
      <c r="DF132" s="110"/>
      <c r="DG132" s="110"/>
      <c r="DH132" s="110"/>
      <c r="DI132" s="110"/>
      <c r="DJ132" s="110"/>
      <c r="DK132" s="110"/>
      <c r="DL132" s="110"/>
      <c r="DM132" s="110"/>
      <c r="DN132" s="110"/>
      <c r="DO132" s="110"/>
      <c r="DP132" s="110"/>
      <c r="DQ132" s="110"/>
      <c r="DR132" s="110"/>
      <c r="DS132" s="110"/>
      <c r="DT132" s="110"/>
      <c r="DU132" s="110"/>
      <c r="DV132" s="110"/>
      <c r="DW132" s="110"/>
      <c r="DX132" s="110"/>
      <c r="DY132" s="110"/>
      <c r="DZ132" s="110"/>
      <c r="EA132" s="110"/>
      <c r="EB132" s="110"/>
      <c r="EC132" s="110"/>
      <c r="ED132" s="110"/>
      <c r="EE132" s="110"/>
      <c r="EF132" s="110"/>
      <c r="EG132" s="110"/>
      <c r="EH132" s="110"/>
      <c r="EI132" s="110"/>
      <c r="EJ132" s="110"/>
      <c r="EK132" s="110"/>
      <c r="EL132" s="110"/>
      <c r="EM132" s="110"/>
      <c r="EN132" s="110"/>
      <c r="EO132" s="110"/>
      <c r="EP132" s="110"/>
      <c r="EQ132" s="110"/>
      <c r="ER132" s="110"/>
      <c r="ES132" s="110"/>
      <c r="ET132" s="110"/>
      <c r="EU132" s="110"/>
      <c r="EV132" s="110"/>
      <c r="EW132" s="110"/>
      <c r="EX132" s="110"/>
      <c r="EY132" s="110"/>
      <c r="EZ132" s="110"/>
      <c r="FA132" s="110"/>
      <c r="FB132" s="110"/>
      <c r="FC132" s="110"/>
      <c r="FD132" s="110"/>
      <c r="FE132" s="110"/>
      <c r="FF132" s="110"/>
      <c r="FG132" s="110"/>
      <c r="FH132" s="110"/>
      <c r="FI132" s="110"/>
      <c r="FJ132" s="110"/>
      <c r="FK132" s="110"/>
      <c r="FL132" s="110"/>
      <c r="FM132" s="110"/>
      <c r="FN132" s="110"/>
      <c r="FO132" s="110"/>
      <c r="FP132" s="110"/>
      <c r="FQ132" s="110"/>
      <c r="FR132" s="110"/>
      <c r="FS132" s="110"/>
      <c r="FT132" s="110"/>
      <c r="FU132" s="110"/>
      <c r="FV132" s="110"/>
      <c r="FW132" s="110"/>
      <c r="FX132" s="110"/>
      <c r="FY132" s="110"/>
      <c r="FZ132" s="110"/>
      <c r="GA132" s="110"/>
      <c r="GB132" s="110"/>
      <c r="GC132" s="110"/>
      <c r="GD132" s="110"/>
      <c r="GE132" s="110"/>
      <c r="GF132" s="110"/>
      <c r="GG132" s="110"/>
      <c r="GH132" s="110"/>
      <c r="GI132" s="110"/>
      <c r="GJ132" s="110"/>
      <c r="GK132" s="110"/>
      <c r="GL132" s="110"/>
      <c r="GM132" s="110"/>
      <c r="GN132" s="110"/>
      <c r="GO132" s="110"/>
      <c r="GP132" s="110"/>
      <c r="GQ132" s="110"/>
      <c r="GR132" s="110"/>
      <c r="GS132" s="110"/>
      <c r="GT132" s="110"/>
      <c r="GU132" s="110"/>
      <c r="GV132" s="110"/>
      <c r="GW132" s="110"/>
      <c r="GX132" s="110"/>
      <c r="GY132" s="110"/>
      <c r="GZ132" s="110"/>
      <c r="HA132" s="110"/>
      <c r="HB132" s="110"/>
      <c r="HC132" s="110"/>
      <c r="HD132" s="110"/>
      <c r="HE132" s="110"/>
      <c r="HF132" s="110"/>
      <c r="HG132" s="110"/>
      <c r="HH132" s="110"/>
      <c r="HI132" s="110"/>
      <c r="HJ132" s="110"/>
      <c r="HK132" s="110"/>
      <c r="HL132" s="110"/>
      <c r="HM132" s="110"/>
      <c r="HN132" s="110"/>
      <c r="HO132" s="110"/>
      <c r="HP132" s="110"/>
      <c r="HQ132" s="110"/>
      <c r="HR132" s="110"/>
      <c r="HS132" s="110"/>
      <c r="HT132" s="110"/>
      <c r="HU132" s="110"/>
      <c r="HV132" s="110"/>
      <c r="HW132" s="110"/>
      <c r="HX132" s="110"/>
      <c r="HY132" s="110"/>
      <c r="HZ132" s="110"/>
      <c r="IA132" s="110"/>
      <c r="IB132" s="110"/>
      <c r="IC132" s="110"/>
      <c r="ID132" s="110"/>
      <c r="IE132" s="110"/>
      <c r="IF132" s="110"/>
      <c r="IG132" s="110"/>
      <c r="IH132" s="110"/>
      <c r="II132" s="110"/>
      <c r="IJ132" s="110"/>
      <c r="IK132" s="110"/>
      <c r="IL132" s="110"/>
      <c r="IM132" s="110"/>
      <c r="IN132" s="110"/>
      <c r="IO132" s="110"/>
      <c r="IP132" s="110"/>
      <c r="IQ132" s="110"/>
      <c r="IR132" s="110"/>
      <c r="IS132" s="110"/>
      <c r="IT132" s="110"/>
      <c r="IU132" s="110"/>
      <c r="IV132" s="110"/>
      <c r="IW132" s="110"/>
    </row>
    <row r="133" spans="1:257" x14ac:dyDescent="0.3">
      <c r="A133" s="156"/>
      <c r="B133" s="156"/>
      <c r="C133" s="156"/>
      <c r="D133" s="156"/>
      <c r="E133" s="156"/>
      <c r="F133" s="156"/>
      <c r="G133" s="156"/>
      <c r="H133" s="156"/>
      <c r="I133" s="156"/>
      <c r="J133" s="156"/>
      <c r="K133" s="156"/>
      <c r="L133" s="156"/>
      <c r="M133" s="156"/>
      <c r="N133" s="156"/>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c r="BY133" s="110"/>
      <c r="BZ133" s="110"/>
      <c r="CA133" s="110"/>
      <c r="CB133" s="110"/>
      <c r="CC133" s="110"/>
      <c r="CD133" s="110"/>
      <c r="CE133" s="110"/>
      <c r="CF133" s="110"/>
      <c r="CG133" s="110"/>
      <c r="CH133" s="110"/>
      <c r="CI133" s="110"/>
      <c r="CJ133" s="110"/>
      <c r="CK133" s="110"/>
      <c r="CL133" s="110"/>
      <c r="CM133" s="110"/>
      <c r="CN133" s="110"/>
      <c r="CO133" s="110"/>
      <c r="CP133" s="110"/>
      <c r="CQ133" s="110"/>
      <c r="CR133" s="110"/>
      <c r="CS133" s="110"/>
      <c r="CT133" s="110"/>
      <c r="CU133" s="110"/>
      <c r="CV133" s="110"/>
      <c r="CW133" s="110"/>
      <c r="CX133" s="110"/>
      <c r="CY133" s="110"/>
      <c r="CZ133" s="110"/>
      <c r="DA133" s="110"/>
      <c r="DB133" s="110"/>
      <c r="DC133" s="110"/>
      <c r="DD133" s="110"/>
      <c r="DE133" s="110"/>
      <c r="DF133" s="110"/>
      <c r="DG133" s="110"/>
      <c r="DH133" s="110"/>
      <c r="DI133" s="110"/>
      <c r="DJ133" s="110"/>
      <c r="DK133" s="110"/>
      <c r="DL133" s="110"/>
      <c r="DM133" s="110"/>
      <c r="DN133" s="110"/>
      <c r="DO133" s="110"/>
      <c r="DP133" s="110"/>
      <c r="DQ133" s="110"/>
      <c r="DR133" s="110"/>
      <c r="DS133" s="110"/>
      <c r="DT133" s="110"/>
      <c r="DU133" s="110"/>
      <c r="DV133" s="110"/>
      <c r="DW133" s="110"/>
      <c r="DX133" s="110"/>
      <c r="DY133" s="110"/>
      <c r="DZ133" s="110"/>
      <c r="EA133" s="110"/>
      <c r="EB133" s="110"/>
      <c r="EC133" s="110"/>
      <c r="ED133" s="110"/>
      <c r="EE133" s="110"/>
      <c r="EF133" s="110"/>
      <c r="EG133" s="110"/>
      <c r="EH133" s="110"/>
      <c r="EI133" s="110"/>
      <c r="EJ133" s="110"/>
      <c r="EK133" s="110"/>
      <c r="EL133" s="110"/>
      <c r="EM133" s="110"/>
      <c r="EN133" s="110"/>
      <c r="EO133" s="110"/>
      <c r="EP133" s="110"/>
      <c r="EQ133" s="110"/>
      <c r="ER133" s="110"/>
      <c r="ES133" s="110"/>
      <c r="ET133" s="110"/>
      <c r="EU133" s="110"/>
      <c r="EV133" s="110"/>
      <c r="EW133" s="110"/>
      <c r="EX133" s="110"/>
      <c r="EY133" s="110"/>
      <c r="EZ133" s="110"/>
      <c r="FA133" s="110"/>
      <c r="FB133" s="110"/>
      <c r="FC133" s="110"/>
      <c r="FD133" s="110"/>
      <c r="FE133" s="110"/>
      <c r="FF133" s="110"/>
      <c r="FG133" s="110"/>
      <c r="FH133" s="110"/>
      <c r="FI133" s="110"/>
      <c r="FJ133" s="110"/>
      <c r="FK133" s="110"/>
      <c r="FL133" s="110"/>
      <c r="FM133" s="110"/>
      <c r="FN133" s="110"/>
      <c r="FO133" s="110"/>
      <c r="FP133" s="110"/>
      <c r="FQ133" s="110"/>
      <c r="FR133" s="110"/>
      <c r="FS133" s="110"/>
      <c r="FT133" s="110"/>
      <c r="FU133" s="110"/>
      <c r="FV133" s="110"/>
      <c r="FW133" s="110"/>
      <c r="FX133" s="110"/>
      <c r="FY133" s="110"/>
      <c r="FZ133" s="110"/>
      <c r="GA133" s="110"/>
      <c r="GB133" s="110"/>
      <c r="GC133" s="110"/>
      <c r="GD133" s="110"/>
      <c r="GE133" s="110"/>
      <c r="GF133" s="110"/>
      <c r="GG133" s="110"/>
      <c r="GH133" s="110"/>
      <c r="GI133" s="110"/>
      <c r="GJ133" s="110"/>
      <c r="GK133" s="110"/>
      <c r="GL133" s="110"/>
      <c r="GM133" s="110"/>
      <c r="GN133" s="110"/>
      <c r="GO133" s="110"/>
      <c r="GP133" s="110"/>
      <c r="GQ133" s="110"/>
      <c r="GR133" s="110"/>
      <c r="GS133" s="110"/>
      <c r="GT133" s="110"/>
      <c r="GU133" s="110"/>
      <c r="GV133" s="110"/>
      <c r="GW133" s="110"/>
      <c r="GX133" s="110"/>
      <c r="GY133" s="110"/>
      <c r="GZ133" s="110"/>
      <c r="HA133" s="110"/>
      <c r="HB133" s="110"/>
      <c r="HC133" s="110"/>
      <c r="HD133" s="110"/>
      <c r="HE133" s="110"/>
      <c r="HF133" s="110"/>
      <c r="HG133" s="110"/>
      <c r="HH133" s="110"/>
      <c r="HI133" s="110"/>
      <c r="HJ133" s="110"/>
      <c r="HK133" s="110"/>
      <c r="HL133" s="110"/>
      <c r="HM133" s="110"/>
      <c r="HN133" s="110"/>
      <c r="HO133" s="110"/>
      <c r="HP133" s="110"/>
      <c r="HQ133" s="110"/>
      <c r="HR133" s="110"/>
      <c r="HS133" s="110"/>
      <c r="HT133" s="110"/>
      <c r="HU133" s="110"/>
      <c r="HV133" s="110"/>
      <c r="HW133" s="110"/>
      <c r="HX133" s="110"/>
      <c r="HY133" s="110"/>
      <c r="HZ133" s="110"/>
      <c r="IA133" s="110"/>
      <c r="IB133" s="110"/>
      <c r="IC133" s="110"/>
      <c r="ID133" s="110"/>
      <c r="IE133" s="110"/>
      <c r="IF133" s="110"/>
      <c r="IG133" s="110"/>
      <c r="IH133" s="110"/>
      <c r="II133" s="110"/>
      <c r="IJ133" s="110"/>
      <c r="IK133" s="110"/>
      <c r="IL133" s="110"/>
      <c r="IM133" s="110"/>
      <c r="IN133" s="110"/>
      <c r="IO133" s="110"/>
      <c r="IP133" s="110"/>
      <c r="IQ133" s="110"/>
      <c r="IR133" s="110"/>
      <c r="IS133" s="110"/>
      <c r="IT133" s="110"/>
      <c r="IU133" s="110"/>
      <c r="IV133" s="110"/>
      <c r="IW133" s="110"/>
    </row>
  </sheetData>
  <sortState xmlns:xlrd2="http://schemas.microsoft.com/office/spreadsheetml/2017/richdata2" ref="I6:L45">
    <sortCondition descending="1" ref="L6:L45"/>
  </sortState>
  <mergeCells count="1">
    <mergeCell ref="B1:M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26</vt:i4>
      </vt:variant>
      <vt:variant>
        <vt:lpstr>Charts</vt:lpstr>
      </vt:variant>
      <vt:variant>
        <vt:i4>2</vt:i4>
      </vt:variant>
      <vt:variant>
        <vt:lpstr>Named Ranges</vt:lpstr>
      </vt:variant>
      <vt:variant>
        <vt:i4>268</vt:i4>
      </vt:variant>
    </vt:vector>
  </HeadingPairs>
  <TitlesOfParts>
    <vt:vector size="296" baseType="lpstr">
      <vt:lpstr>Search terms</vt:lpstr>
      <vt:lpstr>Management protocol</vt:lpstr>
      <vt:lpstr>PSG tree figure</vt:lpstr>
      <vt:lpstr>Comparator tree figure</vt:lpstr>
      <vt:lpstr>Demographics</vt:lpstr>
      <vt:lpstr>Cost</vt:lpstr>
      <vt:lpstr>Utilities</vt:lpstr>
      <vt:lpstr>DALYs</vt:lpstr>
      <vt:lpstr>DALY - SB</vt:lpstr>
      <vt:lpstr>DALY - CLD</vt:lpstr>
      <vt:lpstr>DALY - motor impairement</vt:lpstr>
      <vt:lpstr>Base case probabilities</vt:lpstr>
      <vt:lpstr>(A) Grant and ANC coverage</vt:lpstr>
      <vt:lpstr>(B) Preterm</vt:lpstr>
      <vt:lpstr>(C) LBW</vt:lpstr>
      <vt:lpstr>(D) RDS, NEC, Sepsis</vt:lpstr>
      <vt:lpstr>DT1</vt:lpstr>
      <vt:lpstr>Parameters</vt:lpstr>
      <vt:lpstr>Analysis</vt:lpstr>
      <vt:lpstr>Decision tree</vt:lpstr>
      <vt:lpstr>Output</vt:lpstr>
      <vt:lpstr>Parameter Values</vt:lpstr>
      <vt:lpstr>Simulation</vt:lpstr>
      <vt:lpstr>Tornado diagram</vt:lpstr>
      <vt:lpstr>WTP vs INMB</vt:lpstr>
      <vt:lpstr>Tornado diagram - INMB</vt:lpstr>
      <vt:lpstr>inc CE plane</vt:lpstr>
      <vt:lpstr>CEA curve</vt:lpstr>
      <vt:lpstr>Adult_births</vt:lpstr>
      <vt:lpstr>AGA_prem_2d_1</vt:lpstr>
      <vt:lpstr>AGA_prem_2d_2</vt:lpstr>
      <vt:lpstr>AGA_prem_2d_3</vt:lpstr>
      <vt:lpstr>AGA_prem_2d_4</vt:lpstr>
      <vt:lpstr>AGA_prem_2hypoglycaemia_1</vt:lpstr>
      <vt:lpstr>AGA_prem_2hypoglycaemia_2</vt:lpstr>
      <vt:lpstr>AGA_prem_2hypoglycaemia_3</vt:lpstr>
      <vt:lpstr>AGA_prem_2hypoglycaemia_4</vt:lpstr>
      <vt:lpstr>AGA_prem_2normoglycaemia_1</vt:lpstr>
      <vt:lpstr>AGA_prem_2normoglycaemia_2</vt:lpstr>
      <vt:lpstr>AGA_prem_2normoglycaemia_3</vt:lpstr>
      <vt:lpstr>AGA_prem_2normoglycaemia_4</vt:lpstr>
      <vt:lpstr>AGA_prem_2s_1</vt:lpstr>
      <vt:lpstr>AGA_prem_2s_2</vt:lpstr>
      <vt:lpstr>AGA_prem_2s_3</vt:lpstr>
      <vt:lpstr>AGA_prem_2s_4</vt:lpstr>
      <vt:lpstr>AGA_term_2d_1</vt:lpstr>
      <vt:lpstr>AGA_term_2d_2</vt:lpstr>
      <vt:lpstr>AGA_term_2d_3</vt:lpstr>
      <vt:lpstr>AGA_term_2d_4</vt:lpstr>
      <vt:lpstr>AGA_term_2hypoglycaemia_1</vt:lpstr>
      <vt:lpstr>AGA_term_2hypoglycaemia_2</vt:lpstr>
      <vt:lpstr>AGA_term_2hypoglycaemia_3</vt:lpstr>
      <vt:lpstr>AGA_term_2hypoglycaemia_4</vt:lpstr>
      <vt:lpstr>AGA_term_2normoglycaemia_1</vt:lpstr>
      <vt:lpstr>AGA_term_2normoglycaemia_2</vt:lpstr>
      <vt:lpstr>AGA_term_2normoglycaemia_3</vt:lpstr>
      <vt:lpstr>AGA_term_2normoglycaemia_4</vt:lpstr>
      <vt:lpstr>AGA_term_2s_1</vt:lpstr>
      <vt:lpstr>AGA_term_2s_2</vt:lpstr>
      <vt:lpstr>AGA_term_2s_3</vt:lpstr>
      <vt:lpstr>AGA_term_2s_4</vt:lpstr>
      <vt:lpstr>ANC_cost</vt:lpstr>
      <vt:lpstr>ANC_first_visit</vt:lpstr>
      <vt:lpstr>ANC_first_visit_coverage_rate</vt:lpstr>
      <vt:lpstr>ANC2LB_1</vt:lpstr>
      <vt:lpstr>ANC2LB_3</vt:lpstr>
      <vt:lpstr>ANC2prem_1</vt:lpstr>
      <vt:lpstr>ANC2SB_1</vt:lpstr>
      <vt:lpstr>ANC2SB_3</vt:lpstr>
      <vt:lpstr>ANC2term_1</vt:lpstr>
      <vt:lpstr>Arm_1</vt:lpstr>
      <vt:lpstr>Arm_2</vt:lpstr>
      <vt:lpstr>Arm_3</vt:lpstr>
      <vt:lpstr>Arm_4</vt:lpstr>
      <vt:lpstr>Average_life_expectancy_at_birth</vt:lpstr>
      <vt:lpstr>c_1year</vt:lpstr>
      <vt:lpstr>c_2years</vt:lpstr>
      <vt:lpstr>c_ANC</vt:lpstr>
      <vt:lpstr>c_clinic_fu</vt:lpstr>
      <vt:lpstr>c_cog</vt:lpstr>
      <vt:lpstr>c_CSG</vt:lpstr>
      <vt:lpstr>c_grant</vt:lpstr>
      <vt:lpstr>c_hosp_fu</vt:lpstr>
      <vt:lpstr>c_hypo</vt:lpstr>
      <vt:lpstr>c_LBW</vt:lpstr>
      <vt:lpstr>c_lung</vt:lpstr>
      <vt:lpstr>c_NICU_NBW</vt:lpstr>
      <vt:lpstr>c_prem</vt:lpstr>
      <vt:lpstr>c_RDS</vt:lpstr>
      <vt:lpstr>c_SB</vt:lpstr>
      <vt:lpstr>Children_receiving_CSG</vt:lpstr>
      <vt:lpstr>ChronicResp_cost</vt:lpstr>
      <vt:lpstr>Cognitive_impairement_cost</vt:lpstr>
      <vt:lpstr>Comparator_probabilities</vt:lpstr>
      <vt:lpstr>cRatio</vt:lpstr>
      <vt:lpstr>DR</vt:lpstr>
      <vt:lpstr>dw_CLD</vt:lpstr>
      <vt:lpstr>dw_motor</vt:lpstr>
      <vt:lpstr>e_ANC</vt:lpstr>
      <vt:lpstr>e_LBW</vt:lpstr>
      <vt:lpstr>e_mortality</vt:lpstr>
      <vt:lpstr>e_preterm</vt:lpstr>
      <vt:lpstr>e_preterm_PSG</vt:lpstr>
      <vt:lpstr>e_SGA</vt:lpstr>
      <vt:lpstr>Female_life_expectancy_at_birth</vt:lpstr>
      <vt:lpstr>Female_population</vt:lpstr>
      <vt:lpstr>follow_up__clinic__cost</vt:lpstr>
      <vt:lpstr>follow_up__hosp__cost</vt:lpstr>
      <vt:lpstr>G2ANC</vt:lpstr>
      <vt:lpstr>G2noANC</vt:lpstr>
      <vt:lpstr>Grant_cost</vt:lpstr>
      <vt:lpstr>Hypo2CI_1</vt:lpstr>
      <vt:lpstr>Hypo2CI_2</vt:lpstr>
      <vt:lpstr>Hypo2CI_3</vt:lpstr>
      <vt:lpstr>Hypo2CI_4</vt:lpstr>
      <vt:lpstr>Hypo2cog_1</vt:lpstr>
      <vt:lpstr>Hypo2noCI_1</vt:lpstr>
      <vt:lpstr>Hypo2noCI_2</vt:lpstr>
      <vt:lpstr>Hypo2noCI_3</vt:lpstr>
      <vt:lpstr>Hypo2noCI_4</vt:lpstr>
      <vt:lpstr>Hypo2norm_1</vt:lpstr>
      <vt:lpstr>Hypoglycaemia_cost</vt:lpstr>
      <vt:lpstr>LB2prem_1</vt:lpstr>
      <vt:lpstr>LB2prem_2</vt:lpstr>
      <vt:lpstr>LB2prem_3</vt:lpstr>
      <vt:lpstr>LB2prem_4</vt:lpstr>
      <vt:lpstr>LB2term_1</vt:lpstr>
      <vt:lpstr>LB2term_2</vt:lpstr>
      <vt:lpstr>LB2term_3</vt:lpstr>
      <vt:lpstr>LB2term_4</vt:lpstr>
      <vt:lpstr>LBW_cost</vt:lpstr>
      <vt:lpstr>LBW_prem_2AGA_1</vt:lpstr>
      <vt:lpstr>LBW_prem_2AGA_2</vt:lpstr>
      <vt:lpstr>LBW_prem_2AGA_3</vt:lpstr>
      <vt:lpstr>LBW_prem_2AGA_4</vt:lpstr>
      <vt:lpstr>LBW_prem_2SGA_1</vt:lpstr>
      <vt:lpstr>LBW_prem_2SGA_2</vt:lpstr>
      <vt:lpstr>LBW_prem_2SGA_3</vt:lpstr>
      <vt:lpstr>LBW_prem_2SGA_4</vt:lpstr>
      <vt:lpstr>LBW_term_2AGA_1</vt:lpstr>
      <vt:lpstr>LBW_term_2AGA_2</vt:lpstr>
      <vt:lpstr>LBW_term_2AGA_3</vt:lpstr>
      <vt:lpstr>LBW_term_2AGA_4</vt:lpstr>
      <vt:lpstr>LBW_term_2SGA_1</vt:lpstr>
      <vt:lpstr>LBW_term_2SGA_2</vt:lpstr>
      <vt:lpstr>LBW_term_2SGA_3</vt:lpstr>
      <vt:lpstr>LBW_term_2SGA_4</vt:lpstr>
      <vt:lpstr>LBW2d_1</vt:lpstr>
      <vt:lpstr>LBW2d_2</vt:lpstr>
      <vt:lpstr>LBW2norm_1</vt:lpstr>
      <vt:lpstr>LBW2norm_2</vt:lpstr>
      <vt:lpstr>LBW2RDS_1</vt:lpstr>
      <vt:lpstr>LBW2RDS_2</vt:lpstr>
      <vt:lpstr>Male_life_expectancy_at_birth</vt:lpstr>
      <vt:lpstr>NBW_prem_2AGA_1</vt:lpstr>
      <vt:lpstr>NBW_prem_2AGA_2</vt:lpstr>
      <vt:lpstr>NBW_prem_2AGA_3</vt:lpstr>
      <vt:lpstr>NBW_prem_2AGA_4</vt:lpstr>
      <vt:lpstr>NBW_prem_2SGA_1</vt:lpstr>
      <vt:lpstr>NBW_prem_2SGA_2</vt:lpstr>
      <vt:lpstr>NBW_prem_2SGA_3</vt:lpstr>
      <vt:lpstr>NBW_prem_2SGA_4</vt:lpstr>
      <vt:lpstr>NBW_term_2AGA_1</vt:lpstr>
      <vt:lpstr>NBW_term_2AGA_2</vt:lpstr>
      <vt:lpstr>NBW_term_2AGA_3</vt:lpstr>
      <vt:lpstr>NBW_term_2AGA_4</vt:lpstr>
      <vt:lpstr>NBW_term_2SGA_1</vt:lpstr>
      <vt:lpstr>NBW_term_2SGA_2</vt:lpstr>
      <vt:lpstr>NBW_term_2SGA_3</vt:lpstr>
      <vt:lpstr>NBW_term_2SGA_4</vt:lpstr>
      <vt:lpstr>No_ANC_rate</vt:lpstr>
      <vt:lpstr>NoANC2LB_2</vt:lpstr>
      <vt:lpstr>NoANC2LB_4</vt:lpstr>
      <vt:lpstr>NoANC2prem_2</vt:lpstr>
      <vt:lpstr>NoANC2SB_2</vt:lpstr>
      <vt:lpstr>NoANC2SB_4</vt:lpstr>
      <vt:lpstr>NoANC2term_2</vt:lpstr>
      <vt:lpstr>NoG2ANC</vt:lpstr>
      <vt:lpstr>NoG2noANC</vt:lpstr>
      <vt:lpstr>noHypo2CI_1</vt:lpstr>
      <vt:lpstr>noHypo2CI_2</vt:lpstr>
      <vt:lpstr>noHypo2CI_3</vt:lpstr>
      <vt:lpstr>noHypo2CI_4</vt:lpstr>
      <vt:lpstr>noHypo2noCI_1</vt:lpstr>
      <vt:lpstr>noHypo2noCI_2</vt:lpstr>
      <vt:lpstr>noHypo2noCI_3</vt:lpstr>
      <vt:lpstr>noHypo2noCI_4</vt:lpstr>
      <vt:lpstr>noRDS2CLD_1</vt:lpstr>
      <vt:lpstr>noRDS2CLD_2</vt:lpstr>
      <vt:lpstr>noRDS2CLD_3</vt:lpstr>
      <vt:lpstr>noRDS2CLD_4</vt:lpstr>
      <vt:lpstr>noRDS2noCLD_1</vt:lpstr>
      <vt:lpstr>noRDS2noCLD_2</vt:lpstr>
      <vt:lpstr>noRDS2noCLD_3</vt:lpstr>
      <vt:lpstr>noRDS2noCLD_4</vt:lpstr>
      <vt:lpstr>Population</vt:lpstr>
      <vt:lpstr>Prem2LBW_1</vt:lpstr>
      <vt:lpstr>Prem2LBW_2</vt:lpstr>
      <vt:lpstr>Prem2LBW_3</vt:lpstr>
      <vt:lpstr>Prem2LBW_4</vt:lpstr>
      <vt:lpstr>Prem2NBW_1</vt:lpstr>
      <vt:lpstr>Prem2NBW_2</vt:lpstr>
      <vt:lpstr>Prem2NBW_3</vt:lpstr>
      <vt:lpstr>Prem2NBW_4</vt:lpstr>
      <vt:lpstr>Prem2norm_1</vt:lpstr>
      <vt:lpstr>Prem2norm_2</vt:lpstr>
      <vt:lpstr>Preterm_cost</vt:lpstr>
      <vt:lpstr>RDS_cost</vt:lpstr>
      <vt:lpstr>RDS2CLD_1</vt:lpstr>
      <vt:lpstr>RDS2CLD_2</vt:lpstr>
      <vt:lpstr>RDS2CLD_3</vt:lpstr>
      <vt:lpstr>RDS2CLD_4</vt:lpstr>
      <vt:lpstr>RDS2lung_1</vt:lpstr>
      <vt:lpstr>RDS2lung_2</vt:lpstr>
      <vt:lpstr>RDS2noCLD_1</vt:lpstr>
      <vt:lpstr>RDS2noCLD_2</vt:lpstr>
      <vt:lpstr>RDS2noCLD_3</vt:lpstr>
      <vt:lpstr>RDS2noCLD_4</vt:lpstr>
      <vt:lpstr>RDS2norm_1</vt:lpstr>
      <vt:lpstr>RDS2norm_2</vt:lpstr>
      <vt:lpstr>S_prem_2noRDS_1</vt:lpstr>
      <vt:lpstr>S_prem_2noRDS_2</vt:lpstr>
      <vt:lpstr>S_prem_2noRDS_3</vt:lpstr>
      <vt:lpstr>S_prem_2noRDS_4</vt:lpstr>
      <vt:lpstr>S_prem_2RDS_1</vt:lpstr>
      <vt:lpstr>S_prem_2RDS_2</vt:lpstr>
      <vt:lpstr>S_prem_2RDS_3</vt:lpstr>
      <vt:lpstr>S_prem_2RDS_4</vt:lpstr>
      <vt:lpstr>S_term_2noRDS_1</vt:lpstr>
      <vt:lpstr>S_term_2noRDS_2</vt:lpstr>
      <vt:lpstr>S_term_2noRDS_3</vt:lpstr>
      <vt:lpstr>S_term_2noRDS_4</vt:lpstr>
      <vt:lpstr>S_term_2RDS_1</vt:lpstr>
      <vt:lpstr>S_term_2RDS_2</vt:lpstr>
      <vt:lpstr>S_term_2RDS_3</vt:lpstr>
      <vt:lpstr>S_term_2RDS_4</vt:lpstr>
      <vt:lpstr>SGA_prem_2d_1</vt:lpstr>
      <vt:lpstr>SGA_prem_2d_2</vt:lpstr>
      <vt:lpstr>SGA_prem_2d_3</vt:lpstr>
      <vt:lpstr>SGA_prem_2d_4</vt:lpstr>
      <vt:lpstr>SGA_prem_2hypoglycaemia_1</vt:lpstr>
      <vt:lpstr>SGA_prem_2hypoglycaemia_2</vt:lpstr>
      <vt:lpstr>SGA_prem_2hypoglycaemia_3</vt:lpstr>
      <vt:lpstr>SGA_prem_2hypoglycaemia_4</vt:lpstr>
      <vt:lpstr>SGA_prem_2normoglycaemia_1</vt:lpstr>
      <vt:lpstr>SGA_prem_2normoglycaemia_2</vt:lpstr>
      <vt:lpstr>SGA_prem_2normoglycaemia_3</vt:lpstr>
      <vt:lpstr>SGA_prem_2normoglycaemia_4</vt:lpstr>
      <vt:lpstr>SGA_prem_2s_1</vt:lpstr>
      <vt:lpstr>SGA_prem_2s_2</vt:lpstr>
      <vt:lpstr>SGA_prem_2s_3</vt:lpstr>
      <vt:lpstr>SGA_prem_2s_4</vt:lpstr>
      <vt:lpstr>SGA_term_2d_1</vt:lpstr>
      <vt:lpstr>SGA_term_2d_2</vt:lpstr>
      <vt:lpstr>SGA_term_2d_3</vt:lpstr>
      <vt:lpstr>SGA_term_2d_4</vt:lpstr>
      <vt:lpstr>SGA_term_2hypoglycaemia_1</vt:lpstr>
      <vt:lpstr>SGA_term_2hypoglycaemia_2</vt:lpstr>
      <vt:lpstr>SGA_term_2hypoglycaemia_3</vt:lpstr>
      <vt:lpstr>SGA_term_2hypoglycaemia_4</vt:lpstr>
      <vt:lpstr>SGA_term_2normoglycaemia_1</vt:lpstr>
      <vt:lpstr>SGA_term_2normoglycaemia_2</vt:lpstr>
      <vt:lpstr>SGA_term_2normoglycaemia_3</vt:lpstr>
      <vt:lpstr>SGA_term_2normoglycaemia_4</vt:lpstr>
      <vt:lpstr>SGA_term_2s_1</vt:lpstr>
      <vt:lpstr>SGA_term_2s_2</vt:lpstr>
      <vt:lpstr>SGA_term_2s_3</vt:lpstr>
      <vt:lpstr>SGA_term_2s_4</vt:lpstr>
      <vt:lpstr>SGA2hypo_1</vt:lpstr>
      <vt:lpstr>SGA2hypo_2</vt:lpstr>
      <vt:lpstr>SGA2norm_1</vt:lpstr>
      <vt:lpstr>SGA2norm_2</vt:lpstr>
      <vt:lpstr>South_African_births</vt:lpstr>
      <vt:lpstr>Teen_births</vt:lpstr>
      <vt:lpstr>Term2LBW_1</vt:lpstr>
      <vt:lpstr>Term2LBW_2</vt:lpstr>
      <vt:lpstr>Term2LBW_3</vt:lpstr>
      <vt:lpstr>Term2LBW_4</vt:lpstr>
      <vt:lpstr>Term2NBW_1</vt:lpstr>
      <vt:lpstr>Term2NBW_2</vt:lpstr>
      <vt:lpstr>Term2NBW_3</vt:lpstr>
      <vt:lpstr>Term2NBW_4</vt:lpstr>
      <vt:lpstr>Term2norm_1</vt:lpstr>
      <vt:lpstr>Term2norm_2</vt:lpstr>
      <vt:lpstr>Term2sb_1</vt:lpstr>
      <vt:lpstr>Term2sb_2</vt:lpstr>
      <vt:lpstr>Term2SGA_1</vt:lpstr>
      <vt:lpstr>Term2SGA_2</vt:lpstr>
      <vt:lpstr>Threshold</vt:lpstr>
      <vt:lpstr>Total_births</vt:lpstr>
      <vt:lpstr>Total_pregnancies</vt:lpstr>
      <vt:lpstr>u_ChronicResp</vt:lpstr>
      <vt:lpstr>u_CongnitiveImpairement</vt:lpstr>
      <vt:lpstr>u_Death</vt:lpstr>
      <vt:lpstr>u_Healthy</vt:lpstr>
      <vt:lpstr>u_parental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Winfrida Mdewa</dc:creator>
  <cp:lastModifiedBy>Aisha Moolla</cp:lastModifiedBy>
  <dcterms:created xsi:type="dcterms:W3CDTF">2021-07-04T06:24:30Z</dcterms:created>
  <dcterms:modified xsi:type="dcterms:W3CDTF">2023-08-17T11:01:17Z</dcterms:modified>
</cp:coreProperties>
</file>